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richData/rdrichvaluestructure.xml" ContentType="application/vnd.ms-excel.rdrichvaluestructure+xml"/>
  <Override PartName="/xl/persons/person.xml" ContentType="application/vnd.ms-excel.person+xml"/>
  <Override PartName="/xl/richData/rdRichValueTypes.xml" ContentType="application/vnd.ms-excel.rdrichvaluetypes+xml"/>
  <Override PartName="/xl/richData/rdrichvalue.xml" ContentType="application/vnd.ms-excel.rdrichvalue+xml"/>
  <Override PartName="/xl/namedSheetViews/namedSheetView1.xml" ContentType="application/vnd.ms-excel.namedsheetviews+xml"/>
  <Override PartName="/xl/namedSheetViews/namedSheetView2.xml" ContentType="application/vnd.ms-excel.namedsheetviews+xml"/>
  <Override PartName="/xl/namedSheetViews/namedSheetView3.xml" ContentType="application/vnd.ms-excel.namedsheetviews+xml"/>
  <Override PartName="/xl/namedSheetViews/namedSheetView4.xml" ContentType="application/vnd.ms-excel.namedsheetviews+xml"/>
  <Override PartName="/xl/namedSheetViews/namedSheetView5.xml" ContentType="application/vnd.ms-excel.namedsheetviews+xml"/>
  <Override PartName="/xl/namedSheetViews/namedSheetView6.xml" ContentType="application/vnd.ms-excel.namedsheetviews+xml"/>
  <Override PartName="/xl/namedSheetViews/namedSheetView7.xml" ContentType="application/vnd.ms-excel.namedsheetviews+xml"/>
  <Override PartName="/xl/threadedComments/threadedComment1.xml" ContentType="application/vnd.ms-excel.threadedcomments+xml"/>
  <Override PartName="/xl/namedSheetViews/namedSheetView8.xml" ContentType="application/vnd.ms-excel.namedsheetviews+xml"/>
  <Override PartName="/xl/namedSheetViews/namedSheetView9.xml" ContentType="application/vnd.ms-excel.namedsheetviews+xml"/>
  <Override PartName="/xl/namedSheetViews/namedSheetView10.xml" ContentType="application/vnd.ms-excel.namedsheetviews+xml"/>
  <Override PartName="/xl/namedSheetViews/namedSheetView11.xml" ContentType="application/vnd.ms-excel.namedsheetviews+xml"/>
  <Override PartName="/xl/namedSheetViews/namedSheetView12.xml" ContentType="application/vnd.ms-excel.namedsheetviews+xml"/>
  <Override PartName="/xl/namedSheetViews/namedSheetView13.xml" ContentType="application/vnd.ms-excel.namedsheetviews+xml"/>
  <Override PartName="/xl/namedSheetViews/namedSheetView14.xml" ContentType="application/vnd.ms-excel.namedsheetviews+xml"/>
  <Override PartName="/xl/namedSheetViews/namedSheetView15.xml" ContentType="application/vnd.ms-excel.namedsheetviews+xml"/>
  <Override PartName="/xl/namedSheetViews/namedSheetView16.xml" ContentType="application/vnd.ms-excel.namedsheetviews+xml"/>
  <Override PartName="/xl/threadedComments/threadedComment2.xml" ContentType="application/vnd.ms-excel.threadedcomments+xml"/>
  <Override PartName="/xl/namedSheetViews/namedSheetView17.xml" ContentType="application/vnd.ms-excel.namedsheetviews+xml"/>
  <Override PartName="/xl/threadedComments/threadedComment3.xml" ContentType="application/vnd.ms-excel.threadedcomments+xml"/>
  <Override PartName="/xl/namedSheetViews/namedSheetView18.xml" ContentType="application/vnd.ms-excel.namedsheetviews+xml"/>
  <Override PartName="/xl/namedSheetViews/namedSheetView19.xml" ContentType="application/vnd.ms-excel.namedsheetviews+xml"/>
  <Override PartName="/xl/threadedComments/threadedComment4.xml" ContentType="application/vnd.ms-excel.threadedcomments+xml"/>
  <Override PartName="/xl/namedSheetViews/namedSheetView20.xml" ContentType="application/vnd.ms-excel.namedsheetviews+xml"/>
  <Override PartName="/xl/namedSheetViews/namedSheetView21.xml" ContentType="application/vnd.ms-excel.namedsheetviews+xml"/>
  <Override PartName="/xl/namedSheetViews/namedSheetView22.xml" ContentType="application/vnd.ms-excel.namedsheetviews+xml"/>
  <Override PartName="/xl/namedSheetViews/namedSheetView23.xml" ContentType="application/vnd.ms-excel.namedsheetviews+xml"/>
  <Override PartName="/xl/namedSheetViews/namedSheetView24.xml" ContentType="application/vnd.ms-excel.namedsheetviews+xml"/>
  <Override PartName="/xl/namedSheetViews/namedSheetView25.xml" ContentType="application/vnd.ms-excel.namedsheetviews+xml"/>
  <Override PartName="/xl/namedSheetViews/namedSheetView26.xml" ContentType="application/vnd.ms-excel.namedsheetviews+xml"/>
  <Override PartName="/xl/namedSheetViews/namedSheetView27.xml" ContentType="application/vnd.ms-excel.namedsheetviews+xml"/>
  <Override PartName="/xl/namedSheetViews/namedSheetView28.xml" ContentType="application/vnd.ms-excel.namedsheetviews+xml"/>
  <Override PartName="/xl/namedSheetViews/namedSheetView29.xml" ContentType="application/vnd.ms-excel.namedsheetviews+xml"/>
  <Override PartName="/xl/namedSheetViews/namedSheetView30.xml" ContentType="application/vnd.ms-excel.namedsheetviews+xml"/>
  <Override PartName="/xl/namedSheetViews/namedSheetView31.xml" ContentType="application/vnd.ms-excel.namedsheetviews+xml"/>
  <Override PartName="/xl/namedSheetViews/namedSheetView32.xml" ContentType="application/vnd.ms-excel.namedsheetviews+xml"/>
  <Override PartName="/xl/namedSheetViews/namedSheetView33.xml" ContentType="application/vnd.ms-excel.namedsheetviews+xml"/>
  <Override PartName="/xl/namedSheetViews/namedSheetView34.xml" ContentType="application/vnd.ms-excel.namedsheetviews+xml"/>
  <Override PartName="/xl/namedSheetViews/namedSheetView35.xml" ContentType="application/vnd.ms-excel.namedsheetviews+xml"/>
  <Override PartName="/xl/namedSheetViews/namedSheetView36.xml" ContentType="application/vnd.ms-excel.namedsheetviews+xml"/>
  <Override PartName="/xl/namedSheetViews/namedSheetView37.xml" ContentType="application/vnd.ms-excel.namedsheetviews+xml"/>
  <Override PartName="/xl/namedSheetViews/namedSheetView38.xml" ContentType="application/vnd.ms-excel.namedsheetviews+xml"/>
  <Override PartName="/xl/namedSheetViews/namedSheetView39.xml" ContentType="application/vnd.ms-excel.namedsheetviews+xml"/>
  <Override PartName="/xl/namedSheetViews/namedSheetView40.xml" ContentType="application/vnd.ms-excel.namedsheetviews+xml"/>
  <Override PartName="/xl/namedSheetViews/namedSheetView41.xml" ContentType="application/vnd.ms-excel.namedsheetviews+xml"/>
  <Override PartName="/xl/threadedComments/threadedComment5.xml" ContentType="application/vnd.ms-excel.threadedcomments+xml"/>
  <Override PartName="/xl/namedSheetViews/namedSheetView42.xml" ContentType="application/vnd.ms-excel.namedsheetviews+xml"/>
  <Override PartName="/xl/namedSheetViews/namedSheetView43.xml" ContentType="application/vnd.ms-excel.namedsheetviews+xml"/>
  <Override PartName="/xl/namedSheetViews/namedSheetView44.xml" ContentType="application/vnd.ms-excel.namedsheetview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730"/>
  <workbookPr/>
  <mc:AlternateContent xmlns:mc="http://schemas.openxmlformats.org/markup-compatibility/2006">
    <mc:Choice Requires="x15">
      <x15ac:absPath xmlns:x15ac="http://schemas.microsoft.com/office/spreadsheetml/2010/11/ac" url="E:\Downloads\"/>
    </mc:Choice>
  </mc:AlternateContent>
  <xr:revisionPtr revIDLastSave="0" documentId="13_ncr:1_{8806153A-E1DB-4CDD-9069-0201A981DA6B}" xr6:coauthVersionLast="36" xr6:coauthVersionMax="47" xr10:uidLastSave="{00000000-0000-0000-0000-000000000000}"/>
  <bookViews>
    <workbookView xWindow="0" yWindow="0" windowWidth="24720" windowHeight="12105" firstSheet="44" activeTab="45" xr2:uid="{00000000-000D-0000-FFFF-FFFF00000000}"/>
  </bookViews>
  <sheets>
    <sheet name="LỊCH TÀU - 10.2023" sheetId="38" state="hidden" r:id="rId1"/>
    <sheet name="LỊCH TÀU - 03.2023" sheetId="30" state="hidden" r:id="rId2"/>
    <sheet name="LỊCH TÀU - 12.2022" sheetId="27" state="hidden" r:id="rId3"/>
    <sheet name="LỊCH TÀU - 11.2022" sheetId="26" state="hidden" r:id="rId4"/>
    <sheet name="LỊCH TÀU - 06.22" sheetId="20" state="hidden" r:id="rId5"/>
    <sheet name="LỊCH TÀU - 10.2022" sheetId="24" state="hidden" r:id="rId6"/>
    <sheet name="LỊCH TÀU - 07.22" sheetId="21" state="hidden" r:id="rId7"/>
    <sheet name="LỊCH TÀU - 09.22" sheetId="23" state="hidden" r:id="rId8"/>
    <sheet name="LỊCH TÀU - 05.22" sheetId="19" state="hidden" r:id="rId9"/>
    <sheet name="LỊCH TÀU - 04.22" sheetId="18" state="hidden" r:id="rId10"/>
    <sheet name="LỊCH TÀU - 03.22" sheetId="17" state="hidden" r:id="rId11"/>
    <sheet name="LỊCH TÀU - 02.22" sheetId="16" state="hidden" r:id="rId12"/>
    <sheet name="LỊCH TÀU - 11.21" sheetId="12" state="hidden" r:id="rId13"/>
    <sheet name="LỊCH TÀU - 10.21" sheetId="10" state="hidden" r:id="rId14"/>
    <sheet name="LỊCH TÀU - 09.21" sheetId="8" state="hidden" r:id="rId15"/>
    <sheet name="LỊCH TÀU - 06.21" sheetId="5" state="hidden" r:id="rId16"/>
    <sheet name="LỊCH TÀU - 07.21" sheetId="6" state="hidden" r:id="rId17"/>
    <sheet name="LỊCH TÀU - 08.21" sheetId="7" state="hidden" r:id="rId18"/>
    <sheet name="LỊCH TÀU - 04.21" sheetId="3" state="hidden" r:id="rId19"/>
    <sheet name="LỊCH TÀU - 03.21" sheetId="1" state="hidden" r:id="rId20"/>
    <sheet name="LỊCH TÀU - 01.22" sheetId="15" state="hidden" r:id="rId21"/>
    <sheet name="LỊCH TÀU - 12.21" sheetId="13" state="hidden" r:id="rId22"/>
    <sheet name="LỊCH TÀU - 08.22 " sheetId="22" state="hidden" r:id="rId23"/>
    <sheet name="LỊCH TÀU - 04.2023" sheetId="31" state="hidden" r:id="rId24"/>
    <sheet name="LỊCH TÀU - 05.2023" sheetId="32" state="hidden" r:id="rId25"/>
    <sheet name="LỊCH TÀU - 01.2023" sheetId="28" state="hidden" r:id="rId26"/>
    <sheet name="LỊCH TÀU - 09.2023" sheetId="37" state="hidden" r:id="rId27"/>
    <sheet name="LỊCH TÀU - 06.2023" sheetId="33" state="hidden" r:id="rId28"/>
    <sheet name="LỊCH TÀU - 11.2024" sheetId="50" state="hidden" r:id="rId29"/>
    <sheet name="LỊCH TÀU - 09.2024" sheetId="48" state="hidden" r:id="rId30"/>
    <sheet name="LỊCH TÀU - 10.2024" sheetId="49" state="hidden" r:id="rId31"/>
    <sheet name="LỊCH TÀU - 08.2024 " sheetId="47" state="hidden" r:id="rId32"/>
    <sheet name="LỊCH TÀU - 07.2024 " sheetId="46" state="hidden" r:id="rId33"/>
    <sheet name="LỊCH TÀU - 06.2024 " sheetId="45" state="hidden" r:id="rId34"/>
    <sheet name="LỊCH TÀU - 05.2024" sheetId="44" state="hidden" r:id="rId35"/>
    <sheet name="LỊCH TÀU - 04.2024" sheetId="43" state="hidden" r:id="rId36"/>
    <sheet name="LỊCH TÀU - 03.2024" sheetId="42" state="hidden" r:id="rId37"/>
    <sheet name="LỊCH TÀU - 02.2024" sheetId="41" state="hidden" r:id="rId38"/>
    <sheet name="LỊCH TÀU - 01.2024" sheetId="40" state="hidden" r:id="rId39"/>
    <sheet name="LỊCH TÀU - 02.2025" sheetId="53" state="hidden" r:id="rId40"/>
    <sheet name="LỊCH TÀU - 12.2024" sheetId="51" state="hidden" r:id="rId41"/>
    <sheet name="LỊCH TÀU - 07.2023" sheetId="34" state="hidden" r:id="rId42"/>
    <sheet name="LỊCH TÀU - 11.2023" sheetId="39" state="hidden" r:id="rId43"/>
    <sheet name="KH" sheetId="61" r:id="rId44"/>
    <sheet name="LỊCH TÀU - 11.2025" sheetId="68" r:id="rId45"/>
    <sheet name="LỊCH TÀU - 10.2025 " sheetId="65" r:id="rId46"/>
    <sheet name="Trang_tính1" sheetId="67" state="hidden" r:id="rId47"/>
    <sheet name="LỊCH TÀU - 06.2025" sheetId="60" state="hidden" r:id="rId48"/>
    <sheet name="LỊCH TÀU - 04.2025" sheetId="56" state="hidden" r:id="rId49"/>
    <sheet name="LỊCH TÀU - 03.2025" sheetId="55" state="hidden" r:id="rId50"/>
    <sheet name="LỊCH TÀU - 02.2025 " sheetId="54" state="hidden" r:id="rId51"/>
    <sheet name="LỊCH TÀU - 01.2025" sheetId="52" state="hidden" r:id="rId52"/>
    <sheet name="LỊCH TÀU - 05.2025" sheetId="58" state="hidden" r:id="rId53"/>
    <sheet name="LỊCH TÀU - 09.2025 " sheetId="64" r:id="rId54"/>
    <sheet name="LỊCH TÀU - 08.2025" sheetId="63" r:id="rId55"/>
    <sheet name="PKH UPDATE" sheetId="66" r:id="rId56"/>
    <sheet name="LỊCH TÀU - 07.2025" sheetId="62" r:id="rId57"/>
  </sheets>
  <definedNames>
    <definedName name="_xlnm._FilterDatabase" localSheetId="25" hidden="1">'LỊCH TÀU - 01.2023'!$A$4:$O$12</definedName>
    <definedName name="_xlnm._FilterDatabase" localSheetId="38" hidden="1">'LỊCH TÀU - 01.2024'!$A$5:$N$45</definedName>
    <definedName name="_xlnm._FilterDatabase" localSheetId="51" hidden="1">'LỊCH TÀU - 01.2025'!$A$4:$R$111</definedName>
    <definedName name="_xlnm._FilterDatabase" localSheetId="20" hidden="1">'LỊCH TÀU - 01.22'!$A$4:$Q$13</definedName>
    <definedName name="_xlnm._FilterDatabase" localSheetId="37" hidden="1">'LỊCH TÀU - 02.2024'!$A$5:$P$44</definedName>
    <definedName name="_xlnm._FilterDatabase" localSheetId="39" hidden="1">'LỊCH TÀU - 02.2025'!$A$4:$P$31</definedName>
    <definedName name="_xlnm._FilterDatabase" localSheetId="50" hidden="1">'LỊCH TÀU - 02.2025 '!$A$4:$DW$4</definedName>
    <definedName name="_xlnm._FilterDatabase" localSheetId="11" hidden="1">'LỊCH TÀU - 02.22'!$A$4:$Q$68</definedName>
    <definedName name="_xlnm._FilterDatabase" localSheetId="1" hidden="1">'LỊCH TÀU - 03.2023'!$A$4:$Q$4</definedName>
    <definedName name="_xlnm._FilterDatabase" localSheetId="36" hidden="1">'LỊCH TÀU - 03.2024'!$A$5:$P$63</definedName>
    <definedName name="_xlnm._FilterDatabase" localSheetId="49" hidden="1">'LỊCH TÀU - 03.2025'!$A$3:$DW$229</definedName>
    <definedName name="_xlnm._FilterDatabase" localSheetId="19" hidden="1">'LỊCH TÀU - 03.21'!$A$5:$O$65</definedName>
    <definedName name="_xlnm._FilterDatabase" localSheetId="10" hidden="1">'LỊCH TÀU - 03.22'!$A$4:$Q$77</definedName>
    <definedName name="_xlnm._FilterDatabase" localSheetId="23" hidden="1">'LỊCH TÀU - 04.2023'!$A$5:$P$5</definedName>
    <definedName name="_xlnm._FilterDatabase" localSheetId="35" hidden="1">'LỊCH TÀU - 04.2024'!$A$5:$P$76</definedName>
    <definedName name="_xlnm._FilterDatabase" localSheetId="48" hidden="1">'LỊCH TÀU - 04.2025'!$A$3:$DW$3</definedName>
    <definedName name="_xlnm._FilterDatabase" localSheetId="18" hidden="1">'LỊCH TÀU - 04.21'!$A$4:$O$65</definedName>
    <definedName name="_xlnm._FilterDatabase" localSheetId="9" hidden="1">'LỊCH TÀU - 04.22'!$A$4:$P$76</definedName>
    <definedName name="_xlnm._FilterDatabase" localSheetId="24" hidden="1">'LỊCH TÀU - 05.2023'!$A$5:$P$5</definedName>
    <definedName name="_xlnm._FilterDatabase" localSheetId="34" hidden="1">'LỊCH TÀU - 05.2024'!$A$4:$P$71</definedName>
    <definedName name="_xlnm._FilterDatabase" localSheetId="52" hidden="1">'LỊCH TÀU - 05.2025'!$A$3:$T$201</definedName>
    <definedName name="_xlnm._FilterDatabase" localSheetId="8" hidden="1">'LỊCH TÀU - 05.22'!$A$4:$O$71</definedName>
    <definedName name="_xlnm._FilterDatabase" localSheetId="27" hidden="1">'LỊCH TÀU - 06.2023'!$A$5:$P$5</definedName>
    <definedName name="_xlnm._FilterDatabase" localSheetId="33" hidden="1">'LỊCH TÀU - 06.2024 '!$A$4:$P$75</definedName>
    <definedName name="_xlnm._FilterDatabase" localSheetId="47" hidden="1">'LỊCH TÀU - 06.2025'!$A$3:$AA$3</definedName>
    <definedName name="_xlnm._FilterDatabase" localSheetId="15" hidden="1">'LỊCH TÀU - 06.21'!$A$4:$P$83</definedName>
    <definedName name="_xlnm._FilterDatabase" localSheetId="4" hidden="1">'LỊCH TÀU - 06.22'!$A$4:$O$58</definedName>
    <definedName name="_xlnm._FilterDatabase" localSheetId="41" hidden="1">'LỊCH TÀU - 07.2023'!$A$5:$P$39</definedName>
    <definedName name="_xlnm._FilterDatabase" localSheetId="32" hidden="1">'LỊCH TÀU - 07.2024 '!$A$4:$P$73</definedName>
    <definedName name="_xlnm._FilterDatabase" localSheetId="56" hidden="1">'LỊCH TÀU - 07.2025'!$A$3:$Z$3</definedName>
    <definedName name="_xlnm._FilterDatabase" localSheetId="16" hidden="1">'LỊCH TÀU - 07.21'!$A$4:$P$50</definedName>
    <definedName name="_xlnm._FilterDatabase" localSheetId="6" hidden="1">'LỊCH TÀU - 07.22'!$A$4:$O$76</definedName>
    <definedName name="_xlnm._FilterDatabase" localSheetId="31" hidden="1">'LỊCH TÀU - 08.2024 '!$A$4:$P$67</definedName>
    <definedName name="_xlnm._FilterDatabase" localSheetId="54" hidden="1">'LỊCH TÀU - 08.2025'!$A$3:$Z$212</definedName>
    <definedName name="_xlnm._FilterDatabase" localSheetId="17" hidden="1">'LỊCH TÀU - 08.21'!$A$4:$P$26</definedName>
    <definedName name="_xlnm._FilterDatabase" localSheetId="22" hidden="1">'LỊCH TÀU - 08.22 '!$A$4:$O$72</definedName>
    <definedName name="_xlnm._FilterDatabase" localSheetId="26" hidden="1">'LỊCH TÀU - 09.2023'!$A$5:$P$48</definedName>
    <definedName name="_xlnm._FilterDatabase" localSheetId="29" hidden="1">'LỊCH TÀU - 09.2024'!$A$2:$N$49</definedName>
    <definedName name="_xlnm._FilterDatabase" localSheetId="53" hidden="1">'LỊCH TÀU - 09.2025 '!$A$3:$AJ$3</definedName>
    <definedName name="_xlnm._FilterDatabase" localSheetId="14" hidden="1">'LỊCH TÀU - 09.21'!$A$4:$P$13</definedName>
    <definedName name="_xlnm._FilterDatabase" localSheetId="7" hidden="1">'LỊCH TÀU - 09.22'!$A$4:$O$56</definedName>
    <definedName name="_xlnm._FilterDatabase" localSheetId="5" hidden="1">'LỊCH TÀU - 10.2022'!$A$4:$Q$57</definedName>
    <definedName name="_xlnm._FilterDatabase" localSheetId="0" hidden="1">'LỊCH TÀU - 10.2023'!$A$5:$P$50</definedName>
    <definedName name="_xlnm._FilterDatabase" localSheetId="30" hidden="1">'LỊCH TÀU - 10.2024'!$A$4:$P$54</definedName>
    <definedName name="_xlnm._FilterDatabase" localSheetId="45" hidden="1">'LỊCH TÀU - 10.2025 '!$A$3:$V$292</definedName>
    <definedName name="_xlnm._FilterDatabase" localSheetId="13" hidden="1">'LỊCH TÀU - 10.21'!$A$4:$Q$8</definedName>
    <definedName name="_xlnm._FilterDatabase" localSheetId="3" hidden="1">'LỊCH TÀU - 11.2022'!$A$4:$Q$51</definedName>
    <definedName name="_xlnm._FilterDatabase" localSheetId="42" hidden="1">'LỊCH TÀU - 11.2023'!$A$5:$P$64</definedName>
    <definedName name="_xlnm._FilterDatabase" localSheetId="28" hidden="1">'LỊCH TÀU - 11.2024'!$A$4:$P$80</definedName>
    <definedName name="_xlnm._FilterDatabase" localSheetId="44" hidden="1">'LỊCH TÀU - 11.2025'!$A$3:$AI$307</definedName>
    <definedName name="_xlnm._FilterDatabase" localSheetId="12" hidden="1">'LỊCH TÀU - 11.21'!$A$4:$Q$12</definedName>
    <definedName name="_xlnm._FilterDatabase" localSheetId="2" hidden="1">'LỊCH TÀU - 12.2022'!$A$4:$Q$36</definedName>
    <definedName name="_xlnm._FilterDatabase" localSheetId="40" hidden="1">'LỊCH TÀU - 12.2024'!$A$4:$P$52</definedName>
    <definedName name="_xlnm._FilterDatabase" localSheetId="21" hidden="1">'LỊCH TÀU - 12.21'!$A$4:$Q$27</definedName>
    <definedName name="_xlnm.Print_Area" localSheetId="25">'LỊCH TÀU - 01.2023'!$A$4:$I$4</definedName>
    <definedName name="_xlnm.Print_Area" localSheetId="38">'LỊCH TÀU - 01.2024'!$A$5:$J$5</definedName>
    <definedName name="_xlnm.Print_Area" localSheetId="51">'LỊCH TÀU - 01.2025'!$A$2:$P$4</definedName>
    <definedName name="_xlnm.Print_Area" localSheetId="20">'LỊCH TÀU - 01.22'!$A$4:$H$13</definedName>
    <definedName name="_xlnm.Print_Area" localSheetId="37">'LỊCH TÀU - 02.2024'!$A$5:$J$5</definedName>
    <definedName name="_xlnm.Print_Area" localSheetId="39">'LỊCH TÀU - 02.2025'!$A$2:$N$4</definedName>
    <definedName name="_xlnm.Print_Area" localSheetId="50">'LỊCH TÀU - 02.2025 '!$A$2:$N$4</definedName>
    <definedName name="_xlnm.Print_Area" localSheetId="11">'LỊCH TÀU - 02.22'!$A$4:$H$49</definedName>
    <definedName name="_xlnm.Print_Area" localSheetId="1">'LỊCH TÀU - 03.2023'!$A$4:$J$4</definedName>
    <definedName name="_xlnm.Print_Area" localSheetId="36">'LỊCH TÀU - 03.2024'!$A$5:$J$5</definedName>
    <definedName name="_xlnm.Print_Area" localSheetId="49">'LỊCH TÀU - 03.2025'!$A$1:$N$3</definedName>
    <definedName name="_xlnm.Print_Area" localSheetId="19">'LỊCH TÀU - 03.21'!$A$2:$N$10</definedName>
    <definedName name="_xlnm.Print_Area" localSheetId="10">'LỊCH TÀU - 03.22'!$A$4:$H$18</definedName>
    <definedName name="_xlnm.Print_Area" localSheetId="23">'LỊCH TÀU - 04.2023'!$A$5:$J$5</definedName>
    <definedName name="_xlnm.Print_Area" localSheetId="35">'LỊCH TÀU - 04.2024'!$A$5:$J$5</definedName>
    <definedName name="_xlnm.Print_Area" localSheetId="48">'LỊCH TÀU - 04.2025'!$A$1:$N$3</definedName>
    <definedName name="_xlnm.Print_Area" localSheetId="18">'LỊCH TÀU - 04.21'!$A$2:$N$15</definedName>
    <definedName name="_xlnm.Print_Area" localSheetId="9">'LỊCH TÀU - 04.22'!$A$4:$H$23</definedName>
    <definedName name="_xlnm.Print_Area" localSheetId="24">'LỊCH TÀU - 05.2023'!$A$5:$J$5</definedName>
    <definedName name="_xlnm.Print_Area" localSheetId="34">'LỊCH TÀU - 05.2024'!$A$4:$J$4</definedName>
    <definedName name="_xlnm.Print_Area" localSheetId="52">'LỊCH TÀU - 05.2025'!$A$1:$N$3</definedName>
    <definedName name="_xlnm.Print_Area" localSheetId="8">'LỊCH TÀU - 05.22'!$A$4:$H$20</definedName>
    <definedName name="_xlnm.Print_Area" localSheetId="27">'LỊCH TÀU - 06.2023'!$A$5:$J$5</definedName>
    <definedName name="_xlnm.Print_Area" localSheetId="33">'LỊCH TÀU - 06.2024 '!$A$4:$J$4</definedName>
    <definedName name="_xlnm.Print_Area" localSheetId="47">'LỊCH TÀU - 06.2025'!$A$1:$O$3</definedName>
    <definedName name="_xlnm.Print_Area" localSheetId="15">'LỊCH TÀU - 06.21'!$A$2:$O$4</definedName>
    <definedName name="_xlnm.Print_Area" localSheetId="4">'LỊCH TÀU - 06.22'!$A$4:$H$20</definedName>
    <definedName name="_xlnm.Print_Area" localSheetId="41">'LỊCH TÀU - 07.2023'!$A$5:$J$5</definedName>
    <definedName name="_xlnm.Print_Area" localSheetId="32">'LỊCH TÀU - 07.2024 '!$A$4:$J$4</definedName>
    <definedName name="_xlnm.Print_Area" localSheetId="56">'LỊCH TÀU - 07.2025'!$A$1:$O$3</definedName>
    <definedName name="_xlnm.Print_Area" localSheetId="16">'LỊCH TÀU - 07.21'!$A$2:$O$4</definedName>
    <definedName name="_xlnm.Print_Area" localSheetId="6">'LỊCH TÀU - 07.22'!$A$4:$H$12</definedName>
    <definedName name="_xlnm.Print_Area" localSheetId="31">'LỊCH TÀU - 08.2024 '!$A$2:$N$35</definedName>
    <definedName name="_xlnm.Print_Area" localSheetId="54">'LỊCH TÀU - 08.2025'!$A$1:$O$3</definedName>
    <definedName name="_xlnm.Print_Area" localSheetId="17">'LỊCH TÀU - 08.21'!$A$2:$O$4</definedName>
    <definedName name="_xlnm.Print_Area" localSheetId="22">'LỊCH TÀU - 08.22 '!$A$4:$H$4</definedName>
    <definedName name="_xlnm.Print_Area" localSheetId="26">'LỊCH TÀU - 09.2023'!$A$5:$J$5</definedName>
    <definedName name="_xlnm.Print_Area" localSheetId="29">'LỊCH TÀU - 09.2024'!$A$2:$N$4</definedName>
    <definedName name="_xlnm.Print_Area" localSheetId="53">'LỊCH TÀU - 09.2025 '!$A$1:$Q$3</definedName>
    <definedName name="_xlnm.Print_Area" localSheetId="14">'LỊCH TÀU - 09.21'!$A$2:$O$4</definedName>
    <definedName name="_xlnm.Print_Area" localSheetId="7">'LỊCH TÀU - 09.22'!$A$4:$H$4</definedName>
    <definedName name="_xlnm.Print_Area" localSheetId="5">'LỊCH TÀU - 10.2022'!$A$4:$I$4</definedName>
    <definedName name="_xlnm.Print_Area" localSheetId="0">'LỊCH TÀU - 10.2023'!$A$5:$J$5</definedName>
    <definedName name="_xlnm.Print_Area" localSheetId="30">'LỊCH TÀU - 10.2024'!$A$2:$N$4</definedName>
    <definedName name="_xlnm.Print_Area" localSheetId="45">'LỊCH TÀU - 10.2025 '!$A$1:$P$3</definedName>
    <definedName name="_xlnm.Print_Area" localSheetId="13">'LỊCH TÀU - 10.21'!$A$2:$P$4</definedName>
    <definedName name="_xlnm.Print_Area" localSheetId="3">'LỊCH TÀU - 11.2022'!$A$4:$I$4</definedName>
    <definedName name="_xlnm.Print_Area" localSheetId="42">'LỊCH TÀU - 11.2023'!$A$5:$J$5</definedName>
    <definedName name="_xlnm.Print_Area" localSheetId="28">'LỊCH TÀU - 11.2024'!$A$2:$N$4</definedName>
    <definedName name="_xlnm.Print_Area" localSheetId="44">'LỊCH TÀU - 11.2025'!$A$1:$P$3</definedName>
    <definedName name="_xlnm.Print_Area" localSheetId="12">'LỊCH TÀU - 11.21'!$A$2:$P$4</definedName>
    <definedName name="_xlnm.Print_Area" localSheetId="2">'LỊCH TÀU - 12.2022'!$A$4:$I$4</definedName>
    <definedName name="_xlnm.Print_Area" localSheetId="40">'LỊCH TÀU - 12.2024'!$A$2:$N$4</definedName>
    <definedName name="_xlnm.Print_Area" localSheetId="21">'LỊCH TÀU - 12.21'!$A$4:$H$27</definedName>
  </definedNames>
  <calcPr calcId="179021"/>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276" i="65" l="1"/>
  <c r="B35" i="68"/>
  <c r="B37" i="68"/>
  <c r="B51" i="68"/>
  <c r="B278" i="65"/>
  <c r="B277" i="65"/>
  <c r="B95" i="68"/>
  <c r="B80" i="68"/>
  <c r="B79" i="68"/>
  <c r="B78" i="68"/>
  <c r="B94" i="68"/>
  <c r="B82" i="68"/>
  <c r="B77" i="68"/>
  <c r="B93" i="68"/>
  <c r="B75" i="68"/>
  <c r="B90" i="68"/>
  <c r="B91" i="68"/>
  <c r="B249" i="65"/>
  <c r="B105" i="68"/>
  <c r="B247" i="65"/>
  <c r="B45" i="68"/>
  <c r="B196" i="65"/>
  <c r="B197" i="65"/>
  <c r="B198" i="65"/>
  <c r="B199" i="65"/>
  <c r="B200" i="65"/>
  <c r="B201" i="65"/>
  <c r="B70" i="68"/>
  <c r="B92" i="68"/>
  <c r="B71" i="68"/>
  <c r="B12" i="68"/>
  <c r="B9" i="68"/>
  <c r="B10" i="68"/>
  <c r="M60" i="68"/>
  <c r="Q26" i="61"/>
  <c r="Q25" i="61"/>
  <c r="Q24" i="61"/>
  <c r="Q23" i="61"/>
  <c r="Q22" i="61"/>
  <c r="Q21" i="61"/>
  <c r="Q20" i="61"/>
  <c r="B52" i="68"/>
  <c r="B50" i="68"/>
  <c r="B56" i="68"/>
  <c r="B54" i="68"/>
  <c r="B273" i="65"/>
  <c r="B44" i="68"/>
  <c r="B47" i="68"/>
  <c r="B48" i="68"/>
  <c r="B49" i="68"/>
  <c r="B250" i="65"/>
  <c r="B251" i="65"/>
  <c r="B248" i="65"/>
  <c r="B36" i="68"/>
  <c r="L26" i="61"/>
  <c r="L25" i="61"/>
  <c r="L24" i="61"/>
  <c r="L23" i="61"/>
  <c r="L22" i="61"/>
  <c r="L21" i="61"/>
  <c r="B43" i="68"/>
  <c r="B31" i="68"/>
  <c r="B274" i="65"/>
  <c r="B272" i="65"/>
  <c r="B28" i="68"/>
  <c r="B29" i="68"/>
  <c r="B275" i="65"/>
  <c r="B68" i="68"/>
  <c r="B72" i="68"/>
  <c r="B299" i="68"/>
  <c r="B259" i="65"/>
  <c r="B252" i="65"/>
  <c r="B88" i="68"/>
  <c r="B89" i="68"/>
  <c r="B87" i="68"/>
  <c r="B32" i="68"/>
  <c r="B42" i="68"/>
  <c r="B33" i="68"/>
  <c r="B34" i="68"/>
  <c r="B86" i="68"/>
  <c r="B108" i="68"/>
  <c r="B235" i="65"/>
  <c r="J25" i="61"/>
  <c r="B24" i="68"/>
  <c r="B25" i="68"/>
  <c r="B22" i="68"/>
  <c r="B23" i="68"/>
  <c r="B13" i="68"/>
  <c r="B14" i="68"/>
  <c r="B84" i="68"/>
  <c r="B85" i="68"/>
  <c r="L20" i="61"/>
  <c r="B64" i="68"/>
  <c r="B245" i="65"/>
  <c r="J26" i="61"/>
  <c r="J24" i="61"/>
  <c r="J23" i="61"/>
  <c r="J22" i="61"/>
  <c r="D7" i="61"/>
  <c r="B7" i="61"/>
  <c r="B246" i="65"/>
  <c r="B191" i="65"/>
  <c r="B253" i="65"/>
  <c r="B268" i="65"/>
  <c r="B269" i="65"/>
  <c r="B262" i="65"/>
  <c r="B263" i="65"/>
  <c r="B264" i="65"/>
  <c r="B254" i="65"/>
  <c r="B203" i="65"/>
  <c r="B69" i="68"/>
  <c r="B190" i="65"/>
  <c r="P26" i="61"/>
  <c r="P25" i="61"/>
  <c r="P20" i="61"/>
  <c r="B194" i="65"/>
  <c r="B182" i="65"/>
  <c r="B183" i="65"/>
  <c r="B107" i="68"/>
  <c r="B65" i="68"/>
  <c r="B73" i="68"/>
  <c r="B60" i="68"/>
  <c r="B41" i="68"/>
  <c r="B286" i="65"/>
  <c r="B287" i="65"/>
  <c r="B76" i="68"/>
  <c r="B55" i="68"/>
  <c r="B53" i="68"/>
  <c r="B242" i="65"/>
  <c r="B243" i="65"/>
  <c r="B244" i="65"/>
  <c r="B38" i="68"/>
  <c r="B39" i="68"/>
  <c r="B40" i="68"/>
  <c r="B241" i="65"/>
  <c r="B236" i="65"/>
  <c r="B237" i="65"/>
  <c r="B238" i="65"/>
  <c r="B239" i="65"/>
  <c r="B240" i="65"/>
  <c r="B5" i="68"/>
  <c r="B6" i="68"/>
  <c r="B284" i="65"/>
  <c r="B175" i="65"/>
  <c r="B233" i="65"/>
  <c r="B188" i="65"/>
  <c r="B207" i="65"/>
  <c r="B205" i="65"/>
  <c r="B130" i="65"/>
  <c r="B231" i="65"/>
  <c r="B232" i="65"/>
  <c r="B202" i="65"/>
  <c r="B212" i="65"/>
  <c r="B206" i="65"/>
  <c r="B208" i="65"/>
  <c r="B209" i="65"/>
  <c r="B61" i="68"/>
  <c r="B129" i="65"/>
  <c r="B128" i="65"/>
  <c r="B195" i="65"/>
  <c r="B187" i="65"/>
  <c r="B204" i="65"/>
  <c r="B172" i="65"/>
  <c r="B171" i="65"/>
  <c r="B234" i="65"/>
  <c r="B83" i="68"/>
  <c r="B110" i="68"/>
  <c r="B226" i="65"/>
  <c r="B176" i="65"/>
  <c r="B177" i="65"/>
  <c r="B101" i="68"/>
  <c r="B67" i="68"/>
  <c r="B81" i="68"/>
  <c r="B258" i="65"/>
  <c r="B106" i="68"/>
  <c r="B102" i="68"/>
  <c r="B165" i="65"/>
  <c r="B7" i="68"/>
  <c r="B8" i="68"/>
  <c r="B11" i="68"/>
  <c r="B15" i="68"/>
  <c r="B16" i="68"/>
  <c r="B17" i="68"/>
  <c r="B18" i="68"/>
  <c r="B19" i="68"/>
  <c r="B20" i="68"/>
  <c r="B21" i="68"/>
  <c r="B26" i="68"/>
  <c r="B27" i="68"/>
  <c r="B30" i="68"/>
  <c r="B100" i="68"/>
  <c r="B57" i="68"/>
  <c r="B58" i="68"/>
  <c r="B59" i="68"/>
  <c r="B109" i="68"/>
  <c r="B63" i="68"/>
  <c r="B96" i="68"/>
  <c r="B74" i="68"/>
  <c r="B62" i="68"/>
  <c r="B97" i="68"/>
  <c r="B98" i="68"/>
  <c r="B99" i="68"/>
  <c r="B103" i="68"/>
  <c r="B66" i="68"/>
  <c r="B46" i="68"/>
  <c r="B104" i="68"/>
  <c r="B111" i="68"/>
  <c r="B112" i="68"/>
  <c r="B113" i="68"/>
  <c r="B114" i="68"/>
  <c r="B115" i="68"/>
  <c r="B116" i="68"/>
  <c r="B117" i="68"/>
  <c r="B118" i="68"/>
  <c r="B119" i="68"/>
  <c r="B120" i="68"/>
  <c r="B121" i="68"/>
  <c r="B122" i="68"/>
  <c r="B123" i="68"/>
  <c r="B124" i="68"/>
  <c r="B125" i="68"/>
  <c r="B126" i="68"/>
  <c r="B127" i="68"/>
  <c r="B128" i="68"/>
  <c r="B129" i="68"/>
  <c r="B130" i="68"/>
  <c r="B131" i="68"/>
  <c r="B132" i="68"/>
  <c r="B133" i="68"/>
  <c r="B134" i="68"/>
  <c r="B135" i="68"/>
  <c r="B136" i="68"/>
  <c r="B137" i="68"/>
  <c r="B138" i="68"/>
  <c r="B139" i="68"/>
  <c r="B140" i="68"/>
  <c r="B141" i="68"/>
  <c r="B142" i="68"/>
  <c r="B143" i="68"/>
  <c r="B144" i="68"/>
  <c r="B145" i="68"/>
  <c r="B146" i="68"/>
  <c r="B147" i="68"/>
  <c r="B148" i="68"/>
  <c r="B149" i="68"/>
  <c r="B150" i="68"/>
  <c r="B151" i="68"/>
  <c r="B152" i="68"/>
  <c r="B153" i="68"/>
  <c r="B154" i="68"/>
  <c r="B155" i="68"/>
  <c r="B156" i="68"/>
  <c r="B157" i="68"/>
  <c r="B158" i="68"/>
  <c r="B159" i="68"/>
  <c r="B160" i="68"/>
  <c r="B161" i="68"/>
  <c r="B162" i="68"/>
  <c r="B163" i="68"/>
  <c r="B164" i="68"/>
  <c r="B165" i="68"/>
  <c r="B166" i="68"/>
  <c r="B167" i="68"/>
  <c r="B168" i="68"/>
  <c r="B169" i="68"/>
  <c r="B170" i="68"/>
  <c r="B171" i="68"/>
  <c r="B172" i="68"/>
  <c r="B173" i="68"/>
  <c r="B174" i="68"/>
  <c r="B175" i="68"/>
  <c r="B176" i="68"/>
  <c r="B177" i="68"/>
  <c r="B178" i="68"/>
  <c r="B179" i="68"/>
  <c r="B180" i="68"/>
  <c r="B181" i="68"/>
  <c r="B182" i="68"/>
  <c r="B183" i="68"/>
  <c r="B184" i="68"/>
  <c r="B185" i="68"/>
  <c r="B186" i="68"/>
  <c r="B187" i="68"/>
  <c r="B188" i="68"/>
  <c r="B189" i="68"/>
  <c r="B190" i="68"/>
  <c r="B191" i="68"/>
  <c r="B192" i="68"/>
  <c r="B193" i="68"/>
  <c r="B194" i="68"/>
  <c r="B195" i="68"/>
  <c r="B196" i="68"/>
  <c r="B197" i="68"/>
  <c r="B198" i="68"/>
  <c r="B199" i="68"/>
  <c r="B200" i="68"/>
  <c r="B201" i="68"/>
  <c r="B202" i="68"/>
  <c r="B203" i="68"/>
  <c r="B204" i="68"/>
  <c r="B205" i="68"/>
  <c r="B206" i="68"/>
  <c r="B207" i="68"/>
  <c r="B208" i="68"/>
  <c r="B209" i="68"/>
  <c r="B210" i="68"/>
  <c r="B211" i="68"/>
  <c r="B212" i="68"/>
  <c r="B213" i="68"/>
  <c r="B214" i="68"/>
  <c r="B215" i="68"/>
  <c r="B216" i="68"/>
  <c r="B217" i="68"/>
  <c r="B218" i="68"/>
  <c r="B219" i="68"/>
  <c r="B220" i="68"/>
  <c r="B221" i="68"/>
  <c r="B222" i="68"/>
  <c r="B223" i="68"/>
  <c r="B224" i="68"/>
  <c r="B225" i="68"/>
  <c r="B226" i="68"/>
  <c r="B227" i="68"/>
  <c r="B228" i="68"/>
  <c r="B229" i="68"/>
  <c r="B230" i="68"/>
  <c r="B231" i="68"/>
  <c r="B232" i="68"/>
  <c r="B233" i="68"/>
  <c r="B234" i="68"/>
  <c r="B235" i="68"/>
  <c r="B236" i="68"/>
  <c r="B237" i="68"/>
  <c r="B238" i="68"/>
  <c r="B239" i="68"/>
  <c r="B240" i="68"/>
  <c r="B241" i="68"/>
  <c r="B242" i="68"/>
  <c r="B243" i="68"/>
  <c r="B244" i="68"/>
  <c r="B245" i="68"/>
  <c r="B246" i="68"/>
  <c r="B247" i="68"/>
  <c r="B248" i="68"/>
  <c r="B249" i="68"/>
  <c r="B250" i="68"/>
  <c r="B251" i="68"/>
  <c r="B252" i="68"/>
  <c r="B253" i="68"/>
  <c r="B254" i="68"/>
  <c r="B255" i="68"/>
  <c r="B256" i="68"/>
  <c r="B257" i="68"/>
  <c r="B258" i="68"/>
  <c r="B259" i="68"/>
  <c r="B260" i="68"/>
  <c r="B261" i="68"/>
  <c r="B262" i="68"/>
  <c r="B263" i="68"/>
  <c r="B264" i="68"/>
  <c r="B265" i="68"/>
  <c r="B266" i="68"/>
  <c r="B267" i="68"/>
  <c r="B268" i="68"/>
  <c r="B269" i="68"/>
  <c r="B270" i="68"/>
  <c r="B271" i="68"/>
  <c r="B272" i="68"/>
  <c r="B273" i="68"/>
  <c r="B274" i="68"/>
  <c r="B275" i="68"/>
  <c r="B276" i="68"/>
  <c r="B277" i="68"/>
  <c r="B278" i="68"/>
  <c r="B279" i="68"/>
  <c r="B280" i="68"/>
  <c r="B281" i="68"/>
  <c r="B282" i="68"/>
  <c r="B283" i="68"/>
  <c r="B284" i="68"/>
  <c r="B285" i="68"/>
  <c r="B286" i="68"/>
  <c r="B287" i="68"/>
  <c r="B288" i="68"/>
  <c r="B289" i="68"/>
  <c r="B290" i="68"/>
  <c r="B291" i="68"/>
  <c r="B292" i="68"/>
  <c r="B293" i="68"/>
  <c r="B294" i="68"/>
  <c r="B295" i="68"/>
  <c r="B296" i="68"/>
  <c r="B297" i="68"/>
  <c r="B298" i="68"/>
  <c r="L2" i="68"/>
  <c r="B4" i="68"/>
  <c r="B181" i="65"/>
  <c r="B167" i="65"/>
  <c r="B229" i="65"/>
  <c r="B230" i="65"/>
  <c r="B164" i="65"/>
  <c r="B179" i="65"/>
  <c r="B138" i="65"/>
  <c r="B139" i="65"/>
  <c r="B140" i="65"/>
  <c r="B141" i="65"/>
  <c r="B142" i="65"/>
  <c r="B143" i="65"/>
  <c r="B144" i="65"/>
  <c r="B145" i="65"/>
  <c r="B146" i="65"/>
  <c r="B147" i="65"/>
  <c r="B148" i="65"/>
  <c r="B149" i="65"/>
  <c r="B150" i="65"/>
  <c r="B255" i="65"/>
  <c r="B174" i="65"/>
  <c r="B178" i="65"/>
  <c r="B161" i="65"/>
  <c r="B156" i="65"/>
  <c r="B157" i="65"/>
  <c r="B158" i="65"/>
  <c r="B159" i="65"/>
  <c r="B127" i="65"/>
  <c r="M121" i="65"/>
  <c r="J20" i="61" s="1"/>
  <c r="B162" i="65"/>
  <c r="B213" i="65"/>
  <c r="B210" i="65"/>
  <c r="B211" i="65"/>
  <c r="B133" i="65"/>
  <c r="B186" i="65"/>
  <c r="B160" i="65"/>
  <c r="B155" i="65"/>
  <c r="B152" i="65"/>
  <c r="B153" i="65"/>
  <c r="B151" i="65"/>
  <c r="B279" i="65"/>
  <c r="B154" i="65"/>
  <c r="B180" i="65"/>
  <c r="B185" i="65"/>
  <c r="B220" i="65"/>
  <c r="B119" i="65"/>
  <c r="B120" i="65"/>
  <c r="B121" i="65"/>
  <c r="B122" i="65"/>
  <c r="B123" i="65"/>
  <c r="B124" i="65"/>
  <c r="B125" i="65"/>
  <c r="B126" i="65"/>
  <c r="B131" i="65"/>
  <c r="B132" i="65"/>
  <c r="B134" i="65"/>
  <c r="B135" i="65"/>
  <c r="B166" i="65"/>
  <c r="B137" i="65"/>
  <c r="B192" i="65"/>
  <c r="B193" i="65"/>
  <c r="B136" i="65"/>
  <c r="B184" i="65"/>
  <c r="B189" i="65"/>
  <c r="B168" i="65"/>
  <c r="B163" i="65"/>
  <c r="B110" i="65"/>
  <c r="B109" i="65"/>
  <c r="M7" i="61"/>
  <c r="B227" i="65"/>
  <c r="B228" i="65"/>
  <c r="B107" i="65"/>
  <c r="B111" i="65"/>
  <c r="B4" i="65"/>
  <c r="B5" i="65"/>
  <c r="B6" i="65"/>
  <c r="B7" i="65"/>
  <c r="B8" i="65"/>
  <c r="B9" i="65"/>
  <c r="B10" i="65"/>
  <c r="B11" i="65"/>
  <c r="B12" i="65"/>
  <c r="B13" i="65"/>
  <c r="B14" i="65"/>
  <c r="B15" i="65"/>
  <c r="B16" i="65"/>
  <c r="B17" i="65"/>
  <c r="B18" i="65"/>
  <c r="B19" i="65"/>
  <c r="B20" i="65"/>
  <c r="B21" i="65"/>
  <c r="B22" i="65"/>
  <c r="B23" i="65"/>
  <c r="B24" i="65"/>
  <c r="B25" i="65"/>
  <c r="B26" i="65"/>
  <c r="B27" i="65"/>
  <c r="B28" i="65"/>
  <c r="B29" i="65"/>
  <c r="B30" i="65"/>
  <c r="B31" i="65"/>
  <c r="B32" i="65"/>
  <c r="B33" i="65"/>
  <c r="B34" i="65"/>
  <c r="B35" i="65"/>
  <c r="B36" i="65"/>
  <c r="B37" i="65"/>
  <c r="B38" i="65"/>
  <c r="B39" i="65"/>
  <c r="B40" i="65"/>
  <c r="B41" i="65"/>
  <c r="B42" i="65"/>
  <c r="B43" i="65"/>
  <c r="B44" i="65"/>
  <c r="B45" i="65"/>
  <c r="B46" i="65"/>
  <c r="B47" i="65"/>
  <c r="B48" i="65"/>
  <c r="B49" i="65"/>
  <c r="B50" i="65"/>
  <c r="B51" i="65"/>
  <c r="B52" i="65"/>
  <c r="B53" i="65"/>
  <c r="B54" i="65"/>
  <c r="B55" i="65"/>
  <c r="B56" i="65"/>
  <c r="B57" i="65"/>
  <c r="B58" i="65"/>
  <c r="B59" i="65"/>
  <c r="B60" i="65"/>
  <c r="B61" i="65"/>
  <c r="B62" i="65"/>
  <c r="B63" i="65"/>
  <c r="B64" i="65"/>
  <c r="B65" i="65"/>
  <c r="B66" i="65"/>
  <c r="B67" i="65"/>
  <c r="B68" i="65"/>
  <c r="B69" i="65"/>
  <c r="B70" i="65"/>
  <c r="B71" i="65"/>
  <c r="B72" i="65"/>
  <c r="B73" i="65"/>
  <c r="B74" i="65"/>
  <c r="B75" i="65"/>
  <c r="B76" i="65"/>
  <c r="B77" i="65"/>
  <c r="B78" i="65"/>
  <c r="B79" i="65"/>
  <c r="B80" i="65"/>
  <c r="B81" i="65"/>
  <c r="B82" i="65"/>
  <c r="B83" i="65"/>
  <c r="B84" i="65"/>
  <c r="B85" i="65"/>
  <c r="B86" i="65"/>
  <c r="B87" i="65"/>
  <c r="B88" i="65"/>
  <c r="B89" i="65"/>
  <c r="B90" i="65"/>
  <c r="B91" i="65"/>
  <c r="B92" i="65"/>
  <c r="B93" i="65"/>
  <c r="B94" i="65"/>
  <c r="B95" i="65"/>
  <c r="B96" i="65"/>
  <c r="B97" i="65"/>
  <c r="B98" i="65"/>
  <c r="B99" i="65"/>
  <c r="B100" i="65"/>
  <c r="B101" i="65"/>
  <c r="B102" i="65"/>
  <c r="B103" i="65"/>
  <c r="B104" i="65"/>
  <c r="B105" i="65"/>
  <c r="B106" i="65"/>
  <c r="B108" i="65"/>
  <c r="B112" i="65"/>
  <c r="B113" i="65"/>
  <c r="B114" i="65"/>
  <c r="B115" i="65"/>
  <c r="B117" i="65"/>
  <c r="B118" i="65"/>
  <c r="B214" i="65"/>
  <c r="B215" i="65"/>
  <c r="B216" i="65"/>
  <c r="B217" i="65"/>
  <c r="B218" i="65"/>
  <c r="B219" i="65"/>
  <c r="B221" i="65"/>
  <c r="B222" i="65"/>
  <c r="B223" i="65"/>
  <c r="B224" i="65"/>
  <c r="B225" i="65"/>
  <c r="B169" i="65"/>
  <c r="B170" i="65"/>
  <c r="B173" i="65"/>
  <c r="B257" i="65"/>
  <c r="B280" i="65"/>
  <c r="B281" i="65"/>
  <c r="B282" i="65"/>
  <c r="B283" i="65"/>
  <c r="B285" i="65"/>
  <c r="B288" i="65"/>
  <c r="B289" i="65"/>
  <c r="B290" i="65"/>
  <c r="B291" i="65"/>
  <c r="B292" i="65"/>
  <c r="B265" i="65"/>
  <c r="B266" i="65"/>
  <c r="B271" i="65"/>
  <c r="B270" i="65"/>
  <c r="B260" i="65"/>
  <c r="B261" i="65"/>
  <c r="B267" i="65"/>
  <c r="B256" i="65"/>
  <c r="M111" i="65"/>
  <c r="M2" i="65" s="1"/>
  <c r="K4" i="61"/>
  <c r="B4" i="62"/>
  <c r="B121" i="64"/>
  <c r="B246" i="64"/>
  <c r="B248" i="64"/>
  <c r="B200" i="64"/>
  <c r="B260" i="64"/>
  <c r="B251" i="64"/>
  <c r="D280" i="65"/>
  <c r="D2" i="65" s="1"/>
  <c r="O20" i="61"/>
  <c r="B215" i="64"/>
  <c r="B238" i="64"/>
  <c r="B117" i="64"/>
  <c r="B255" i="64"/>
  <c r="L2" i="65"/>
  <c r="B270" i="64"/>
  <c r="B271" i="64"/>
  <c r="B272" i="64"/>
  <c r="B273" i="64"/>
  <c r="B213" i="64"/>
  <c r="B214" i="64"/>
  <c r="B216" i="64"/>
  <c r="B217" i="64"/>
  <c r="B218" i="64"/>
  <c r="B219" i="64"/>
  <c r="B220" i="64"/>
  <c r="B221" i="64"/>
  <c r="B222" i="64"/>
  <c r="B223" i="64"/>
  <c r="B224" i="64"/>
  <c r="B225" i="64"/>
  <c r="B226" i="64"/>
  <c r="B227" i="64"/>
  <c r="B228" i="64"/>
  <c r="B229" i="64"/>
  <c r="B230" i="64"/>
  <c r="B231" i="64"/>
  <c r="B232" i="64"/>
  <c r="B233" i="64"/>
  <c r="B245" i="64"/>
  <c r="B234" i="64"/>
  <c r="B235" i="64"/>
  <c r="B236" i="64"/>
  <c r="B237" i="64"/>
  <c r="B239" i="64"/>
  <c r="B240" i="64"/>
  <c r="B241" i="64"/>
  <c r="B242" i="64"/>
  <c r="B243" i="64"/>
  <c r="B244" i="64"/>
  <c r="B247" i="64"/>
  <c r="B249" i="64"/>
  <c r="B250" i="64"/>
  <c r="B252" i="64"/>
  <c r="B253" i="64"/>
  <c r="B254" i="64"/>
  <c r="B256" i="64"/>
  <c r="B259" i="64"/>
  <c r="B257" i="64"/>
  <c r="B258" i="64"/>
  <c r="B261" i="64"/>
  <c r="B262" i="64"/>
  <c r="B263" i="64"/>
  <c r="B264" i="64"/>
  <c r="B265" i="64"/>
  <c r="B266" i="64"/>
  <c r="B267" i="64"/>
  <c r="B269" i="64"/>
  <c r="B268" i="64"/>
  <c r="B274" i="64"/>
  <c r="B276" i="64"/>
  <c r="B277" i="64"/>
  <c r="B278" i="64"/>
  <c r="B279" i="64"/>
  <c r="B280" i="64"/>
  <c r="B281" i="64"/>
  <c r="B282" i="64"/>
  <c r="B283" i="64"/>
  <c r="B284" i="64"/>
  <c r="B285" i="64"/>
  <c r="B286" i="64"/>
  <c r="B287" i="64"/>
  <c r="B288" i="64"/>
  <c r="B289" i="64"/>
  <c r="B290" i="64"/>
  <c r="B188" i="64"/>
  <c r="B189" i="64"/>
  <c r="B190" i="64"/>
  <c r="B191" i="64"/>
  <c r="B192" i="64"/>
  <c r="B193" i="64"/>
  <c r="B194" i="64"/>
  <c r="B201" i="64"/>
  <c r="B202" i="64"/>
  <c r="B203" i="64"/>
  <c r="B204" i="64"/>
  <c r="B206" i="64"/>
  <c r="B207" i="64"/>
  <c r="B195" i="64"/>
  <c r="B196" i="64"/>
  <c r="B197" i="64"/>
  <c r="B198" i="64"/>
  <c r="B199" i="64"/>
  <c r="B208" i="64"/>
  <c r="B209" i="64"/>
  <c r="B210" i="64"/>
  <c r="B211" i="64"/>
  <c r="B212" i="64"/>
  <c r="B205" i="64"/>
  <c r="B187" i="64"/>
  <c r="W112" i="64"/>
  <c r="B173" i="64"/>
  <c r="H26" i="61"/>
  <c r="H25" i="61"/>
  <c r="H22" i="61"/>
  <c r="H21" i="61"/>
  <c r="H20" i="61"/>
  <c r="B6" i="61"/>
  <c r="B179" i="64"/>
  <c r="B150" i="64"/>
  <c r="B169" i="64"/>
  <c r="B170" i="64"/>
  <c r="B171" i="64"/>
  <c r="B172" i="64"/>
  <c r="B174" i="64"/>
  <c r="B175" i="64"/>
  <c r="B176" i="64"/>
  <c r="B177" i="64"/>
  <c r="B178" i="64"/>
  <c r="B180" i="64"/>
  <c r="B181" i="64"/>
  <c r="B182" i="64"/>
  <c r="B167" i="64"/>
  <c r="B183" i="64"/>
  <c r="B184" i="64"/>
  <c r="B185" i="64"/>
  <c r="B186" i="64"/>
  <c r="B168" i="64"/>
  <c r="O21" i="61"/>
  <c r="P21" i="61" s="1"/>
  <c r="O22" i="61"/>
  <c r="P22" i="61" s="1"/>
  <c r="O23" i="61"/>
  <c r="P23" i="61" s="1"/>
  <c r="O24" i="61"/>
  <c r="P24" i="61" s="1"/>
  <c r="O25" i="61"/>
  <c r="O26" i="61"/>
  <c r="B162" i="64"/>
  <c r="D25" i="61"/>
  <c r="M249" i="64"/>
  <c r="B151" i="64"/>
  <c r="B67" i="64"/>
  <c r="B153" i="64"/>
  <c r="B97" i="64"/>
  <c r="B98" i="64"/>
  <c r="B147" i="64"/>
  <c r="U80" i="64"/>
  <c r="B154" i="64"/>
  <c r="B155" i="64"/>
  <c r="B156" i="64"/>
  <c r="B157" i="64"/>
  <c r="B158" i="64"/>
  <c r="B159" i="64"/>
  <c r="B160" i="64"/>
  <c r="B161" i="64"/>
  <c r="B165" i="64"/>
  <c r="B166" i="64"/>
  <c r="B163" i="64"/>
  <c r="B164" i="64"/>
  <c r="B152" i="64"/>
  <c r="B137" i="64"/>
  <c r="B138" i="64"/>
  <c r="B139" i="64"/>
  <c r="B140" i="64"/>
  <c r="B141" i="64"/>
  <c r="B142" i="64"/>
  <c r="B143" i="64"/>
  <c r="B144" i="64"/>
  <c r="B145" i="64"/>
  <c r="B146" i="64"/>
  <c r="B148" i="64"/>
  <c r="B149" i="64"/>
  <c r="B96" i="64"/>
  <c r="B136" i="64"/>
  <c r="M138" i="64"/>
  <c r="B91" i="64"/>
  <c r="B99" i="64"/>
  <c r="M63" i="64"/>
  <c r="S99" i="64"/>
  <c r="U118" i="64"/>
  <c r="V118" i="64"/>
  <c r="W118" i="64"/>
  <c r="U119" i="64"/>
  <c r="V119" i="64"/>
  <c r="W119" i="64"/>
  <c r="U120" i="64"/>
  <c r="V120" i="64"/>
  <c r="W120" i="64"/>
  <c r="U121" i="64"/>
  <c r="V121" i="64"/>
  <c r="W121" i="64"/>
  <c r="U122" i="64"/>
  <c r="V122" i="64"/>
  <c r="W122" i="64"/>
  <c r="U123" i="64"/>
  <c r="V123" i="64"/>
  <c r="W123" i="64"/>
  <c r="U124" i="64"/>
  <c r="V124" i="64"/>
  <c r="W124" i="64"/>
  <c r="U125" i="64"/>
  <c r="V125" i="64"/>
  <c r="W125" i="64"/>
  <c r="U126" i="64"/>
  <c r="V126" i="64"/>
  <c r="W126" i="64"/>
  <c r="U127" i="64"/>
  <c r="V127" i="64"/>
  <c r="W127" i="64"/>
  <c r="U128" i="64"/>
  <c r="V128" i="64"/>
  <c r="W128" i="64"/>
  <c r="U129" i="64"/>
  <c r="V129" i="64"/>
  <c r="W129" i="64"/>
  <c r="U130" i="64"/>
  <c r="V130" i="64"/>
  <c r="W130" i="64"/>
  <c r="U131" i="64"/>
  <c r="V131" i="64"/>
  <c r="W131" i="64"/>
  <c r="U132" i="64"/>
  <c r="V132" i="64"/>
  <c r="W132" i="64"/>
  <c r="U133" i="64"/>
  <c r="V133" i="64"/>
  <c r="W133" i="64"/>
  <c r="U134" i="64"/>
  <c r="V134" i="64"/>
  <c r="W134" i="64"/>
  <c r="U135" i="64"/>
  <c r="V135" i="64"/>
  <c r="W135" i="64"/>
  <c r="U156" i="64"/>
  <c r="V156" i="64"/>
  <c r="W156" i="64"/>
  <c r="U157" i="64"/>
  <c r="V157" i="64"/>
  <c r="W157" i="64"/>
  <c r="U158" i="64"/>
  <c r="V158" i="64"/>
  <c r="W158" i="64"/>
  <c r="U159" i="64"/>
  <c r="V159" i="64"/>
  <c r="W159" i="64"/>
  <c r="U160" i="64"/>
  <c r="V160" i="64"/>
  <c r="W160" i="64"/>
  <c r="U161" i="64"/>
  <c r="V161" i="64"/>
  <c r="W161" i="64"/>
  <c r="U106" i="64"/>
  <c r="V106" i="64"/>
  <c r="W106" i="64"/>
  <c r="U107" i="64"/>
  <c r="V107" i="64"/>
  <c r="W107" i="64"/>
  <c r="U108" i="64"/>
  <c r="V108" i="64"/>
  <c r="W108" i="64"/>
  <c r="U109" i="64"/>
  <c r="V109" i="64"/>
  <c r="W109" i="64"/>
  <c r="U110" i="64"/>
  <c r="V110" i="64"/>
  <c r="W110" i="64"/>
  <c r="U111" i="64"/>
  <c r="V111" i="64"/>
  <c r="W111" i="64"/>
  <c r="U112" i="64"/>
  <c r="V112" i="64"/>
  <c r="U113" i="64"/>
  <c r="V113" i="64"/>
  <c r="W113" i="64"/>
  <c r="U114" i="64"/>
  <c r="V114" i="64"/>
  <c r="W114" i="64"/>
  <c r="U115" i="64"/>
  <c r="V115" i="64"/>
  <c r="W115" i="64"/>
  <c r="U116" i="64"/>
  <c r="V116" i="64"/>
  <c r="W116" i="64"/>
  <c r="U90" i="64"/>
  <c r="V90" i="64"/>
  <c r="W90" i="64"/>
  <c r="U88" i="64"/>
  <c r="V88" i="64"/>
  <c r="W88" i="64"/>
  <c r="U86" i="64"/>
  <c r="V86" i="64"/>
  <c r="W86" i="64"/>
  <c r="U85" i="64"/>
  <c r="V85" i="64"/>
  <c r="W85" i="64"/>
  <c r="U83" i="64"/>
  <c r="V83" i="64"/>
  <c r="W83" i="64"/>
  <c r="U81" i="64"/>
  <c r="V81" i="64"/>
  <c r="W81" i="64"/>
  <c r="V80" i="64"/>
  <c r="W80" i="64"/>
  <c r="U79" i="64"/>
  <c r="V79" i="64"/>
  <c r="W79" i="64"/>
  <c r="U40" i="64"/>
  <c r="U41" i="64"/>
  <c r="U42" i="64"/>
  <c r="U43" i="64"/>
  <c r="U44" i="64"/>
  <c r="U45" i="64"/>
  <c r="U46" i="64"/>
  <c r="U59" i="64"/>
  <c r="U60" i="64"/>
  <c r="U61" i="64"/>
  <c r="U62" i="64"/>
  <c r="U66" i="64"/>
  <c r="U67" i="64"/>
  <c r="U71" i="64"/>
  <c r="V59" i="64"/>
  <c r="W59" i="64"/>
  <c r="V60" i="64"/>
  <c r="W60" i="64"/>
  <c r="V61" i="64"/>
  <c r="W61" i="64"/>
  <c r="V62" i="64"/>
  <c r="W62" i="64"/>
  <c r="U65" i="64"/>
  <c r="V65" i="64"/>
  <c r="W65" i="64"/>
  <c r="V66" i="64"/>
  <c r="W66" i="64"/>
  <c r="V67" i="64"/>
  <c r="W67" i="64"/>
  <c r="U68" i="64"/>
  <c r="V68" i="64"/>
  <c r="W68" i="64"/>
  <c r="U69" i="64"/>
  <c r="V69" i="64"/>
  <c r="W69" i="64"/>
  <c r="U70" i="64"/>
  <c r="V70" i="64"/>
  <c r="W70" i="64"/>
  <c r="V71" i="64"/>
  <c r="W71" i="64"/>
  <c r="U72" i="64"/>
  <c r="V72" i="64"/>
  <c r="W72" i="64"/>
  <c r="W42" i="64"/>
  <c r="V42" i="64"/>
  <c r="W41" i="64"/>
  <c r="V41" i="64"/>
  <c r="W40" i="64"/>
  <c r="V40" i="64"/>
  <c r="W44" i="64"/>
  <c r="V44" i="64"/>
  <c r="W43" i="64"/>
  <c r="V43" i="64"/>
  <c r="W45" i="64"/>
  <c r="V45" i="64"/>
  <c r="W46" i="64"/>
  <c r="V46" i="64"/>
  <c r="W4" i="64"/>
  <c r="V4" i="64"/>
  <c r="U4" i="64"/>
  <c r="M95" i="64"/>
  <c r="M94" i="64"/>
  <c r="H24" i="61"/>
  <c r="B134" i="64"/>
  <c r="B133" i="64"/>
  <c r="B132" i="64"/>
  <c r="B116" i="64"/>
  <c r="B90" i="64"/>
  <c r="B85" i="64"/>
  <c r="B87" i="64"/>
  <c r="B88" i="64"/>
  <c r="B89" i="64"/>
  <c r="B84" i="64"/>
  <c r="B86" i="64"/>
  <c r="B82" i="64"/>
  <c r="B115" i="64"/>
  <c r="B75" i="64"/>
  <c r="B63" i="64"/>
  <c r="B83" i="64"/>
  <c r="N19" i="61"/>
  <c r="B103" i="64"/>
  <c r="B95" i="64"/>
  <c r="B64" i="64"/>
  <c r="B80" i="64"/>
  <c r="B79" i="64"/>
  <c r="B69" i="64"/>
  <c r="D156" i="64"/>
  <c r="B71" i="64"/>
  <c r="B39" i="64"/>
  <c r="B74" i="64"/>
  <c r="B77" i="64"/>
  <c r="D65" i="64"/>
  <c r="B28" i="64"/>
  <c r="B100" i="64"/>
  <c r="B94" i="64"/>
  <c r="B93" i="64"/>
  <c r="B112" i="64"/>
  <c r="B8" i="64"/>
  <c r="B140" i="63"/>
  <c r="B54" i="64"/>
  <c r="D59" i="64"/>
  <c r="B62" i="64"/>
  <c r="B57" i="64"/>
  <c r="B23" i="64"/>
  <c r="B78" i="64"/>
  <c r="B114" i="64"/>
  <c r="B111" i="64"/>
  <c r="B76" i="64"/>
  <c r="B58" i="64"/>
  <c r="B123" i="64"/>
  <c r="B124" i="64"/>
  <c r="B55" i="64"/>
  <c r="B19" i="64"/>
  <c r="B60" i="64"/>
  <c r="D26" i="61"/>
  <c r="B26" i="64"/>
  <c r="B27" i="64"/>
  <c r="B29" i="64"/>
  <c r="B30" i="64"/>
  <c r="B25" i="64"/>
  <c r="B92" i="64"/>
  <c r="B17" i="64"/>
  <c r="B18" i="64"/>
  <c r="B20" i="64"/>
  <c r="B21" i="64"/>
  <c r="B22" i="64"/>
  <c r="B24" i="64"/>
  <c r="B16" i="64"/>
  <c r="B51" i="64"/>
  <c r="B52" i="64"/>
  <c r="B53" i="64"/>
  <c r="B59" i="64"/>
  <c r="B15" i="64"/>
  <c r="B61" i="64"/>
  <c r="B65" i="64"/>
  <c r="B66" i="64"/>
  <c r="B72" i="64"/>
  <c r="B73" i="64"/>
  <c r="B68" i="64"/>
  <c r="B70" i="64"/>
  <c r="B118" i="64"/>
  <c r="B119" i="64"/>
  <c r="B120" i="64"/>
  <c r="B122" i="64"/>
  <c r="B125" i="64"/>
  <c r="B126" i="64"/>
  <c r="B127" i="64"/>
  <c r="B128" i="64"/>
  <c r="B129" i="64"/>
  <c r="B130" i="64"/>
  <c r="B131" i="64"/>
  <c r="B135" i="64"/>
  <c r="B9" i="64"/>
  <c r="B10" i="64"/>
  <c r="B14" i="64"/>
  <c r="D21" i="61"/>
  <c r="B7" i="64"/>
  <c r="B11" i="64"/>
  <c r="B12" i="64"/>
  <c r="B13" i="64"/>
  <c r="B45" i="64"/>
  <c r="B6" i="64"/>
  <c r="B5" i="64"/>
  <c r="B173" i="63"/>
  <c r="B198" i="63"/>
  <c r="B197" i="63"/>
  <c r="B199" i="63"/>
  <c r="B200" i="63"/>
  <c r="B201" i="63"/>
  <c r="B202" i="63"/>
  <c r="D20" i="61"/>
  <c r="B193" i="63"/>
  <c r="B194" i="63"/>
  <c r="B195" i="63"/>
  <c r="B196" i="63"/>
  <c r="B36" i="63"/>
  <c r="B37" i="63"/>
  <c r="B38" i="63"/>
  <c r="B39" i="63"/>
  <c r="B40" i="63"/>
  <c r="B41" i="63"/>
  <c r="B42" i="63"/>
  <c r="B43" i="63"/>
  <c r="B44" i="63"/>
  <c r="B45" i="63"/>
  <c r="B46" i="63"/>
  <c r="B47" i="63"/>
  <c r="B48" i="63"/>
  <c r="B49" i="63"/>
  <c r="B50" i="63"/>
  <c r="B51" i="63"/>
  <c r="B52" i="63"/>
  <c r="B53" i="63"/>
  <c r="B54" i="63"/>
  <c r="B55" i="63"/>
  <c r="B56" i="63"/>
  <c r="B57" i="63"/>
  <c r="B58" i="63"/>
  <c r="B59" i="63"/>
  <c r="B60" i="63"/>
  <c r="B61" i="63"/>
  <c r="B62" i="63"/>
  <c r="B63" i="63"/>
  <c r="B64" i="63"/>
  <c r="B65" i="63"/>
  <c r="B66" i="63"/>
  <c r="B67" i="63"/>
  <c r="B68" i="63"/>
  <c r="B69" i="63"/>
  <c r="B70" i="63"/>
  <c r="B71" i="63"/>
  <c r="B72" i="63"/>
  <c r="B73" i="63"/>
  <c r="B74" i="63"/>
  <c r="B75" i="63"/>
  <c r="B76" i="63"/>
  <c r="B77" i="63"/>
  <c r="B78" i="63"/>
  <c r="B79" i="63"/>
  <c r="B80" i="63"/>
  <c r="B81" i="63"/>
  <c r="B82" i="63"/>
  <c r="B83" i="63"/>
  <c r="B84" i="63"/>
  <c r="B85" i="63"/>
  <c r="B86" i="63"/>
  <c r="B87" i="63"/>
  <c r="B88" i="63"/>
  <c r="B89" i="63"/>
  <c r="B90" i="63"/>
  <c r="B91" i="63"/>
  <c r="B92" i="63"/>
  <c r="B93" i="63"/>
  <c r="B94" i="63"/>
  <c r="B95" i="63"/>
  <c r="B96" i="63"/>
  <c r="B97" i="63"/>
  <c r="B98" i="63"/>
  <c r="B99" i="63"/>
  <c r="B100" i="63"/>
  <c r="B101" i="63"/>
  <c r="B102" i="63"/>
  <c r="B103" i="63"/>
  <c r="B104" i="63"/>
  <c r="B105" i="63"/>
  <c r="B106" i="63"/>
  <c r="B107" i="63"/>
  <c r="B108" i="63"/>
  <c r="B109" i="63"/>
  <c r="B110" i="63"/>
  <c r="B111" i="63"/>
  <c r="B112" i="63"/>
  <c r="B113" i="63"/>
  <c r="B114" i="63"/>
  <c r="B115" i="63"/>
  <c r="B116" i="63"/>
  <c r="B117" i="63"/>
  <c r="B118" i="63"/>
  <c r="B119" i="63"/>
  <c r="B120" i="63"/>
  <c r="B121" i="63"/>
  <c r="B122" i="63"/>
  <c r="B123" i="63"/>
  <c r="B124" i="63"/>
  <c r="B125" i="63"/>
  <c r="B126" i="63"/>
  <c r="B127" i="63"/>
  <c r="B128" i="63"/>
  <c r="B129" i="63"/>
  <c r="B130" i="63"/>
  <c r="B131" i="63"/>
  <c r="B132" i="63"/>
  <c r="B133" i="63"/>
  <c r="B134" i="63"/>
  <c r="B135" i="63"/>
  <c r="B136" i="63"/>
  <c r="B137" i="63"/>
  <c r="B138" i="63"/>
  <c r="B139" i="63"/>
  <c r="B141" i="63"/>
  <c r="B142" i="63"/>
  <c r="B143" i="63"/>
  <c r="B144" i="63"/>
  <c r="B145" i="63"/>
  <c r="B146" i="63"/>
  <c r="B147" i="63"/>
  <c r="B148" i="63"/>
  <c r="B149" i="63"/>
  <c r="B150" i="63"/>
  <c r="B151" i="63"/>
  <c r="B152" i="63"/>
  <c r="B153" i="63"/>
  <c r="B154" i="63"/>
  <c r="B155" i="63"/>
  <c r="B156" i="63"/>
  <c r="B157" i="63"/>
  <c r="B158" i="63"/>
  <c r="B159" i="63"/>
  <c r="B160" i="63"/>
  <c r="B161" i="63"/>
  <c r="B162" i="63"/>
  <c r="B163" i="63"/>
  <c r="B164" i="63"/>
  <c r="B165" i="63"/>
  <c r="B166" i="63"/>
  <c r="B167" i="63"/>
  <c r="B168" i="63"/>
  <c r="B169" i="63"/>
  <c r="B170" i="63"/>
  <c r="B171" i="63"/>
  <c r="B172" i="63"/>
  <c r="B174" i="63"/>
  <c r="B175" i="63"/>
  <c r="B176" i="63"/>
  <c r="B177" i="63"/>
  <c r="B178" i="63"/>
  <c r="B179" i="63"/>
  <c r="B180" i="63"/>
  <c r="B181" i="63"/>
  <c r="B182" i="63"/>
  <c r="B183" i="63"/>
  <c r="B184" i="63"/>
  <c r="B185" i="63"/>
  <c r="B186" i="63"/>
  <c r="B187" i="63"/>
  <c r="B188" i="63"/>
  <c r="B189" i="63"/>
  <c r="B190" i="63"/>
  <c r="B191" i="63"/>
  <c r="B192" i="63"/>
  <c r="B203" i="63"/>
  <c r="B204" i="63"/>
  <c r="B205" i="63"/>
  <c r="B206" i="63"/>
  <c r="B207" i="63"/>
  <c r="B208" i="63"/>
  <c r="B209" i="63"/>
  <c r="B210" i="63"/>
  <c r="B211" i="63"/>
  <c r="B212" i="63"/>
  <c r="M98" i="64"/>
  <c r="B113" i="64"/>
  <c r="M97" i="64"/>
  <c r="D6" i="61"/>
  <c r="B106" i="64"/>
  <c r="B48" i="64"/>
  <c r="B47" i="64"/>
  <c r="B81" i="64"/>
  <c r="B107" i="64"/>
  <c r="M6" i="61"/>
  <c r="B49" i="64"/>
  <c r="B56" i="64"/>
  <c r="B108" i="64"/>
  <c r="B109" i="64"/>
  <c r="B101" i="64"/>
  <c r="B104" i="64"/>
  <c r="B105" i="64"/>
  <c r="B102" i="64"/>
  <c r="B110" i="64"/>
  <c r="B50" i="64"/>
  <c r="D5" i="61"/>
  <c r="N2" i="63"/>
  <c r="B46" i="64"/>
  <c r="B4" i="64"/>
  <c r="C5" i="61"/>
  <c r="D28" i="61"/>
  <c r="D24" i="61"/>
  <c r="B41" i="64"/>
  <c r="B42" i="64"/>
  <c r="D31" i="64"/>
  <c r="D23" i="61"/>
  <c r="D22" i="61"/>
  <c r="B20" i="61"/>
  <c r="B32" i="64"/>
  <c r="B33" i="64"/>
  <c r="B34" i="64"/>
  <c r="B35" i="64"/>
  <c r="B36" i="64"/>
  <c r="B37" i="64"/>
  <c r="B38" i="64"/>
  <c r="B44" i="64"/>
  <c r="B43" i="64"/>
  <c r="B31" i="64"/>
  <c r="B40" i="64"/>
  <c r="L2" i="64"/>
  <c r="D30" i="61"/>
  <c r="L2" i="60"/>
  <c r="L2" i="62"/>
  <c r="B4" i="63"/>
  <c r="B5" i="63"/>
  <c r="B6" i="63"/>
  <c r="B7" i="63"/>
  <c r="B8" i="63"/>
  <c r="B9" i="63"/>
  <c r="B10" i="63"/>
  <c r="B11" i="63"/>
  <c r="B12" i="63"/>
  <c r="B13" i="63"/>
  <c r="B14" i="63"/>
  <c r="B15" i="63"/>
  <c r="B16" i="63"/>
  <c r="B17" i="63"/>
  <c r="B18" i="63"/>
  <c r="B19" i="63"/>
  <c r="B20" i="63"/>
  <c r="B26" i="63"/>
  <c r="B27" i="63"/>
  <c r="B29" i="63"/>
  <c r="B30" i="63"/>
  <c r="B31" i="63"/>
  <c r="B32" i="63"/>
  <c r="B33" i="63"/>
  <c r="B34" i="63"/>
  <c r="B35" i="63"/>
  <c r="L27" i="61"/>
  <c r="L31" i="61"/>
  <c r="B176" i="62"/>
  <c r="B175" i="62"/>
  <c r="B141" i="62"/>
  <c r="B160" i="62"/>
  <c r="B161" i="62"/>
  <c r="B171" i="62"/>
  <c r="B190" i="62"/>
  <c r="B159" i="62"/>
  <c r="B149" i="62"/>
  <c r="B142" i="62"/>
  <c r="B170" i="62"/>
  <c r="B157" i="62"/>
  <c r="B154" i="62"/>
  <c r="B155" i="62"/>
  <c r="B156" i="62"/>
  <c r="L20" i="63"/>
  <c r="L2" i="63"/>
  <c r="B153" i="62"/>
  <c r="B172" i="62"/>
  <c r="B136" i="62"/>
  <c r="D137" i="63"/>
  <c r="B137" i="62"/>
  <c r="B138" i="62"/>
  <c r="B189" i="62"/>
  <c r="B30" i="61"/>
  <c r="B28" i="61"/>
  <c r="B25" i="61"/>
  <c r="B24" i="61"/>
  <c r="B23" i="61"/>
  <c r="B22" i="61"/>
  <c r="B21" i="61"/>
  <c r="C4" i="61"/>
  <c r="B4" i="61"/>
  <c r="B174" i="62"/>
  <c r="B134" i="62"/>
  <c r="B135" i="62"/>
  <c r="K2" i="63"/>
  <c r="D104" i="62"/>
  <c r="B126" i="62"/>
  <c r="B108" i="62"/>
  <c r="B117" i="62"/>
  <c r="B95" i="62"/>
  <c r="B90" i="62"/>
  <c r="B85" i="62"/>
  <c r="B99" i="62"/>
  <c r="B98" i="62"/>
  <c r="B97" i="62"/>
  <c r="B96" i="62"/>
  <c r="B150" i="62"/>
  <c r="B88" i="62"/>
  <c r="B188" i="62"/>
  <c r="B110" i="62"/>
  <c r="B129" i="62"/>
  <c r="B84" i="62"/>
  <c r="B89" i="62"/>
  <c r="B83" i="62"/>
  <c r="B145" i="62"/>
  <c r="B122" i="62"/>
  <c r="B127" i="62"/>
  <c r="B158" i="62"/>
  <c r="B86" i="62"/>
  <c r="B120" i="62"/>
  <c r="B144" i="62"/>
  <c r="B131" i="62"/>
  <c r="B187" i="62"/>
  <c r="B103" i="62"/>
  <c r="B106" i="62"/>
  <c r="B173" i="62"/>
  <c r="B128" i="62"/>
  <c r="B124" i="62"/>
  <c r="B123" i="62"/>
  <c r="B140" i="62"/>
  <c r="B92" i="62"/>
  <c r="B143" i="62"/>
  <c r="B53" i="62"/>
  <c r="B56" i="62"/>
  <c r="B74" i="62"/>
  <c r="B94" i="62"/>
  <c r="B61" i="62"/>
  <c r="B78" i="62"/>
  <c r="D166" i="62"/>
  <c r="B167" i="62"/>
  <c r="B168" i="62"/>
  <c r="B169" i="62"/>
  <c r="B80" i="62"/>
  <c r="B81" i="62"/>
  <c r="B79" i="62"/>
  <c r="B69" i="62"/>
  <c r="B68" i="62"/>
  <c r="B67" i="62"/>
  <c r="B66" i="62"/>
  <c r="B65" i="62"/>
  <c r="B64" i="62"/>
  <c r="B63" i="62"/>
  <c r="B58" i="62"/>
  <c r="B165" i="62"/>
  <c r="B60" i="62"/>
  <c r="B62" i="62"/>
  <c r="B52" i="62"/>
  <c r="B51" i="62"/>
  <c r="B105" i="62"/>
  <c r="B87" i="62"/>
  <c r="B93" i="62"/>
  <c r="B151" i="62"/>
  <c r="B152" i="62"/>
  <c r="B77" i="62"/>
  <c r="B184" i="62"/>
  <c r="B185" i="62"/>
  <c r="B183" i="62"/>
  <c r="S98" i="62"/>
  <c r="R98" i="62"/>
  <c r="B50" i="62"/>
  <c r="B130" i="62"/>
  <c r="B101" i="62"/>
  <c r="B102" i="62"/>
  <c r="B91" i="62"/>
  <c r="B119" i="62"/>
  <c r="B112" i="62"/>
  <c r="B113" i="62"/>
  <c r="B42" i="62"/>
  <c r="B24" i="62"/>
  <c r="C3" i="61"/>
  <c r="B3" i="61"/>
  <c r="B35" i="62"/>
  <c r="B36" i="62"/>
  <c r="B45" i="62"/>
  <c r="B28" i="62"/>
  <c r="B31" i="62"/>
  <c r="B32" i="62"/>
  <c r="B33" i="62"/>
  <c r="B29" i="62"/>
  <c r="B34" i="62"/>
  <c r="B38" i="62"/>
  <c r="B39" i="62"/>
  <c r="B40" i="62"/>
  <c r="B41" i="62"/>
  <c r="B37" i="62"/>
  <c r="B182" i="62"/>
  <c r="B121" i="62"/>
  <c r="B12" i="62"/>
  <c r="B43" i="62"/>
  <c r="B25" i="62"/>
  <c r="B26" i="62"/>
  <c r="B27" i="62"/>
  <c r="B49" i="62"/>
  <c r="B44" i="62"/>
  <c r="B75" i="62"/>
  <c r="B76" i="62"/>
  <c r="B71" i="62"/>
  <c r="B73" i="62"/>
  <c r="B125" i="62"/>
  <c r="B48" i="62"/>
  <c r="B55" i="62"/>
  <c r="B132" i="62"/>
  <c r="B133" i="62"/>
  <c r="B104" i="62"/>
  <c r="B107" i="62"/>
  <c r="B109" i="62"/>
  <c r="B111" i="62"/>
  <c r="B114" i="62"/>
  <c r="B115" i="62"/>
  <c r="B116" i="62"/>
  <c r="B118" i="62"/>
  <c r="B177" i="62"/>
  <c r="B178" i="62"/>
  <c r="B162" i="62"/>
  <c r="B163" i="62"/>
  <c r="B164" i="62"/>
  <c r="B166" i="62"/>
  <c r="B54" i="62"/>
  <c r="B46" i="62"/>
  <c r="B82" i="62"/>
  <c r="B100" i="62"/>
  <c r="B72" i="62"/>
  <c r="B179" i="62"/>
  <c r="B180" i="62"/>
  <c r="B181" i="62"/>
  <c r="B47" i="62"/>
  <c r="B146" i="62"/>
  <c r="B147" i="62"/>
  <c r="B186" i="62"/>
  <c r="B57" i="62"/>
  <c r="B59" i="62"/>
  <c r="B148" i="62"/>
  <c r="B70" i="62"/>
  <c r="B6" i="62"/>
  <c r="B7" i="62"/>
  <c r="B17" i="62"/>
  <c r="B18" i="62"/>
  <c r="B10" i="62"/>
  <c r="B21" i="62"/>
  <c r="B22" i="62"/>
  <c r="B20" i="62"/>
  <c r="B19" i="62"/>
  <c r="B5" i="62"/>
  <c r="B8" i="62"/>
  <c r="B13" i="62"/>
  <c r="B14" i="62"/>
  <c r="B15" i="62"/>
  <c r="B16" i="62"/>
  <c r="B9" i="62"/>
  <c r="B11" i="62"/>
  <c r="B23" i="62"/>
  <c r="B147" i="60"/>
  <c r="D3" i="61"/>
  <c r="S74" i="62"/>
  <c r="R74" i="62"/>
  <c r="B128" i="60"/>
  <c r="B151" i="60"/>
  <c r="D162" i="62"/>
  <c r="D2" i="62"/>
  <c r="B157" i="60"/>
  <c r="B150" i="60"/>
  <c r="B149" i="60"/>
  <c r="B155" i="60"/>
  <c r="B156" i="60"/>
  <c r="B144" i="60"/>
  <c r="B154" i="60"/>
  <c r="B153" i="60"/>
  <c r="B170" i="60"/>
  <c r="B126" i="60"/>
  <c r="B145" i="60"/>
  <c r="S39" i="62"/>
  <c r="R39" i="62"/>
  <c r="S25" i="62"/>
  <c r="R25" i="62"/>
  <c r="S125" i="62"/>
  <c r="R125" i="62"/>
  <c r="S4" i="62"/>
  <c r="R4" i="62"/>
  <c r="K2" i="62"/>
  <c r="B15" i="60"/>
  <c r="B140" i="60"/>
  <c r="E3" i="61"/>
  <c r="K3" i="61" s="1"/>
  <c r="H4" i="61"/>
  <c r="B146" i="60"/>
  <c r="B137" i="60"/>
  <c r="B106" i="60"/>
  <c r="B105" i="60"/>
  <c r="B112" i="60"/>
  <c r="B113" i="60"/>
  <c r="B114" i="60"/>
  <c r="B136" i="60"/>
  <c r="B115" i="60"/>
  <c r="B116" i="60"/>
  <c r="B168" i="60"/>
  <c r="B169" i="60"/>
  <c r="B141" i="60"/>
  <c r="B75" i="60"/>
  <c r="B6" i="60"/>
  <c r="B110" i="60"/>
  <c r="B108" i="60"/>
  <c r="B164" i="60"/>
  <c r="B84" i="60"/>
  <c r="B16" i="60"/>
  <c r="B92" i="60"/>
  <c r="B94" i="60"/>
  <c r="K2" i="60"/>
  <c r="B148" i="60"/>
  <c r="B130" i="60"/>
  <c r="B111" i="60"/>
  <c r="B166" i="60"/>
  <c r="B167" i="60"/>
  <c r="B109" i="60"/>
  <c r="B70" i="60"/>
  <c r="B91" i="60"/>
  <c r="B134" i="60"/>
  <c r="B99" i="60"/>
  <c r="B117" i="60"/>
  <c r="B118" i="60"/>
  <c r="B142" i="60"/>
  <c r="B107" i="60"/>
  <c r="B100" i="60"/>
  <c r="B83" i="60"/>
  <c r="B101" i="60"/>
  <c r="B102" i="60"/>
  <c r="B103" i="60"/>
  <c r="B135" i="60"/>
  <c r="B82" i="60"/>
  <c r="B81" i="60"/>
  <c r="B85" i="60"/>
  <c r="B71" i="60"/>
  <c r="B72" i="60"/>
  <c r="B65" i="60"/>
  <c r="B52" i="60"/>
  <c r="B121" i="60"/>
  <c r="B165" i="60"/>
  <c r="B139" i="60"/>
  <c r="B73" i="60"/>
  <c r="B78" i="60"/>
  <c r="B159" i="60"/>
  <c r="B77" i="60"/>
  <c r="B133" i="60"/>
  <c r="B143" i="60"/>
  <c r="B163" i="60"/>
  <c r="B79" i="60"/>
  <c r="B120" i="60"/>
  <c r="B93" i="60"/>
  <c r="B132" i="60"/>
  <c r="B90" i="60"/>
  <c r="B80" i="60"/>
  <c r="B57" i="60"/>
  <c r="S62" i="60"/>
  <c r="T62" i="60"/>
  <c r="B62" i="60"/>
  <c r="S48" i="60"/>
  <c r="T48" i="60"/>
  <c r="U48" i="60"/>
  <c r="B48" i="60"/>
  <c r="B34" i="60"/>
  <c r="B86" i="60"/>
  <c r="B45" i="60"/>
  <c r="B59" i="60"/>
  <c r="B51" i="60"/>
  <c r="B74" i="60"/>
  <c r="B46" i="60"/>
  <c r="S51" i="60"/>
  <c r="T51" i="60"/>
  <c r="B61" i="60"/>
  <c r="B63" i="60"/>
  <c r="B66" i="60"/>
  <c r="B67" i="60"/>
  <c r="B68" i="60"/>
  <c r="B69" i="60"/>
  <c r="B89" i="60"/>
  <c r="B55" i="60"/>
  <c r="B56" i="60"/>
  <c r="B43" i="60"/>
  <c r="B44" i="60"/>
  <c r="B88" i="60"/>
  <c r="B87" i="60"/>
  <c r="S61" i="60"/>
  <c r="T61" i="60"/>
  <c r="S63" i="60"/>
  <c r="T63" i="60"/>
  <c r="S47" i="60"/>
  <c r="T47" i="60"/>
  <c r="S119" i="60"/>
  <c r="T119" i="60"/>
  <c r="S74" i="60"/>
  <c r="T74" i="60"/>
  <c r="S52" i="60"/>
  <c r="T52" i="60"/>
  <c r="S125" i="60"/>
  <c r="T125" i="60"/>
  <c r="S67" i="60"/>
  <c r="T67" i="60"/>
  <c r="S128" i="60"/>
  <c r="T128" i="60"/>
  <c r="S30" i="60"/>
  <c r="T30" i="60"/>
  <c r="S40" i="60"/>
  <c r="T40" i="60"/>
  <c r="S21" i="60"/>
  <c r="T21" i="60"/>
  <c r="S16" i="60"/>
  <c r="T16" i="60"/>
  <c r="S8" i="60"/>
  <c r="T8" i="60"/>
  <c r="D93" i="60"/>
  <c r="D2" i="60"/>
  <c r="B40" i="60"/>
  <c r="B131" i="60"/>
  <c r="B162" i="60"/>
  <c r="B161" i="60"/>
  <c r="B30" i="60"/>
  <c r="B31" i="60"/>
  <c r="S160" i="60"/>
  <c r="T160" i="60"/>
  <c r="U160" i="60"/>
  <c r="B160" i="60"/>
  <c r="B158" i="60"/>
  <c r="B49" i="60"/>
  <c r="B35" i="60"/>
  <c r="B36" i="60"/>
  <c r="B38" i="60"/>
  <c r="B129" i="60"/>
  <c r="B47" i="60"/>
  <c r="B50" i="60"/>
  <c r="B54" i="60"/>
  <c r="B119" i="60"/>
  <c r="B104" i="60"/>
  <c r="T36" i="60"/>
  <c r="S36" i="60"/>
  <c r="T34" i="60"/>
  <c r="S34" i="60"/>
  <c r="T7" i="60"/>
  <c r="S7" i="60"/>
  <c r="U7" i="60"/>
  <c r="B7" i="60"/>
  <c r="B14" i="60"/>
  <c r="B95" i="60"/>
  <c r="B96" i="60"/>
  <c r="B97" i="60"/>
  <c r="B19" i="60"/>
  <c r="B20" i="60"/>
  <c r="B125" i="60"/>
  <c r="B18" i="60"/>
  <c r="B21" i="60"/>
  <c r="B13" i="60"/>
  <c r="B12" i="60"/>
  <c r="B32" i="60"/>
  <c r="B33" i="60"/>
  <c r="B29" i="60"/>
  <c r="B28" i="60"/>
  <c r="B39" i="60"/>
  <c r="B41" i="60"/>
  <c r="B42" i="60"/>
  <c r="B4" i="60"/>
  <c r="B5" i="60"/>
  <c r="B26" i="60"/>
  <c r="B27" i="60"/>
  <c r="B37" i="60"/>
  <c r="B10" i="60"/>
  <c r="B9" i="60"/>
  <c r="B11" i="60"/>
  <c r="B124" i="60"/>
  <c r="B8" i="60"/>
  <c r="B17" i="60"/>
  <c r="B22" i="60"/>
  <c r="S70" i="60"/>
  <c r="T70" i="60"/>
  <c r="S22" i="60"/>
  <c r="T22" i="60"/>
  <c r="S17" i="60"/>
  <c r="T17" i="60"/>
  <c r="S10" i="60"/>
  <c r="T10" i="60"/>
  <c r="U10" i="60"/>
  <c r="S41" i="60"/>
  <c r="T41" i="60"/>
  <c r="S39" i="60"/>
  <c r="T39" i="60"/>
  <c r="S37" i="60"/>
  <c r="T37" i="60"/>
  <c r="B23" i="60"/>
  <c r="B24" i="60"/>
  <c r="B64" i="60"/>
  <c r="B123" i="60"/>
  <c r="B180" i="58"/>
  <c r="B178" i="58"/>
  <c r="B25" i="60"/>
  <c r="S25" i="60"/>
  <c r="T25" i="60"/>
  <c r="B127" i="60"/>
  <c r="B98" i="60"/>
  <c r="B164" i="58"/>
  <c r="B122" i="60"/>
  <c r="B138" i="60"/>
  <c r="B163" i="58"/>
  <c r="U62" i="60"/>
  <c r="U16" i="60"/>
  <c r="U52" i="60"/>
  <c r="U128" i="60"/>
  <c r="U70" i="60"/>
  <c r="U36" i="60"/>
  <c r="B157" i="58"/>
  <c r="B158" i="58"/>
  <c r="B159" i="58"/>
  <c r="B166" i="58"/>
  <c r="B179" i="58"/>
  <c r="B160" i="58"/>
  <c r="B131" i="58"/>
  <c r="B161" i="58"/>
  <c r="B162" i="58"/>
  <c r="S58" i="60"/>
  <c r="T58" i="60"/>
  <c r="S59" i="60"/>
  <c r="T59" i="60"/>
  <c r="S66" i="60"/>
  <c r="T66" i="60"/>
  <c r="S6" i="60"/>
  <c r="T6" i="60"/>
  <c r="S33" i="60"/>
  <c r="T33" i="60"/>
  <c r="S28" i="60"/>
  <c r="T28" i="60"/>
  <c r="U28" i="60"/>
  <c r="S27" i="60"/>
  <c r="T27" i="60"/>
  <c r="R145" i="58"/>
  <c r="S145" i="58"/>
  <c r="T145" i="58"/>
  <c r="R148" i="58"/>
  <c r="S148" i="58"/>
  <c r="T148" i="58"/>
  <c r="R164" i="58"/>
  <c r="S164" i="58"/>
  <c r="T164" i="58"/>
  <c r="B148" i="58"/>
  <c r="B145" i="58"/>
  <c r="B124" i="58"/>
  <c r="B112" i="58"/>
  <c r="R119" i="58"/>
  <c r="S119" i="58"/>
  <c r="R147" i="58"/>
  <c r="S147" i="58"/>
  <c r="R146" i="58"/>
  <c r="S146" i="58"/>
  <c r="R150" i="58"/>
  <c r="S150" i="58"/>
  <c r="R149" i="58"/>
  <c r="S149" i="58"/>
  <c r="R132" i="58"/>
  <c r="S132" i="58"/>
  <c r="R154" i="58"/>
  <c r="S154" i="58"/>
  <c r="R153" i="58"/>
  <c r="S153" i="58"/>
  <c r="R161" i="58"/>
  <c r="S161" i="58"/>
  <c r="R158" i="58"/>
  <c r="S158" i="58"/>
  <c r="R177" i="58"/>
  <c r="S177" i="58"/>
  <c r="B51" i="58"/>
  <c r="B58" i="60"/>
  <c r="B155" i="58"/>
  <c r="R155" i="58"/>
  <c r="S155" i="58"/>
  <c r="T42" i="60"/>
  <c r="S42" i="60"/>
  <c r="U42" i="60"/>
  <c r="T76" i="60"/>
  <c r="S76" i="60"/>
  <c r="B76" i="60"/>
  <c r="T57" i="60"/>
  <c r="S57" i="60"/>
  <c r="B60" i="60"/>
  <c r="T4" i="60"/>
  <c r="S4" i="60"/>
  <c r="T5" i="60"/>
  <c r="S5" i="60"/>
  <c r="U5" i="60"/>
  <c r="T29" i="60"/>
  <c r="S29" i="60"/>
  <c r="U29" i="60"/>
  <c r="T26" i="60"/>
  <c r="S26" i="60"/>
  <c r="B167" i="58"/>
  <c r="B177" i="58"/>
  <c r="B132" i="58"/>
  <c r="B149" i="58"/>
  <c r="B150" i="58"/>
  <c r="B144" i="58"/>
  <c r="B143" i="58"/>
  <c r="B136" i="58"/>
  <c r="B137" i="58"/>
  <c r="B138" i="58"/>
  <c r="B139" i="58"/>
  <c r="B140" i="58"/>
  <c r="B146" i="58"/>
  <c r="B147" i="58"/>
  <c r="B117" i="58"/>
  <c r="B118" i="58"/>
  <c r="B119" i="58"/>
  <c r="B116" i="58"/>
  <c r="B120" i="58"/>
  <c r="B165" i="58"/>
  <c r="B115" i="58"/>
  <c r="B153" i="58"/>
  <c r="B154" i="58"/>
  <c r="B156" i="58"/>
  <c r="B114" i="58"/>
  <c r="S114" i="58"/>
  <c r="B122" i="58"/>
  <c r="S151" i="58"/>
  <c r="R151" i="58"/>
  <c r="R176" i="58"/>
  <c r="R173" i="58"/>
  <c r="R170" i="58"/>
  <c r="R169" i="58"/>
  <c r="R157" i="58"/>
  <c r="R152" i="58"/>
  <c r="R140" i="58"/>
  <c r="R142" i="58"/>
  <c r="R139" i="58"/>
  <c r="R138" i="58"/>
  <c r="R137" i="58"/>
  <c r="R136" i="58"/>
  <c r="R156" i="58"/>
  <c r="R163" i="58"/>
  <c r="R131" i="58"/>
  <c r="R94" i="58"/>
  <c r="R93" i="58"/>
  <c r="R114" i="58"/>
  <c r="R110" i="58"/>
  <c r="R112" i="58"/>
  <c r="R109" i="58"/>
  <c r="R103" i="58"/>
  <c r="R102" i="58"/>
  <c r="R92" i="58"/>
  <c r="R90" i="58"/>
  <c r="R88" i="58"/>
  <c r="R87" i="58"/>
  <c r="R85" i="58"/>
  <c r="R84" i="58"/>
  <c r="R83" i="58"/>
  <c r="R80" i="58"/>
  <c r="R76" i="58"/>
  <c r="R74" i="58"/>
  <c r="R73" i="58"/>
  <c r="R72" i="58"/>
  <c r="R71" i="58"/>
  <c r="R68" i="58"/>
  <c r="R67" i="58"/>
  <c r="R66" i="58"/>
  <c r="R65" i="58"/>
  <c r="R57" i="58"/>
  <c r="R54" i="58"/>
  <c r="R53" i="58"/>
  <c r="R51" i="58"/>
  <c r="R45" i="58"/>
  <c r="R42" i="58"/>
  <c r="R41" i="58"/>
  <c r="R40" i="58"/>
  <c r="R31" i="58"/>
  <c r="R30" i="58"/>
  <c r="R29" i="58"/>
  <c r="R28" i="58"/>
  <c r="R27" i="58"/>
  <c r="R25" i="58"/>
  <c r="R24" i="58"/>
  <c r="R23" i="58"/>
  <c r="R20" i="58"/>
  <c r="R18" i="58"/>
  <c r="R17" i="58"/>
  <c r="R12" i="58"/>
  <c r="R11" i="58"/>
  <c r="R8" i="58"/>
  <c r="R7" i="58"/>
  <c r="R5" i="58"/>
  <c r="R4" i="58"/>
  <c r="B104" i="58"/>
  <c r="B103" i="58"/>
  <c r="B100" i="58"/>
  <c r="B87" i="58"/>
  <c r="S176" i="58"/>
  <c r="T176" i="58"/>
  <c r="S173" i="58"/>
  <c r="T173" i="58"/>
  <c r="S170" i="58"/>
  <c r="T170" i="58"/>
  <c r="S169" i="58"/>
  <c r="T169" i="58"/>
  <c r="S157" i="58"/>
  <c r="S152" i="58"/>
  <c r="T152" i="58"/>
  <c r="S140" i="58"/>
  <c r="T140" i="58"/>
  <c r="S142" i="58"/>
  <c r="T142" i="58"/>
  <c r="S139" i="58"/>
  <c r="T139" i="58"/>
  <c r="S138" i="58"/>
  <c r="T138" i="58"/>
  <c r="S137" i="58"/>
  <c r="S136" i="58"/>
  <c r="S156" i="58"/>
  <c r="S163" i="58"/>
  <c r="T163" i="58"/>
  <c r="S131" i="58"/>
  <c r="S94" i="58"/>
  <c r="S93" i="58"/>
  <c r="S110" i="58"/>
  <c r="T110" i="58"/>
  <c r="S112" i="58"/>
  <c r="S87" i="58"/>
  <c r="S92" i="58"/>
  <c r="S109" i="58"/>
  <c r="S103" i="58"/>
  <c r="S102" i="58"/>
  <c r="S90" i="58"/>
  <c r="T90" i="58"/>
  <c r="S88" i="58"/>
  <c r="T88" i="58"/>
  <c r="S85" i="58"/>
  <c r="T85" i="58"/>
  <c r="S84" i="58"/>
  <c r="T84" i="58"/>
  <c r="S83" i="58"/>
  <c r="T83" i="58"/>
  <c r="S80" i="58"/>
  <c r="T80" i="58"/>
  <c r="S76" i="58"/>
  <c r="T76" i="58"/>
  <c r="S74" i="58"/>
  <c r="T74" i="58"/>
  <c r="S73" i="58"/>
  <c r="T73" i="58"/>
  <c r="S72" i="58"/>
  <c r="T72" i="58"/>
  <c r="S71" i="58"/>
  <c r="T71" i="58"/>
  <c r="S68" i="58"/>
  <c r="T68" i="58"/>
  <c r="S67" i="58"/>
  <c r="T67" i="58"/>
  <c r="S66" i="58"/>
  <c r="S65" i="58"/>
  <c r="S57" i="58"/>
  <c r="S54" i="58"/>
  <c r="S53" i="58"/>
  <c r="T53" i="58"/>
  <c r="S51" i="58"/>
  <c r="T51" i="58"/>
  <c r="S45" i="58"/>
  <c r="T45" i="58"/>
  <c r="S42" i="58"/>
  <c r="T42" i="58"/>
  <c r="S41" i="58"/>
  <c r="T41" i="58"/>
  <c r="S40" i="58"/>
  <c r="T40" i="58"/>
  <c r="S31" i="58"/>
  <c r="T31" i="58"/>
  <c r="S30" i="58"/>
  <c r="T30" i="58"/>
  <c r="S29" i="58"/>
  <c r="S28" i="58"/>
  <c r="S27" i="58"/>
  <c r="S25" i="58"/>
  <c r="T25" i="58"/>
  <c r="S24" i="58"/>
  <c r="S23" i="58"/>
  <c r="T23" i="58"/>
  <c r="S20" i="58"/>
  <c r="S18" i="58"/>
  <c r="S17" i="58"/>
  <c r="S12" i="58"/>
  <c r="S11" i="58"/>
  <c r="S8" i="58"/>
  <c r="T8" i="58"/>
  <c r="S7" i="58"/>
  <c r="S5" i="58"/>
  <c r="S4" i="58"/>
  <c r="B151" i="58"/>
  <c r="B108" i="58"/>
  <c r="B83" i="58"/>
  <c r="B93" i="58"/>
  <c r="B94" i="58"/>
  <c r="B95" i="58"/>
  <c r="B96" i="58"/>
  <c r="B128" i="58"/>
  <c r="B129" i="58"/>
  <c r="B130" i="58"/>
  <c r="B133" i="58"/>
  <c r="B134" i="58"/>
  <c r="B135" i="58"/>
  <c r="B121" i="58"/>
  <c r="B123" i="58"/>
  <c r="B125" i="58"/>
  <c r="B126" i="58"/>
  <c r="B127" i="58"/>
  <c r="B97" i="58"/>
  <c r="B98" i="58"/>
  <c r="B99" i="58"/>
  <c r="B84" i="58"/>
  <c r="B85" i="58"/>
  <c r="B86" i="58"/>
  <c r="B113" i="58"/>
  <c r="B110" i="58"/>
  <c r="B111" i="58"/>
  <c r="B82" i="58"/>
  <c r="B101" i="58"/>
  <c r="B102" i="58"/>
  <c r="B109" i="58"/>
  <c r="B92" i="58"/>
  <c r="B89" i="58"/>
  <c r="B90" i="58"/>
  <c r="B91" i="58"/>
  <c r="B79" i="58"/>
  <c r="B80" i="58"/>
  <c r="B81" i="58"/>
  <c r="B88" i="58"/>
  <c r="B63" i="58"/>
  <c r="B65" i="58"/>
  <c r="B142" i="58"/>
  <c r="B152" i="58"/>
  <c r="B64" i="58"/>
  <c r="B176" i="58"/>
  <c r="B59" i="58"/>
  <c r="B60" i="58"/>
  <c r="B61" i="58"/>
  <c r="B55" i="58"/>
  <c r="B56" i="58"/>
  <c r="B66" i="58"/>
  <c r="B58" i="58"/>
  <c r="B47" i="58"/>
  <c r="B48" i="58"/>
  <c r="B49" i="58"/>
  <c r="B50" i="58"/>
  <c r="B52" i="58"/>
  <c r="B53" i="58"/>
  <c r="B54" i="58"/>
  <c r="B57" i="58"/>
  <c r="B46" i="58"/>
  <c r="B175" i="58"/>
  <c r="D124" i="58"/>
  <c r="B42" i="58"/>
  <c r="R55" i="58"/>
  <c r="S55" i="58"/>
  <c r="B172" i="58"/>
  <c r="B171" i="58"/>
  <c r="B33" i="58"/>
  <c r="B141" i="58"/>
  <c r="B30" i="58"/>
  <c r="B173" i="58"/>
  <c r="B31" i="58"/>
  <c r="D67" i="58"/>
  <c r="B29" i="58"/>
  <c r="B23" i="58"/>
  <c r="B24" i="58"/>
  <c r="B25" i="58"/>
  <c r="B26" i="58"/>
  <c r="B27" i="58"/>
  <c r="B28" i="58"/>
  <c r="B67" i="58"/>
  <c r="B68" i="58"/>
  <c r="B69" i="58"/>
  <c r="B70" i="58"/>
  <c r="B71" i="58"/>
  <c r="B72" i="58"/>
  <c r="B73" i="58"/>
  <c r="B74" i="58"/>
  <c r="B75" i="58"/>
  <c r="B76" i="58"/>
  <c r="B77" i="58"/>
  <c r="B78" i="58"/>
  <c r="B62" i="58"/>
  <c r="B168" i="58"/>
  <c r="B169" i="58"/>
  <c r="B170" i="58"/>
  <c r="B174" i="58"/>
  <c r="B105" i="58"/>
  <c r="B106" i="58"/>
  <c r="B107" i="58"/>
  <c r="L2" i="56"/>
  <c r="L105" i="58"/>
  <c r="L2" i="58"/>
  <c r="B10" i="58"/>
  <c r="B13" i="58"/>
  <c r="B41" i="58"/>
  <c r="B198" i="56"/>
  <c r="B15" i="58"/>
  <c r="B16" i="58"/>
  <c r="B14" i="58"/>
  <c r="L188" i="56"/>
  <c r="B190" i="56"/>
  <c r="B189" i="56"/>
  <c r="B92" i="56"/>
  <c r="B8" i="58"/>
  <c r="B9" i="58"/>
  <c r="B35" i="58"/>
  <c r="B36" i="58"/>
  <c r="B37" i="58"/>
  <c r="B38" i="58"/>
  <c r="B39" i="58"/>
  <c r="B17" i="58"/>
  <c r="B40" i="58"/>
  <c r="B34" i="58"/>
  <c r="B43" i="58"/>
  <c r="B44" i="58"/>
  <c r="B45" i="58"/>
  <c r="B18" i="58"/>
  <c r="B19" i="58"/>
  <c r="B20" i="58"/>
  <c r="B21" i="58"/>
  <c r="B22" i="58"/>
  <c r="B32" i="58"/>
  <c r="B5" i="58"/>
  <c r="B6" i="58"/>
  <c r="B7" i="58"/>
  <c r="B11" i="58"/>
  <c r="B12" i="58"/>
  <c r="B4" i="58"/>
  <c r="B90" i="56"/>
  <c r="B199" i="56"/>
  <c r="B206" i="56"/>
  <c r="B91" i="56"/>
  <c r="B183" i="56"/>
  <c r="B196" i="56"/>
  <c r="B185" i="56"/>
  <c r="B186" i="56"/>
  <c r="B187" i="56"/>
  <c r="B174" i="56"/>
  <c r="B170" i="56"/>
  <c r="B171" i="56"/>
  <c r="B167" i="56"/>
  <c r="B169" i="56"/>
  <c r="B168" i="56"/>
  <c r="B197" i="56"/>
  <c r="B172" i="56"/>
  <c r="S195" i="56"/>
  <c r="B195" i="56"/>
  <c r="B158" i="56"/>
  <c r="D120" i="58"/>
  <c r="B138" i="56"/>
  <c r="S140" i="56"/>
  <c r="S141" i="56"/>
  <c r="S142" i="56"/>
  <c r="S176" i="56"/>
  <c r="B194" i="56"/>
  <c r="S172" i="56"/>
  <c r="S157" i="56"/>
  <c r="B205" i="56"/>
  <c r="B157" i="56"/>
  <c r="B178" i="56"/>
  <c r="B179" i="56"/>
  <c r="B180" i="56"/>
  <c r="B181" i="56"/>
  <c r="B182" i="56"/>
  <c r="B184" i="56"/>
  <c r="B162" i="56"/>
  <c r="B163" i="56"/>
  <c r="B164" i="56"/>
  <c r="B165" i="56"/>
  <c r="B166" i="56"/>
  <c r="B191" i="56"/>
  <c r="B192" i="56"/>
  <c r="B193" i="56"/>
  <c r="B175" i="56"/>
  <c r="B176" i="56"/>
  <c r="B177" i="56"/>
  <c r="B202" i="56"/>
  <c r="B203" i="56"/>
  <c r="B204" i="56"/>
  <c r="B152" i="56"/>
  <c r="B153" i="56"/>
  <c r="B144" i="56"/>
  <c r="B143" i="56"/>
  <c r="B142" i="56"/>
  <c r="B141" i="56"/>
  <c r="B140" i="56"/>
  <c r="B139" i="56"/>
  <c r="B145" i="56"/>
  <c r="B151" i="56"/>
  <c r="S95" i="56"/>
  <c r="S44" i="56"/>
  <c r="S28" i="56"/>
  <c r="S145" i="56"/>
  <c r="S167" i="56"/>
  <c r="S181" i="56"/>
  <c r="K2" i="58"/>
  <c r="B128" i="56"/>
  <c r="B146" i="56"/>
  <c r="S173" i="56"/>
  <c r="B173" i="56"/>
  <c r="A6" i="33" a="1"/>
  <c r="A6" i="33" s="1"/>
  <c r="B126" i="56"/>
  <c r="B137" i="56"/>
  <c r="B127" i="56"/>
  <c r="B130" i="56"/>
  <c r="B156" i="56"/>
  <c r="B86" i="56"/>
  <c r="B155" i="56"/>
  <c r="B132" i="56"/>
  <c r="B103" i="56"/>
  <c r="B119" i="56"/>
  <c r="B120" i="56"/>
  <c r="B121" i="56"/>
  <c r="B147" i="56"/>
  <c r="B129" i="56"/>
  <c r="B87" i="56"/>
  <c r="B95" i="56"/>
  <c r="B96" i="56"/>
  <c r="B122" i="56"/>
  <c r="S199" i="56"/>
  <c r="B133" i="56"/>
  <c r="B159" i="56"/>
  <c r="B136" i="56"/>
  <c r="S87" i="56"/>
  <c r="B135" i="56"/>
  <c r="B123" i="56"/>
  <c r="S149" i="56"/>
  <c r="S139" i="56"/>
  <c r="S150" i="56"/>
  <c r="S188" i="56"/>
  <c r="S153" i="56"/>
  <c r="S186" i="56"/>
  <c r="S185" i="56"/>
  <c r="S162" i="56"/>
  <c r="S201" i="56"/>
  <c r="S161" i="56"/>
  <c r="S160" i="56"/>
  <c r="S148" i="56"/>
  <c r="S120" i="56"/>
  <c r="S118" i="56"/>
  <c r="S100" i="56"/>
  <c r="S98" i="56"/>
  <c r="S96" i="56"/>
  <c r="S111" i="56"/>
  <c r="S125" i="56"/>
  <c r="S124" i="56"/>
  <c r="S109" i="56"/>
  <c r="S107" i="56"/>
  <c r="S106" i="56"/>
  <c r="S105" i="56"/>
  <c r="S102" i="56"/>
  <c r="S94" i="56"/>
  <c r="S78" i="56"/>
  <c r="S77" i="56"/>
  <c r="S76" i="56"/>
  <c r="S75" i="56"/>
  <c r="S74" i="56"/>
  <c r="S71" i="56"/>
  <c r="S70" i="56"/>
  <c r="S67" i="56"/>
  <c r="S65" i="56"/>
  <c r="S64" i="56"/>
  <c r="S63" i="56"/>
  <c r="S59" i="56"/>
  <c r="S58" i="56"/>
  <c r="S57" i="56"/>
  <c r="S56" i="56"/>
  <c r="S55" i="56"/>
  <c r="S54" i="56"/>
  <c r="S53" i="56"/>
  <c r="S51" i="56"/>
  <c r="S50" i="56"/>
  <c r="S49" i="56"/>
  <c r="S46" i="56"/>
  <c r="S45" i="56"/>
  <c r="S42" i="56"/>
  <c r="S41" i="56"/>
  <c r="S40" i="56"/>
  <c r="S39" i="56"/>
  <c r="S37" i="56"/>
  <c r="S36" i="56"/>
  <c r="S33" i="56"/>
  <c r="S25" i="56"/>
  <c r="S24" i="56"/>
  <c r="S23" i="56"/>
  <c r="S22" i="56"/>
  <c r="B85" i="56"/>
  <c r="S21" i="56"/>
  <c r="S18" i="56"/>
  <c r="S17" i="56"/>
  <c r="S16" i="56"/>
  <c r="S15" i="56"/>
  <c r="S11" i="56"/>
  <c r="S10" i="56"/>
  <c r="S9" i="56"/>
  <c r="S8" i="56"/>
  <c r="S7" i="56"/>
  <c r="S6" i="56"/>
  <c r="S5" i="56"/>
  <c r="S4" i="56"/>
  <c r="D185" i="56"/>
  <c r="D2" i="56"/>
  <c r="B149" i="56"/>
  <c r="B150" i="56"/>
  <c r="B76" i="56"/>
  <c r="B72" i="56"/>
  <c r="B115" i="56"/>
  <c r="B116" i="56"/>
  <c r="B117" i="56"/>
  <c r="B131" i="56"/>
  <c r="B134" i="56"/>
  <c r="B110" i="56"/>
  <c r="B29" i="56"/>
  <c r="B162" i="55"/>
  <c r="B98" i="56"/>
  <c r="B125" i="56"/>
  <c r="B47" i="56"/>
  <c r="B43" i="56"/>
  <c r="B44" i="56"/>
  <c r="B45" i="56"/>
  <c r="B109" i="56"/>
  <c r="B12" i="56"/>
  <c r="B102" i="56"/>
  <c r="B216" i="55"/>
  <c r="B217" i="55"/>
  <c r="B59" i="56"/>
  <c r="B58" i="56"/>
  <c r="B112" i="56"/>
  <c r="B113" i="56"/>
  <c r="B39" i="56"/>
  <c r="B40" i="56"/>
  <c r="B41" i="56"/>
  <c r="B154" i="56"/>
  <c r="B89" i="56"/>
  <c r="B148" i="56"/>
  <c r="B200" i="56"/>
  <c r="B106" i="56"/>
  <c r="L118" i="56"/>
  <c r="L96" i="56"/>
  <c r="B27" i="56"/>
  <c r="B26" i="56"/>
  <c r="B31" i="56"/>
  <c r="B32" i="56"/>
  <c r="B30" i="56"/>
  <c r="B201" i="56"/>
  <c r="B15" i="56"/>
  <c r="B16" i="56"/>
  <c r="B17" i="56"/>
  <c r="B7" i="56"/>
  <c r="B42" i="56"/>
  <c r="B5" i="56"/>
  <c r="B114" i="56"/>
  <c r="B94" i="56"/>
  <c r="B104" i="56"/>
  <c r="B105" i="56"/>
  <c r="B6" i="56"/>
  <c r="B8" i="56"/>
  <c r="B4" i="56"/>
  <c r="B67" i="56"/>
  <c r="B63" i="56"/>
  <c r="B64" i="56"/>
  <c r="B65" i="56"/>
  <c r="B22" i="56"/>
  <c r="B33" i="56"/>
  <c r="B21" i="56"/>
  <c r="B35" i="56"/>
  <c r="B99" i="56"/>
  <c r="B97" i="56"/>
  <c r="B57" i="56"/>
  <c r="B107" i="56"/>
  <c r="B124" i="56"/>
  <c r="B111" i="56"/>
  <c r="B46" i="56"/>
  <c r="B72" i="55"/>
  <c r="B73" i="55"/>
  <c r="B74" i="55"/>
  <c r="B75" i="55"/>
  <c r="B76" i="55"/>
  <c r="B214" i="55"/>
  <c r="B213" i="55"/>
  <c r="B212" i="55"/>
  <c r="B28" i="56"/>
  <c r="B169" i="55"/>
  <c r="B23" i="56"/>
  <c r="B203" i="55"/>
  <c r="B204" i="55"/>
  <c r="B13" i="56"/>
  <c r="B14" i="56"/>
  <c r="B10" i="56"/>
  <c r="B11" i="56"/>
  <c r="B82" i="56"/>
  <c r="B68" i="56"/>
  <c r="B69" i="56"/>
  <c r="B70" i="56"/>
  <c r="B36" i="56"/>
  <c r="L2" i="55"/>
  <c r="B222" i="55"/>
  <c r="B77" i="56"/>
  <c r="B78" i="56"/>
  <c r="B79" i="56"/>
  <c r="B80" i="56"/>
  <c r="B81" i="56"/>
  <c r="B73" i="56"/>
  <c r="B74" i="56"/>
  <c r="B75" i="56"/>
  <c r="B101" i="56"/>
  <c r="B208" i="55"/>
  <c r="B209" i="55"/>
  <c r="B210" i="55"/>
  <c r="B25" i="56"/>
  <c r="B20" i="56"/>
  <c r="B19" i="56"/>
  <c r="B38" i="56"/>
  <c r="B52" i="56"/>
  <c r="B37" i="56"/>
  <c r="B24" i="56"/>
  <c r="B9" i="56"/>
  <c r="B18" i="56"/>
  <c r="B34" i="56"/>
  <c r="B53" i="56"/>
  <c r="B54" i="56"/>
  <c r="B55" i="56"/>
  <c r="B56" i="56"/>
  <c r="B60" i="56"/>
  <c r="B61" i="56"/>
  <c r="B62" i="56"/>
  <c r="B66" i="56"/>
  <c r="B71" i="56"/>
  <c r="B83" i="56"/>
  <c r="B84" i="56"/>
  <c r="B100" i="56"/>
  <c r="B118" i="56"/>
  <c r="B188" i="56"/>
  <c r="B88" i="56"/>
  <c r="B93" i="56"/>
  <c r="B108" i="56"/>
  <c r="B160" i="56"/>
  <c r="B161" i="56"/>
  <c r="B50" i="56"/>
  <c r="B51" i="56"/>
  <c r="B202" i="55"/>
  <c r="B49" i="56"/>
  <c r="B207" i="55"/>
  <c r="B197" i="55"/>
  <c r="B198" i="55"/>
  <c r="B199" i="55"/>
  <c r="B174" i="55"/>
  <c r="B180" i="55"/>
  <c r="B181" i="55"/>
  <c r="B5" i="55"/>
  <c r="B6" i="55"/>
  <c r="B7" i="55"/>
  <c r="B8" i="55"/>
  <c r="B9" i="55"/>
  <c r="B10" i="55"/>
  <c r="B11" i="55"/>
  <c r="B12" i="55"/>
  <c r="B13" i="55"/>
  <c r="B14" i="55"/>
  <c r="B15" i="55"/>
  <c r="B16" i="55"/>
  <c r="B17" i="55"/>
  <c r="B18" i="55"/>
  <c r="B19" i="55"/>
  <c r="B20" i="55"/>
  <c r="B21" i="55"/>
  <c r="B22" i="55"/>
  <c r="B23" i="55"/>
  <c r="B24" i="55"/>
  <c r="B25" i="55"/>
  <c r="B26" i="55"/>
  <c r="B27" i="55"/>
  <c r="B28" i="55"/>
  <c r="B29" i="55"/>
  <c r="B30" i="55"/>
  <c r="B31" i="55"/>
  <c r="B32" i="55"/>
  <c r="B33" i="55"/>
  <c r="B34" i="55"/>
  <c r="B35" i="55"/>
  <c r="B36" i="55"/>
  <c r="B37" i="55"/>
  <c r="B38" i="55"/>
  <c r="B39" i="55"/>
  <c r="B40" i="55"/>
  <c r="B41" i="55"/>
  <c r="B42" i="55"/>
  <c r="B43" i="55"/>
  <c r="B44" i="55"/>
  <c r="B45" i="55"/>
  <c r="B46" i="55"/>
  <c r="B47" i="55"/>
  <c r="B48" i="55"/>
  <c r="B49" i="55"/>
  <c r="B50" i="55"/>
  <c r="B51" i="55"/>
  <c r="B52" i="55"/>
  <c r="B53" i="55"/>
  <c r="B54" i="55"/>
  <c r="B55" i="55"/>
  <c r="B56" i="55"/>
  <c r="B57" i="55"/>
  <c r="B58" i="55"/>
  <c r="B59" i="55"/>
  <c r="B60" i="55"/>
  <c r="B61" i="55"/>
  <c r="B62" i="55"/>
  <c r="B63" i="55"/>
  <c r="B64" i="55"/>
  <c r="B65" i="55"/>
  <c r="B66" i="55"/>
  <c r="B67" i="55"/>
  <c r="B68" i="55"/>
  <c r="B69" i="55"/>
  <c r="B70" i="55"/>
  <c r="B71" i="55"/>
  <c r="B77" i="55"/>
  <c r="B78" i="55"/>
  <c r="B79" i="55"/>
  <c r="B80" i="55"/>
  <c r="B81" i="55"/>
  <c r="B82" i="55"/>
  <c r="B83" i="55"/>
  <c r="B84" i="55"/>
  <c r="B85" i="55"/>
  <c r="B86" i="55"/>
  <c r="B87" i="55"/>
  <c r="B88" i="55"/>
  <c r="B89" i="55"/>
  <c r="B90" i="55"/>
  <c r="B91" i="55"/>
  <c r="B92" i="55"/>
  <c r="B93" i="55"/>
  <c r="B94" i="55"/>
  <c r="B95" i="55"/>
  <c r="B96" i="55"/>
  <c r="B97" i="55"/>
  <c r="B98" i="55"/>
  <c r="B99" i="55"/>
  <c r="B100" i="55"/>
  <c r="B101" i="55"/>
  <c r="B102" i="55"/>
  <c r="B103" i="55"/>
  <c r="B104" i="55"/>
  <c r="B105" i="55"/>
  <c r="B106" i="55"/>
  <c r="B107" i="55"/>
  <c r="B108" i="55"/>
  <c r="B109" i="55"/>
  <c r="B110" i="55"/>
  <c r="B111" i="55"/>
  <c r="B112" i="55"/>
  <c r="B113" i="55"/>
  <c r="B114" i="55"/>
  <c r="B115" i="55"/>
  <c r="B116" i="55"/>
  <c r="B117" i="55"/>
  <c r="B118" i="55"/>
  <c r="B119" i="55"/>
  <c r="B120" i="55"/>
  <c r="B121" i="55"/>
  <c r="B122" i="55"/>
  <c r="B123" i="55"/>
  <c r="B124" i="55"/>
  <c r="B125" i="55"/>
  <c r="B126" i="55"/>
  <c r="B127" i="55"/>
  <c r="B128" i="55"/>
  <c r="B129" i="55"/>
  <c r="B130" i="55"/>
  <c r="B131" i="55"/>
  <c r="B132" i="55"/>
  <c r="B133" i="55"/>
  <c r="B134" i="55"/>
  <c r="B135" i="55"/>
  <c r="B136" i="55"/>
  <c r="B137" i="55"/>
  <c r="B138" i="55"/>
  <c r="B139" i="55"/>
  <c r="B140" i="55"/>
  <c r="B141" i="55"/>
  <c r="B142" i="55"/>
  <c r="B143" i="55"/>
  <c r="B144" i="55"/>
  <c r="B145" i="55"/>
  <c r="B146" i="55"/>
  <c r="B147" i="55"/>
  <c r="B148" i="55"/>
  <c r="B149" i="55"/>
  <c r="B150" i="55"/>
  <c r="B151" i="55"/>
  <c r="B152" i="55"/>
  <c r="B155" i="55"/>
  <c r="B156" i="55"/>
  <c r="B157" i="55"/>
  <c r="B194" i="55"/>
  <c r="B195" i="55"/>
  <c r="B158" i="55"/>
  <c r="B159" i="55"/>
  <c r="B160" i="55"/>
  <c r="B161" i="55"/>
  <c r="B163" i="55"/>
  <c r="B164" i="55"/>
  <c r="B165" i="55"/>
  <c r="B166" i="55"/>
  <c r="B167" i="55"/>
  <c r="B168" i="55"/>
  <c r="B170" i="55"/>
  <c r="B171" i="55"/>
  <c r="B172" i="55"/>
  <c r="B173" i="55"/>
  <c r="B182" i="55"/>
  <c r="B183" i="55"/>
  <c r="B184" i="55"/>
  <c r="B178" i="55"/>
  <c r="B179" i="55"/>
  <c r="B188" i="55"/>
  <c r="B189" i="55"/>
  <c r="B190" i="55"/>
  <c r="B191" i="55"/>
  <c r="B192" i="55"/>
  <c r="B193" i="55"/>
  <c r="B175" i="55"/>
  <c r="B176" i="55"/>
  <c r="B177" i="55"/>
  <c r="B215" i="55"/>
  <c r="B218" i="55"/>
  <c r="B219" i="55"/>
  <c r="B220" i="55"/>
  <c r="B221" i="55"/>
  <c r="B185" i="55"/>
  <c r="B186" i="55"/>
  <c r="B187" i="55"/>
  <c r="B196" i="55"/>
  <c r="B200" i="55"/>
  <c r="B201" i="55"/>
  <c r="B205" i="55"/>
  <c r="B206" i="55"/>
  <c r="B153" i="55"/>
  <c r="B154" i="55"/>
  <c r="B211" i="55"/>
  <c r="B223" i="55"/>
  <c r="B224" i="55"/>
  <c r="B225" i="55"/>
  <c r="B226" i="55"/>
  <c r="B227" i="55"/>
  <c r="B228" i="55"/>
  <c r="B48" i="56"/>
  <c r="U6" i="60"/>
  <c r="U59" i="60"/>
  <c r="U66" i="60"/>
  <c r="T28" i="58"/>
  <c r="T12" i="58"/>
  <c r="T155" i="58"/>
  <c r="T132" i="58"/>
  <c r="T153" i="58"/>
  <c r="T157" i="58"/>
  <c r="T154" i="58"/>
  <c r="T150" i="58"/>
  <c r="T158" i="58"/>
  <c r="T147" i="58"/>
  <c r="T7" i="58"/>
  <c r="T20" i="58"/>
  <c r="T151" i="58"/>
  <c r="T177" i="58"/>
  <c r="T146" i="58"/>
  <c r="T11" i="58"/>
  <c r="T24" i="58"/>
  <c r="T161" i="58"/>
  <c r="T17" i="58"/>
  <c r="T27" i="58"/>
  <c r="T18" i="58"/>
  <c r="T119" i="58"/>
  <c r="T149" i="58"/>
  <c r="D2" i="58"/>
  <c r="T114" i="58"/>
  <c r="T65" i="58"/>
  <c r="T29" i="58"/>
  <c r="T5" i="58"/>
  <c r="T156" i="58"/>
  <c r="T131" i="58"/>
  <c r="T137" i="58"/>
  <c r="T136" i="58"/>
  <c r="T109" i="58"/>
  <c r="T103" i="58"/>
  <c r="T102" i="58"/>
  <c r="T66" i="58"/>
  <c r="T57" i="58"/>
  <c r="T54" i="58"/>
  <c r="T112" i="58"/>
  <c r="T87" i="58"/>
  <c r="T92" i="58"/>
  <c r="T94" i="58"/>
  <c r="T93" i="58"/>
  <c r="T55" i="58"/>
  <c r="T4" i="58"/>
  <c r="D211" i="55"/>
  <c r="L3" i="52"/>
  <c r="B85" i="52"/>
  <c r="B86" i="52"/>
  <c r="B106" i="52"/>
  <c r="B107" i="52"/>
  <c r="B99" i="52"/>
  <c r="B100" i="52"/>
  <c r="B101" i="52"/>
  <c r="B102" i="52"/>
  <c r="B103" i="52"/>
  <c r="B104" i="52"/>
  <c r="B105" i="52"/>
  <c r="B98" i="52"/>
  <c r="B95" i="52"/>
  <c r="B96" i="52"/>
  <c r="B97" i="52"/>
  <c r="B93" i="52"/>
  <c r="B94" i="52"/>
  <c r="B92" i="52"/>
  <c r="B88" i="52"/>
  <c r="B89" i="52"/>
  <c r="B90" i="52"/>
  <c r="B91" i="52"/>
  <c r="B84" i="52"/>
  <c r="B87" i="52"/>
  <c r="B83" i="52"/>
  <c r="B77" i="52"/>
  <c r="B78" i="52"/>
  <c r="B79" i="52"/>
  <c r="B80" i="52"/>
  <c r="B81" i="52"/>
  <c r="B82" i="52"/>
  <c r="B76" i="52"/>
  <c r="B72" i="52"/>
  <c r="B73" i="52"/>
  <c r="B74" i="52"/>
  <c r="B75" i="52"/>
  <c r="B71" i="52"/>
  <c r="B68" i="52"/>
  <c r="B69" i="52"/>
  <c r="B70" i="52"/>
  <c r="B66" i="52"/>
  <c r="B67" i="52"/>
  <c r="B64" i="52"/>
  <c r="B65" i="52"/>
  <c r="B59" i="52"/>
  <c r="B60" i="52"/>
  <c r="B61" i="52"/>
  <c r="B62" i="52"/>
  <c r="B63" i="52"/>
  <c r="B57" i="52"/>
  <c r="B58" i="52"/>
  <c r="B55" i="52"/>
  <c r="B56" i="52"/>
  <c r="B53" i="52"/>
  <c r="B54" i="52"/>
  <c r="B52" i="52"/>
  <c r="B48" i="52"/>
  <c r="B49" i="52"/>
  <c r="B50" i="52"/>
  <c r="B43" i="52"/>
  <c r="B44" i="52"/>
  <c r="B45" i="52"/>
  <c r="B46" i="52"/>
  <c r="B47" i="52"/>
  <c r="B36" i="52"/>
  <c r="B37" i="52"/>
  <c r="B38" i="52"/>
  <c r="B39" i="52"/>
  <c r="B40" i="52"/>
  <c r="B41" i="52"/>
  <c r="B42" i="52"/>
  <c r="B34" i="52"/>
  <c r="B35" i="52"/>
  <c r="B33" i="52"/>
  <c r="B30" i="52"/>
  <c r="B31" i="52"/>
  <c r="B32" i="52"/>
  <c r="B27" i="52"/>
  <c r="B28" i="52"/>
  <c r="B29" i="52"/>
  <c r="B24" i="52"/>
  <c r="B25" i="52"/>
  <c r="B26" i="52"/>
  <c r="B23" i="52"/>
  <c r="B22" i="52"/>
  <c r="B20" i="52"/>
  <c r="B21" i="52"/>
  <c r="B12" i="52"/>
  <c r="B13" i="52"/>
  <c r="B14" i="52"/>
  <c r="B15" i="52"/>
  <c r="B16" i="52"/>
  <c r="B17" i="52"/>
  <c r="B18" i="52"/>
  <c r="B19" i="52"/>
  <c r="B11" i="52"/>
  <c r="D3" i="52"/>
  <c r="B6" i="52"/>
  <c r="B7" i="52"/>
  <c r="B8" i="52"/>
  <c r="B9" i="52"/>
  <c r="B5" i="52"/>
  <c r="D188" i="55"/>
  <c r="K2" i="56"/>
  <c r="D178" i="55"/>
  <c r="D30" i="55"/>
  <c r="B106" i="54"/>
  <c r="L3" i="54"/>
  <c r="B93" i="54"/>
  <c r="B6" i="54"/>
  <c r="B7" i="54"/>
  <c r="B8" i="54"/>
  <c r="B9" i="54"/>
  <c r="B10" i="54"/>
  <c r="B11" i="54"/>
  <c r="B12" i="54"/>
  <c r="B13" i="54"/>
  <c r="B14" i="54"/>
  <c r="B15" i="54"/>
  <c r="B16" i="54"/>
  <c r="B17" i="54"/>
  <c r="B18" i="54"/>
  <c r="B19" i="54"/>
  <c r="B20" i="54"/>
  <c r="B21" i="54"/>
  <c r="B22" i="54"/>
  <c r="B23" i="54"/>
  <c r="B24" i="54"/>
  <c r="B25" i="54"/>
  <c r="B26" i="54"/>
  <c r="B27" i="54"/>
  <c r="B28" i="54"/>
  <c r="B29" i="54"/>
  <c r="B30" i="54"/>
  <c r="B31" i="54"/>
  <c r="B32" i="54"/>
  <c r="B33" i="54"/>
  <c r="B34" i="54"/>
  <c r="B35" i="54"/>
  <c r="B36" i="54"/>
  <c r="B37" i="54"/>
  <c r="B38" i="54"/>
  <c r="B39" i="54"/>
  <c r="B40" i="54"/>
  <c r="B41" i="54"/>
  <c r="B42" i="54"/>
  <c r="B43" i="54"/>
  <c r="B44" i="54"/>
  <c r="B45" i="54"/>
  <c r="B46" i="54"/>
  <c r="B47" i="54"/>
  <c r="B48" i="54"/>
  <c r="B49" i="54"/>
  <c r="B50" i="54"/>
  <c r="B51" i="54"/>
  <c r="B52" i="54"/>
  <c r="B53" i="54"/>
  <c r="B54" i="54"/>
  <c r="B55" i="54"/>
  <c r="B56" i="54"/>
  <c r="B57" i="54"/>
  <c r="B58" i="54"/>
  <c r="B59" i="54"/>
  <c r="B60" i="54"/>
  <c r="B61" i="54"/>
  <c r="B62" i="54"/>
  <c r="B63" i="54"/>
  <c r="B64" i="54"/>
  <c r="B65" i="54"/>
  <c r="B66" i="54"/>
  <c r="B67" i="54"/>
  <c r="B68" i="54"/>
  <c r="B69" i="54"/>
  <c r="B70" i="54"/>
  <c r="B71" i="54"/>
  <c r="B72" i="54"/>
  <c r="B73" i="54"/>
  <c r="B74" i="54"/>
  <c r="B75" i="54"/>
  <c r="B76" i="54"/>
  <c r="B77" i="54"/>
  <c r="B78" i="54"/>
  <c r="B79" i="54"/>
  <c r="B80" i="54"/>
  <c r="B81" i="54"/>
  <c r="B82" i="54"/>
  <c r="B83" i="54"/>
  <c r="B84" i="54"/>
  <c r="B85" i="54"/>
  <c r="B86" i="54"/>
  <c r="B87" i="54"/>
  <c r="B88" i="54"/>
  <c r="B89" i="54"/>
  <c r="B90" i="54"/>
  <c r="B91" i="54"/>
  <c r="B92" i="54"/>
  <c r="B94" i="54"/>
  <c r="B95" i="54"/>
  <c r="B96" i="54"/>
  <c r="B97" i="54"/>
  <c r="B98" i="54"/>
  <c r="B99" i="54"/>
  <c r="B119" i="54"/>
  <c r="B120" i="54"/>
  <c r="B121" i="54"/>
  <c r="B108" i="54"/>
  <c r="B109" i="54"/>
  <c r="B111" i="54"/>
  <c r="B112" i="54"/>
  <c r="B113" i="54"/>
  <c r="B125" i="54"/>
  <c r="B126" i="54"/>
  <c r="B127" i="54"/>
  <c r="B128" i="54"/>
  <c r="B100" i="54"/>
  <c r="B101" i="54"/>
  <c r="B102" i="54"/>
  <c r="B107" i="54"/>
  <c r="B114" i="54"/>
  <c r="B115" i="54"/>
  <c r="B116" i="54"/>
  <c r="B117" i="54"/>
  <c r="B118" i="54"/>
  <c r="B103" i="54"/>
  <c r="B104" i="54"/>
  <c r="B105" i="54"/>
  <c r="B122" i="54"/>
  <c r="B123" i="54"/>
  <c r="B124" i="54"/>
  <c r="B4" i="55"/>
  <c r="D127" i="55"/>
  <c r="K2" i="55"/>
  <c r="L62" i="54"/>
  <c r="D76" i="54"/>
  <c r="D3" i="54"/>
  <c r="L49" i="54"/>
  <c r="B5" i="54"/>
  <c r="K3" i="54"/>
  <c r="C3" i="53"/>
  <c r="A5" i="53" a="1"/>
  <c r="A5" i="53"/>
  <c r="J3" i="53"/>
  <c r="N4" i="53"/>
  <c r="C3" i="51"/>
  <c r="P4" i="52"/>
  <c r="K3" i="52"/>
  <c r="C3" i="50"/>
  <c r="A5" i="51" a="1"/>
  <c r="A5" i="51"/>
  <c r="J3" i="51"/>
  <c r="N4" i="51"/>
  <c r="A5" i="50" a="1"/>
  <c r="A5" i="50"/>
  <c r="A5" i="49" a="1"/>
  <c r="A5" i="49"/>
  <c r="J3" i="50"/>
  <c r="N4" i="50"/>
  <c r="C3" i="49"/>
  <c r="A5" i="48" a="1"/>
  <c r="A5" i="48"/>
  <c r="J3" i="49"/>
  <c r="N4" i="49"/>
  <c r="C29" i="48"/>
  <c r="C3" i="48"/>
  <c r="C3" i="47"/>
  <c r="A5" i="47" a="1"/>
  <c r="A5" i="47"/>
  <c r="J3" i="48"/>
  <c r="N4" i="48"/>
  <c r="C3" i="46"/>
  <c r="A5" i="46" a="1"/>
  <c r="A5" i="46"/>
  <c r="J3" i="47"/>
  <c r="N4" i="47"/>
  <c r="J3" i="44"/>
  <c r="C3" i="45"/>
  <c r="J3" i="46"/>
  <c r="N4" i="46"/>
  <c r="A5" i="44" a="1"/>
  <c r="A5" i="44"/>
  <c r="A5" i="45" a="1"/>
  <c r="A5" i="45"/>
  <c r="J3" i="45"/>
  <c r="N4" i="45"/>
  <c r="C3" i="44"/>
  <c r="A6" i="43" a="1"/>
  <c r="A6" i="43"/>
  <c r="C43" i="43"/>
  <c r="C4" i="43"/>
  <c r="N4" i="44"/>
  <c r="C4" i="42"/>
  <c r="N5" i="43"/>
  <c r="J4" i="43"/>
  <c r="A6" i="42" a="1"/>
  <c r="A6" i="42"/>
  <c r="C4" i="41"/>
  <c r="N5" i="42"/>
  <c r="J4" i="42"/>
  <c r="A6" i="41" a="1"/>
  <c r="A6" i="41"/>
  <c r="C4" i="40"/>
  <c r="A6" i="40" a="1"/>
  <c r="A6" i="40"/>
  <c r="J4" i="41"/>
  <c r="N5" i="41"/>
  <c r="N5" i="40"/>
  <c r="J4" i="40"/>
  <c r="C4" i="33"/>
  <c r="C35" i="39"/>
  <c r="C21" i="39"/>
  <c r="A6" i="39" a="1"/>
  <c r="A6" i="39"/>
  <c r="A6" i="38" a="1"/>
  <c r="A6" i="38"/>
  <c r="J4" i="39"/>
  <c r="N5" i="39"/>
  <c r="C7" i="39"/>
  <c r="C4" i="39"/>
  <c r="C38" i="38"/>
  <c r="C4" i="38"/>
  <c r="N5" i="38"/>
  <c r="J4" i="38"/>
  <c r="A6" i="37" a="1"/>
  <c r="A6" i="37"/>
  <c r="C13" i="37"/>
  <c r="C4" i="37"/>
  <c r="J4" i="37"/>
  <c r="N5" i="37"/>
  <c r="A6" i="34" a="1"/>
  <c r="A6" i="34"/>
  <c r="A34" i="33" a="1"/>
  <c r="A34" i="33"/>
  <c r="C20" i="34"/>
  <c r="C4" i="34"/>
  <c r="J4" i="34"/>
  <c r="N5" i="34"/>
  <c r="C4" i="32"/>
  <c r="J4" i="33"/>
  <c r="N5" i="33"/>
  <c r="A6" i="32" a="1"/>
  <c r="A6" i="32"/>
  <c r="A5" i="28" a="1"/>
  <c r="A5" i="28"/>
  <c r="N5" i="32"/>
  <c r="J4" i="32"/>
  <c r="C4" i="31"/>
  <c r="K30" i="31"/>
  <c r="K18" i="31"/>
  <c r="A6" i="31" a="1"/>
  <c r="A6" i="31" s="1"/>
  <c r="K6" i="31"/>
  <c r="K10" i="31"/>
  <c r="A5" i="30" a="1"/>
  <c r="A5" i="30" s="1"/>
  <c r="J4" i="31"/>
  <c r="N5" i="31"/>
  <c r="K29" i="30"/>
  <c r="K26" i="30"/>
  <c r="K27" i="30"/>
  <c r="M17" i="30"/>
  <c r="M11" i="30"/>
  <c r="K14" i="30"/>
  <c r="M8" i="30"/>
  <c r="J3" i="30"/>
  <c r="O4" i="30"/>
  <c r="N9" i="30"/>
  <c r="L13" i="28"/>
  <c r="C3" i="28"/>
  <c r="A3" i="28"/>
  <c r="J5" i="28"/>
  <c r="M4" i="28"/>
  <c r="J3" i="28"/>
  <c r="K24" i="27"/>
  <c r="K21" i="27"/>
  <c r="K23" i="27"/>
  <c r="A5" i="24" a="1"/>
  <c r="A5" i="24"/>
  <c r="J13" i="27"/>
  <c r="N9" i="27"/>
  <c r="N5" i="27"/>
  <c r="A5" i="27" a="1"/>
  <c r="A5" i="27"/>
  <c r="A5" i="26" a="1"/>
  <c r="A5" i="26"/>
  <c r="O4" i="27"/>
  <c r="J3" i="27"/>
  <c r="C3" i="27"/>
  <c r="N29" i="26"/>
  <c r="J26" i="26"/>
  <c r="J22" i="26"/>
  <c r="N22" i="26"/>
  <c r="N23" i="26"/>
  <c r="N21" i="26"/>
  <c r="N17" i="26"/>
  <c r="J15" i="26"/>
  <c r="J14" i="26"/>
  <c r="N14" i="26"/>
  <c r="J11" i="26"/>
  <c r="N10" i="26"/>
  <c r="J7" i="26"/>
  <c r="N8" i="26"/>
  <c r="A5" i="23" a="1"/>
  <c r="A5" i="23"/>
  <c r="O4" i="26"/>
  <c r="J3" i="26"/>
  <c r="C3" i="26"/>
  <c r="J35" i="24"/>
  <c r="N28" i="24"/>
  <c r="J30" i="24"/>
  <c r="N29" i="24"/>
  <c r="N25" i="24"/>
  <c r="N24" i="24"/>
  <c r="N20" i="24"/>
  <c r="J21" i="24"/>
  <c r="N22" i="24"/>
  <c r="N16" i="24"/>
  <c r="N19" i="24"/>
  <c r="N18" i="24"/>
  <c r="N17" i="24"/>
  <c r="N15" i="24"/>
  <c r="N11" i="24"/>
  <c r="J6" i="24"/>
  <c r="N7" i="24"/>
  <c r="N5" i="24"/>
  <c r="O4" i="24"/>
  <c r="J3" i="24"/>
  <c r="C3" i="24"/>
  <c r="L26" i="23"/>
  <c r="L24" i="23"/>
  <c r="L21" i="23"/>
  <c r="L22" i="23"/>
  <c r="L19" i="23"/>
  <c r="L15" i="23"/>
  <c r="L14" i="23"/>
  <c r="L13" i="23"/>
  <c r="L12" i="23"/>
  <c r="N12" i="23"/>
  <c r="L8" i="23"/>
  <c r="L7" i="23"/>
  <c r="C3" i="23"/>
  <c r="M5" i="23"/>
  <c r="M4" i="23"/>
  <c r="I3" i="23"/>
  <c r="L25" i="22"/>
  <c r="L27" i="22"/>
  <c r="I28" i="22"/>
  <c r="L26" i="22"/>
  <c r="L22" i="22"/>
  <c r="L21" i="22"/>
  <c r="N20" i="22"/>
  <c r="L19" i="22"/>
  <c r="L17" i="22"/>
  <c r="L16" i="22"/>
  <c r="L14" i="22"/>
  <c r="L13" i="22"/>
  <c r="L11" i="22"/>
  <c r="L12" i="22"/>
  <c r="L10" i="22"/>
  <c r="A5" i="22" a="1"/>
  <c r="A5" i="22"/>
  <c r="M5" i="22"/>
  <c r="M8" i="22"/>
  <c r="M4" i="22"/>
  <c r="I3" i="22"/>
  <c r="C3" i="22"/>
  <c r="C3" i="21"/>
  <c r="M19" i="21"/>
  <c r="M22" i="21"/>
  <c r="M18" i="21"/>
  <c r="M17" i="21"/>
  <c r="M16" i="21"/>
  <c r="M14" i="21"/>
  <c r="M13" i="21"/>
  <c r="M12" i="21"/>
  <c r="N10" i="21"/>
  <c r="M8" i="21"/>
  <c r="O8" i="21"/>
  <c r="N8" i="21"/>
  <c r="K6" i="21"/>
  <c r="K7" i="21"/>
  <c r="M9" i="21"/>
  <c r="K9" i="21"/>
  <c r="K8" i="21"/>
  <c r="K12" i="21"/>
  <c r="K10" i="21"/>
  <c r="K5" i="21"/>
  <c r="A5" i="21" a="1"/>
  <c r="A5" i="21"/>
  <c r="I3" i="21"/>
  <c r="K54" i="20"/>
  <c r="K51" i="20"/>
  <c r="K49" i="20"/>
  <c r="K86" i="20"/>
  <c r="K50" i="20"/>
  <c r="K57" i="20"/>
  <c r="K30" i="20"/>
  <c r="K31" i="20"/>
  <c r="K32" i="20"/>
  <c r="K33" i="20"/>
  <c r="K34" i="20"/>
  <c r="K35" i="20"/>
  <c r="K36" i="20"/>
  <c r="K37" i="20"/>
  <c r="K38" i="20"/>
  <c r="K39" i="20"/>
  <c r="K40" i="20"/>
  <c r="K41" i="20"/>
  <c r="K42" i="20"/>
  <c r="K43" i="20"/>
  <c r="K44" i="20"/>
  <c r="K45" i="20"/>
  <c r="K46" i="20"/>
  <c r="K47" i="20"/>
  <c r="K53" i="20"/>
  <c r="K48" i="20"/>
  <c r="K58" i="20"/>
  <c r="L41" i="20"/>
  <c r="L40" i="20"/>
  <c r="K28" i="20"/>
  <c r="K26" i="20"/>
  <c r="K27" i="20"/>
  <c r="K29" i="20"/>
  <c r="K25" i="20"/>
  <c r="K8" i="20"/>
  <c r="K9" i="20"/>
  <c r="K10" i="20"/>
  <c r="K11" i="20"/>
  <c r="K12" i="20"/>
  <c r="K13" i="20"/>
  <c r="K14" i="20"/>
  <c r="K15" i="20"/>
  <c r="K16" i="20"/>
  <c r="K17" i="20"/>
  <c r="K18" i="20"/>
  <c r="K19" i="20"/>
  <c r="K20" i="20"/>
  <c r="K21" i="20"/>
  <c r="K22" i="20"/>
  <c r="K23" i="20"/>
  <c r="K24" i="20"/>
  <c r="K84" i="20"/>
  <c r="A5" i="20" a="1"/>
  <c r="A5" i="20"/>
  <c r="K5" i="20"/>
  <c r="C3" i="20"/>
  <c r="I3" i="20"/>
  <c r="K7" i="20"/>
  <c r="K6" i="20"/>
  <c r="K52" i="19"/>
  <c r="K51" i="19"/>
  <c r="A5" i="19" a="1"/>
  <c r="A5" i="19"/>
  <c r="A5" i="18" a="1"/>
  <c r="A5" i="18"/>
  <c r="I48" i="19"/>
  <c r="K48" i="19"/>
  <c r="K45" i="19"/>
  <c r="K46" i="19"/>
  <c r="K42" i="19"/>
  <c r="K47" i="19"/>
  <c r="K50" i="19"/>
  <c r="K41" i="19"/>
  <c r="K44" i="19"/>
  <c r="K38" i="19"/>
  <c r="K40" i="19"/>
  <c r="K36" i="19"/>
  <c r="K49" i="19"/>
  <c r="K56" i="19"/>
  <c r="K39" i="19"/>
  <c r="K60" i="19"/>
  <c r="K43" i="19"/>
  <c r="K37" i="19"/>
  <c r="K57" i="19"/>
  <c r="K59" i="19"/>
  <c r="K58" i="19"/>
  <c r="K32" i="19"/>
  <c r="K31" i="19"/>
  <c r="K35" i="19"/>
  <c r="K25" i="19"/>
  <c r="K26" i="19"/>
  <c r="K28" i="19"/>
  <c r="K30" i="19"/>
  <c r="K34" i="19"/>
  <c r="K23" i="19"/>
  <c r="C3" i="19"/>
  <c r="K29" i="19"/>
  <c r="K24" i="19"/>
  <c r="K33" i="19"/>
  <c r="K27" i="19"/>
  <c r="K21" i="19"/>
  <c r="K16" i="19"/>
  <c r="K14" i="19"/>
  <c r="K20" i="19"/>
  <c r="K17" i="19"/>
  <c r="K19" i="19"/>
  <c r="K18" i="19"/>
  <c r="K22" i="19"/>
  <c r="M7" i="19"/>
  <c r="M5" i="19"/>
  <c r="L14" i="19"/>
  <c r="K13" i="19"/>
  <c r="K15" i="19"/>
  <c r="I9" i="19"/>
  <c r="K9" i="19"/>
  <c r="K11" i="19"/>
  <c r="K12" i="19"/>
  <c r="K8" i="19"/>
  <c r="M8" i="19"/>
  <c r="K6" i="19"/>
  <c r="L61" i="18"/>
  <c r="K5" i="19"/>
  <c r="M10" i="19"/>
  <c r="K10" i="19"/>
  <c r="M6" i="19"/>
  <c r="K7" i="19"/>
  <c r="M9" i="19"/>
  <c r="M4" i="19"/>
  <c r="I3" i="19"/>
  <c r="L62" i="18"/>
  <c r="L56" i="18"/>
  <c r="L60" i="18"/>
  <c r="L58" i="18"/>
  <c r="L59" i="18"/>
  <c r="L50" i="18"/>
  <c r="L49" i="18"/>
  <c r="L53" i="18"/>
  <c r="I47" i="18"/>
  <c r="L46" i="18"/>
  <c r="L47" i="18"/>
  <c r="L55" i="18"/>
  <c r="L51" i="18"/>
  <c r="L45" i="18"/>
  <c r="L48" i="18"/>
  <c r="L44" i="18"/>
  <c r="L52" i="18"/>
  <c r="C3" i="18"/>
  <c r="L57" i="18"/>
  <c r="I39" i="18"/>
  <c r="I37" i="18"/>
  <c r="L43" i="18"/>
  <c r="L69" i="18"/>
  <c r="L9" i="18"/>
  <c r="L37" i="18"/>
  <c r="L31" i="18"/>
  <c r="L38" i="18"/>
  <c r="L42" i="18"/>
  <c r="L39" i="18"/>
  <c r="L40" i="18"/>
  <c r="L54" i="18"/>
  <c r="L32" i="18"/>
  <c r="L41" i="18"/>
  <c r="L34" i="18"/>
  <c r="L35" i="18"/>
  <c r="L26" i="18"/>
  <c r="L33" i="18"/>
  <c r="L29" i="18"/>
  <c r="L36" i="18"/>
  <c r="L30" i="18"/>
  <c r="L28" i="18"/>
  <c r="I70" i="18"/>
  <c r="L70" i="18"/>
  <c r="L27" i="18"/>
  <c r="L22" i="18"/>
  <c r="I13" i="18"/>
  <c r="L14" i="18"/>
  <c r="L24" i="18"/>
  <c r="N9" i="18"/>
  <c r="L15" i="18"/>
  <c r="L71" i="18"/>
  <c r="L25" i="18"/>
  <c r="L18" i="18"/>
  <c r="L12" i="18"/>
  <c r="L11" i="18"/>
  <c r="M6" i="17"/>
  <c r="M7" i="17"/>
  <c r="M8" i="17"/>
  <c r="M9" i="17"/>
  <c r="M10" i="17"/>
  <c r="M11" i="17"/>
  <c r="M12" i="17"/>
  <c r="M13" i="17"/>
  <c r="M14" i="17"/>
  <c r="M15" i="17"/>
  <c r="M16" i="17"/>
  <c r="M17" i="17"/>
  <c r="M18" i="17"/>
  <c r="M19" i="17"/>
  <c r="M20" i="17"/>
  <c r="M21" i="17"/>
  <c r="M22" i="17"/>
  <c r="M23" i="17"/>
  <c r="M24" i="17"/>
  <c r="M25" i="17"/>
  <c r="M26" i="17"/>
  <c r="M27" i="17"/>
  <c r="M28" i="17"/>
  <c r="M29" i="17"/>
  <c r="M30" i="17"/>
  <c r="M31" i="17"/>
  <c r="M32" i="17"/>
  <c r="M33" i="17"/>
  <c r="M34" i="17"/>
  <c r="M35" i="17"/>
  <c r="M36" i="17"/>
  <c r="M37" i="17"/>
  <c r="M38" i="17"/>
  <c r="M39" i="17"/>
  <c r="M40" i="17"/>
  <c r="M41" i="17"/>
  <c r="M42" i="17"/>
  <c r="M43" i="17"/>
  <c r="M44" i="17"/>
  <c r="M45" i="17"/>
  <c r="M46" i="17"/>
  <c r="M47" i="17"/>
  <c r="M48" i="17"/>
  <c r="M49" i="17"/>
  <c r="M50" i="17"/>
  <c r="M51" i="17"/>
  <c r="M52" i="17"/>
  <c r="M53" i="17"/>
  <c r="M54" i="17"/>
  <c r="M55" i="17"/>
  <c r="M56" i="17"/>
  <c r="M57" i="17"/>
  <c r="M58" i="17"/>
  <c r="M59" i="17"/>
  <c r="M60" i="17"/>
  <c r="M61" i="17"/>
  <c r="M62" i="17"/>
  <c r="M63" i="17"/>
  <c r="M64" i="17"/>
  <c r="M65" i="17"/>
  <c r="M66" i="17"/>
  <c r="M67" i="17"/>
  <c r="M68" i="17"/>
  <c r="M69" i="17"/>
  <c r="M70" i="17"/>
  <c r="L6" i="18"/>
  <c r="I6" i="18"/>
  <c r="L17" i="18"/>
  <c r="L13" i="18"/>
  <c r="L7" i="18"/>
  <c r="N5" i="18"/>
  <c r="L10" i="18"/>
  <c r="L8" i="18"/>
  <c r="L23" i="18"/>
  <c r="L16" i="18"/>
  <c r="L19" i="18"/>
  <c r="L5" i="18"/>
  <c r="N7" i="18"/>
  <c r="M71" i="17"/>
  <c r="L21" i="18"/>
  <c r="L20" i="18"/>
  <c r="N8" i="18"/>
  <c r="I3" i="18"/>
  <c r="A5" i="17" a="1"/>
  <c r="A5" i="17"/>
  <c r="C3" i="17"/>
  <c r="M84" i="17"/>
  <c r="O9" i="17"/>
  <c r="I43" i="17"/>
  <c r="I42" i="17"/>
  <c r="I33" i="17"/>
  <c r="I30" i="17"/>
  <c r="M81" i="17"/>
  <c r="M5" i="17"/>
  <c r="O8" i="17"/>
  <c r="I26" i="17"/>
  <c r="I17" i="17"/>
  <c r="A5" i="16" a="1"/>
  <c r="A5" i="16"/>
  <c r="I3" i="17"/>
  <c r="M80" i="17"/>
  <c r="M73" i="17"/>
  <c r="M74" i="17"/>
  <c r="M75" i="17"/>
  <c r="M76" i="17"/>
  <c r="M77" i="17"/>
  <c r="M53" i="16"/>
  <c r="I43" i="16"/>
  <c r="M40" i="16"/>
  <c r="I35" i="16"/>
  <c r="I36" i="16"/>
  <c r="M62" i="16"/>
  <c r="M22" i="16"/>
  <c r="M10" i="16"/>
  <c r="M13" i="16"/>
  <c r="M9" i="16"/>
  <c r="M16" i="16"/>
  <c r="M14" i="16"/>
  <c r="M6" i="16"/>
  <c r="O8" i="16"/>
  <c r="M11" i="16"/>
  <c r="M5" i="16"/>
  <c r="M12" i="16"/>
  <c r="M49" i="16"/>
  <c r="M21" i="16"/>
  <c r="O13" i="16"/>
  <c r="M28" i="16"/>
  <c r="M41" i="16"/>
  <c r="M55" i="16"/>
  <c r="M56" i="16"/>
  <c r="M57" i="16"/>
  <c r="M58" i="16"/>
  <c r="M59" i="16"/>
  <c r="M60" i="16"/>
  <c r="M63" i="16"/>
  <c r="M64" i="16"/>
  <c r="M65" i="16"/>
  <c r="M66" i="16"/>
  <c r="M67" i="16"/>
  <c r="M68" i="16"/>
  <c r="C3" i="16"/>
  <c r="I3" i="16"/>
  <c r="O6" i="15"/>
  <c r="I43" i="15"/>
  <c r="M47" i="15"/>
  <c r="M43" i="15"/>
  <c r="M38" i="15"/>
  <c r="M39" i="15"/>
  <c r="M42" i="15"/>
  <c r="M44" i="15"/>
  <c r="A5" i="15" a="1"/>
  <c r="A5" i="15"/>
  <c r="M36" i="15"/>
  <c r="M6" i="15"/>
  <c r="M7" i="15"/>
  <c r="M8" i="15"/>
  <c r="M9" i="15"/>
  <c r="M10" i="15"/>
  <c r="M11" i="15"/>
  <c r="M12" i="15"/>
  <c r="M13" i="15"/>
  <c r="M14" i="15"/>
  <c r="M15" i="15"/>
  <c r="M16" i="15"/>
  <c r="M17" i="15"/>
  <c r="M18" i="15"/>
  <c r="M19" i="15"/>
  <c r="M20" i="15"/>
  <c r="M22" i="15"/>
  <c r="M21" i="15"/>
  <c r="M24" i="15"/>
  <c r="M23" i="15"/>
  <c r="M25" i="15"/>
  <c r="M26" i="15"/>
  <c r="M27" i="15"/>
  <c r="M28" i="15"/>
  <c r="M29" i="15"/>
  <c r="M37" i="15"/>
  <c r="M30" i="15"/>
  <c r="M33" i="15"/>
  <c r="M31" i="15"/>
  <c r="C3" i="15"/>
  <c r="M5" i="15"/>
  <c r="O8" i="15"/>
  <c r="I3" i="15"/>
  <c r="C3" i="13"/>
  <c r="A5" i="13" a="1"/>
  <c r="A5" i="13"/>
  <c r="M23" i="13"/>
  <c r="M24" i="13"/>
  <c r="M27" i="13"/>
  <c r="M26" i="13"/>
  <c r="M29" i="13"/>
  <c r="M28" i="13"/>
  <c r="M31" i="13"/>
  <c r="M32" i="13"/>
  <c r="O6" i="13"/>
  <c r="M22" i="13"/>
  <c r="M19" i="13"/>
  <c r="M18" i="13"/>
  <c r="M17" i="13"/>
  <c r="M25" i="13"/>
  <c r="M21" i="13"/>
  <c r="M20" i="13"/>
  <c r="M14" i="13"/>
  <c r="M15" i="13"/>
  <c r="M13" i="13"/>
  <c r="M12" i="13"/>
  <c r="O7" i="13"/>
  <c r="M16" i="13"/>
  <c r="M10" i="13"/>
  <c r="M11" i="13"/>
  <c r="M6" i="13"/>
  <c r="M7" i="13"/>
  <c r="O8" i="13"/>
  <c r="A5" i="12" a="1"/>
  <c r="A5" i="12"/>
  <c r="M8" i="13"/>
  <c r="O5" i="13"/>
  <c r="M9" i="13"/>
  <c r="M5" i="13"/>
  <c r="I3" i="13"/>
  <c r="M44" i="12"/>
  <c r="M43" i="12"/>
  <c r="M40" i="12"/>
  <c r="M38" i="12"/>
  <c r="M41" i="12"/>
  <c r="M42" i="12"/>
  <c r="M37" i="12"/>
  <c r="M34" i="12"/>
  <c r="M36" i="12"/>
  <c r="M33" i="12"/>
  <c r="M32" i="12"/>
  <c r="M39" i="12"/>
  <c r="M31" i="12"/>
  <c r="M35" i="12"/>
  <c r="M29" i="12"/>
  <c r="M26" i="12"/>
  <c r="M22" i="12"/>
  <c r="M27" i="12"/>
  <c r="M23" i="12"/>
  <c r="M17" i="12"/>
  <c r="M16" i="12"/>
  <c r="M19" i="12"/>
  <c r="M20" i="12"/>
  <c r="M24" i="12"/>
  <c r="M21" i="12"/>
  <c r="M14" i="12"/>
  <c r="C3" i="12"/>
  <c r="M15" i="12"/>
  <c r="M11" i="12"/>
  <c r="M9" i="12"/>
  <c r="M30" i="12"/>
  <c r="M28" i="12"/>
  <c r="M10" i="12"/>
  <c r="O8" i="12"/>
  <c r="M18" i="12"/>
  <c r="M6" i="12"/>
  <c r="M13" i="12"/>
  <c r="M25" i="12"/>
  <c r="M8" i="12"/>
  <c r="O7" i="12"/>
  <c r="M12" i="12"/>
  <c r="M7" i="12"/>
  <c r="M5" i="12"/>
  <c r="I3" i="12"/>
  <c r="A5" i="10" a="1"/>
  <c r="A5" i="10"/>
  <c r="M56" i="10"/>
  <c r="M59" i="10"/>
  <c r="M62" i="10"/>
  <c r="M60" i="10"/>
  <c r="M61" i="10"/>
  <c r="M53" i="10"/>
  <c r="M54" i="10"/>
  <c r="M49" i="10"/>
  <c r="M50" i="10"/>
  <c r="M58" i="10"/>
  <c r="M52" i="10"/>
  <c r="M48" i="10"/>
  <c r="M44" i="10"/>
  <c r="M43" i="10"/>
  <c r="M46" i="10"/>
  <c r="M41" i="10"/>
  <c r="M51" i="10"/>
  <c r="M55" i="10"/>
  <c r="M40" i="10"/>
  <c r="M38" i="10"/>
  <c r="M42" i="10"/>
  <c r="M45" i="10"/>
  <c r="M57" i="10"/>
  <c r="M33" i="10"/>
  <c r="M36" i="10"/>
  <c r="M47" i="10"/>
  <c r="M39" i="10"/>
  <c r="M32" i="10"/>
  <c r="M37" i="10"/>
  <c r="M31" i="10"/>
  <c r="M28" i="10"/>
  <c r="M30" i="10"/>
  <c r="M29" i="10"/>
  <c r="M27" i="10"/>
  <c r="M35" i="10"/>
  <c r="M23" i="10"/>
  <c r="M26" i="10"/>
  <c r="M21" i="10"/>
  <c r="M24" i="10"/>
  <c r="M22" i="10"/>
  <c r="M20" i="10"/>
  <c r="M19" i="10"/>
  <c r="M15" i="10"/>
  <c r="M18" i="10"/>
  <c r="M14" i="10"/>
  <c r="M16" i="10"/>
  <c r="M13" i="10"/>
  <c r="M12" i="10"/>
  <c r="M10" i="10"/>
  <c r="M11" i="10"/>
  <c r="M25" i="10"/>
  <c r="O10" i="10"/>
  <c r="C3" i="8"/>
  <c r="L5" i="8"/>
  <c r="C3" i="10"/>
  <c r="M6" i="10"/>
  <c r="M7" i="10"/>
  <c r="M17" i="10"/>
  <c r="M8" i="10"/>
  <c r="M9" i="10"/>
  <c r="M34" i="10"/>
  <c r="M5" i="10"/>
  <c r="I3" i="10"/>
  <c r="L54" i="8"/>
  <c r="L55" i="8"/>
  <c r="L56" i="8"/>
  <c r="L53" i="8"/>
  <c r="L51" i="8"/>
  <c r="L52" i="8"/>
  <c r="A5" i="8" a="1"/>
  <c r="A5" i="8"/>
  <c r="L50" i="8"/>
  <c r="L48" i="8"/>
  <c r="L49" i="8"/>
  <c r="L47" i="8"/>
  <c r="L46" i="8"/>
  <c r="L44" i="8"/>
  <c r="L45" i="8"/>
  <c r="L43" i="8"/>
  <c r="L42" i="8"/>
  <c r="L41" i="8"/>
  <c r="L40" i="8"/>
  <c r="L39" i="8"/>
  <c r="N10" i="8"/>
  <c r="L36" i="8"/>
  <c r="L34" i="8"/>
  <c r="L37" i="8"/>
  <c r="L32" i="8"/>
  <c r="L33" i="8"/>
  <c r="L26" i="8"/>
  <c r="L25" i="8"/>
  <c r="L35" i="8"/>
  <c r="L28" i="8"/>
  <c r="L23" i="8"/>
  <c r="L27" i="8"/>
  <c r="L38" i="8"/>
  <c r="L22" i="8"/>
  <c r="L17" i="8"/>
  <c r="L18" i="8"/>
  <c r="L19" i="8"/>
  <c r="L24" i="8"/>
  <c r="L20" i="8"/>
  <c r="L29" i="8"/>
  <c r="N8" i="8"/>
  <c r="L21" i="8"/>
  <c r="L30" i="8"/>
  <c r="L31" i="8"/>
  <c r="L16" i="8"/>
  <c r="L14" i="8"/>
  <c r="L13" i="8"/>
  <c r="L12" i="8"/>
  <c r="L15" i="8"/>
  <c r="N9" i="8"/>
  <c r="L11" i="8"/>
  <c r="L10" i="8"/>
  <c r="L6" i="8"/>
  <c r="L7" i="8"/>
  <c r="L8" i="8"/>
  <c r="N5" i="8"/>
  <c r="L9" i="8"/>
  <c r="H3" i="8"/>
  <c r="L64" i="7"/>
  <c r="L62" i="7"/>
  <c r="L63" i="7"/>
  <c r="L61" i="7"/>
  <c r="L65" i="7"/>
  <c r="L57" i="7"/>
  <c r="L58" i="7"/>
  <c r="L59" i="7"/>
  <c r="L53" i="7"/>
  <c r="L51" i="7"/>
  <c r="L52" i="7"/>
  <c r="L50" i="7"/>
  <c r="L54" i="7"/>
  <c r="L55" i="7"/>
  <c r="L56" i="7"/>
  <c r="L60" i="7"/>
  <c r="C3" i="7"/>
  <c r="L46" i="7"/>
  <c r="L45" i="7"/>
  <c r="L49" i="7"/>
  <c r="L41" i="7"/>
  <c r="L42" i="7"/>
  <c r="L43" i="7"/>
  <c r="L44" i="7"/>
  <c r="L40" i="7"/>
  <c r="L39" i="7"/>
  <c r="L35" i="7"/>
  <c r="L36" i="7"/>
  <c r="L37" i="7"/>
  <c r="L47" i="7"/>
  <c r="L38" i="7"/>
  <c r="L48" i="7"/>
  <c r="L34" i="7"/>
  <c r="L33" i="7"/>
  <c r="L32" i="7"/>
  <c r="L25" i="7"/>
  <c r="L28" i="7"/>
  <c r="L29" i="7"/>
  <c r="L26" i="7"/>
  <c r="L27" i="7"/>
  <c r="L31" i="7"/>
  <c r="L30" i="7"/>
  <c r="L24" i="7"/>
  <c r="L17" i="7"/>
  <c r="L18" i="7"/>
  <c r="L19" i="7"/>
  <c r="L20" i="7"/>
  <c r="L21" i="7"/>
  <c r="L22" i="7"/>
  <c r="L23" i="7"/>
  <c r="L12" i="7"/>
  <c r="L13" i="7"/>
  <c r="L14" i="7"/>
  <c r="L15" i="7"/>
  <c r="L16" i="7"/>
  <c r="L11" i="7"/>
  <c r="L10" i="7"/>
  <c r="L9" i="7"/>
  <c r="L8" i="7"/>
  <c r="L7" i="7"/>
  <c r="N6" i="7"/>
  <c r="L6" i="7"/>
  <c r="L5" i="7"/>
  <c r="N8" i="7"/>
  <c r="H3" i="7"/>
  <c r="L49" i="6"/>
  <c r="L45" i="6"/>
  <c r="L46" i="6"/>
  <c r="L51" i="6"/>
  <c r="L48" i="6"/>
  <c r="L47" i="6"/>
  <c r="L50" i="6"/>
  <c r="L42" i="6"/>
  <c r="L44" i="6"/>
  <c r="L41" i="6"/>
  <c r="N9" i="7"/>
  <c r="L36" i="6"/>
  <c r="L37" i="6"/>
  <c r="L38" i="6"/>
  <c r="L39" i="6"/>
  <c r="L40" i="6"/>
  <c r="L43" i="6"/>
  <c r="L35" i="6"/>
  <c r="L33" i="6"/>
  <c r="L34" i="6"/>
  <c r="L32" i="6"/>
  <c r="L31" i="6"/>
  <c r="L30" i="6"/>
  <c r="L29" i="6"/>
  <c r="C3" i="6"/>
  <c r="L28" i="6"/>
  <c r="L27" i="6"/>
  <c r="L26" i="6"/>
  <c r="L23" i="6"/>
  <c r="L22" i="6"/>
  <c r="L21" i="6"/>
  <c r="L16" i="6"/>
  <c r="L17" i="6"/>
  <c r="L18" i="6"/>
  <c r="L19" i="6"/>
  <c r="L20" i="6"/>
  <c r="L24" i="6"/>
  <c r="L25" i="6"/>
  <c r="L15" i="6"/>
  <c r="L6" i="6"/>
  <c r="L7" i="6"/>
  <c r="L8" i="6"/>
  <c r="L9" i="6"/>
  <c r="L10" i="6"/>
  <c r="N8" i="6"/>
  <c r="L11" i="6"/>
  <c r="N7" i="6"/>
  <c r="L12" i="6"/>
  <c r="L13" i="6"/>
  <c r="L14" i="6"/>
  <c r="N6" i="6"/>
  <c r="L5" i="6"/>
  <c r="N9" i="6"/>
  <c r="L67" i="5"/>
  <c r="H3" i="6"/>
  <c r="N5" i="6"/>
  <c r="L65" i="5"/>
  <c r="L64" i="5"/>
  <c r="L62" i="5"/>
  <c r="L63" i="5"/>
  <c r="L60" i="5"/>
  <c r="N4" i="6"/>
  <c r="L61" i="5"/>
  <c r="L59" i="5"/>
  <c r="L58" i="5"/>
  <c r="L57" i="5"/>
  <c r="L55" i="5"/>
  <c r="L50" i="5"/>
  <c r="L54" i="5"/>
  <c r="L56" i="5"/>
  <c r="L51" i="5"/>
  <c r="L46" i="5"/>
  <c r="L53" i="5"/>
  <c r="L49" i="5"/>
  <c r="L47" i="5"/>
  <c r="L45" i="5"/>
  <c r="L44" i="5"/>
  <c r="L43" i="5"/>
  <c r="L42" i="5"/>
  <c r="L39" i="5"/>
  <c r="L33" i="5"/>
  <c r="L41" i="5"/>
  <c r="L31" i="5"/>
  <c r="L32" i="5"/>
  <c r="L38" i="5"/>
  <c r="L34" i="5"/>
  <c r="L35" i="5"/>
  <c r="L36" i="5"/>
  <c r="L37" i="5"/>
  <c r="L40" i="5"/>
  <c r="O30" i="5"/>
  <c r="L30" i="5"/>
  <c r="L29" i="5"/>
  <c r="L28" i="5"/>
  <c r="L27" i="5"/>
  <c r="L26" i="5"/>
  <c r="L22" i="5"/>
  <c r="L25" i="5"/>
  <c r="L24" i="5"/>
  <c r="L16" i="5"/>
  <c r="L18" i="5"/>
  <c r="L17" i="5"/>
  <c r="L19" i="5"/>
  <c r="L20" i="5"/>
  <c r="L21" i="5"/>
  <c r="L14" i="5"/>
  <c r="L12" i="5"/>
  <c r="L13" i="5"/>
  <c r="L15" i="5"/>
  <c r="L23" i="5"/>
  <c r="L11" i="5"/>
  <c r="L9" i="5"/>
  <c r="L6" i="5"/>
  <c r="L7" i="5"/>
  <c r="L8" i="5"/>
  <c r="N5" i="5"/>
  <c r="L5" i="5"/>
  <c r="L78" i="5"/>
  <c r="L77" i="5"/>
  <c r="L76" i="5"/>
  <c r="L75" i="5"/>
  <c r="L74" i="5"/>
  <c r="L73" i="5"/>
  <c r="L72" i="5"/>
  <c r="L71" i="5"/>
  <c r="L70" i="5"/>
  <c r="L52" i="5"/>
  <c r="N6" i="5"/>
  <c r="L66" i="5"/>
  <c r="N7" i="5"/>
  <c r="L48" i="5"/>
  <c r="N9" i="5"/>
  <c r="L10" i="5"/>
  <c r="N8" i="5"/>
  <c r="H3" i="5"/>
  <c r="C3" i="5"/>
  <c r="K55" i="3"/>
  <c r="K61" i="3"/>
  <c r="K59" i="3"/>
  <c r="K62" i="3"/>
  <c r="K63" i="3"/>
  <c r="K60" i="3"/>
  <c r="K65" i="3"/>
  <c r="K58" i="3"/>
  <c r="K65" i="1"/>
  <c r="K64" i="1"/>
  <c r="K63" i="1"/>
  <c r="K62" i="1"/>
  <c r="K61" i="1"/>
  <c r="K60" i="1"/>
  <c r="K59" i="1"/>
  <c r="K58" i="1"/>
  <c r="K57" i="1"/>
  <c r="K56" i="1"/>
  <c r="K55" i="1"/>
  <c r="K54" i="1"/>
  <c r="K53" i="1"/>
  <c r="K52" i="1"/>
  <c r="K51" i="1"/>
  <c r="K50" i="1"/>
  <c r="K49" i="1"/>
  <c r="K48" i="1"/>
  <c r="K47" i="1"/>
  <c r="K46" i="1"/>
  <c r="K45" i="1"/>
  <c r="K44" i="1"/>
  <c r="K43" i="1"/>
  <c r="K42" i="1"/>
  <c r="K41" i="1"/>
  <c r="K40" i="1"/>
  <c r="K39" i="1"/>
  <c r="K38" i="1"/>
  <c r="K37" i="1"/>
  <c r="K36" i="1"/>
  <c r="K35" i="1"/>
  <c r="K34" i="1"/>
  <c r="K33" i="1"/>
  <c r="K32" i="1"/>
  <c r="K31" i="1"/>
  <c r="K30" i="1"/>
  <c r="K29" i="1"/>
  <c r="K28" i="1"/>
  <c r="K27" i="1"/>
  <c r="K26" i="1"/>
  <c r="K25" i="1"/>
  <c r="K24" i="1"/>
  <c r="K23" i="1"/>
  <c r="K22" i="1"/>
  <c r="K21" i="1"/>
  <c r="K20" i="1"/>
  <c r="K19" i="1"/>
  <c r="K18" i="1"/>
  <c r="K17" i="1"/>
  <c r="K16" i="1"/>
  <c r="K15" i="1"/>
  <c r="K14" i="1"/>
  <c r="K13" i="1"/>
  <c r="K12" i="1"/>
  <c r="K11" i="1"/>
  <c r="K10" i="1"/>
  <c r="K9" i="1"/>
  <c r="K8" i="1"/>
  <c r="K7" i="1"/>
  <c r="K6" i="1"/>
  <c r="H4" i="1"/>
  <c r="C4" i="1"/>
  <c r="K64" i="3"/>
  <c r="K56" i="3"/>
  <c r="K57" i="3"/>
  <c r="K54" i="3"/>
  <c r="K53" i="3"/>
  <c r="K52" i="3"/>
  <c r="K51" i="3"/>
  <c r="K50" i="3"/>
  <c r="K49" i="3"/>
  <c r="K48" i="3"/>
  <c r="K47" i="3"/>
  <c r="K46" i="3"/>
  <c r="K45" i="3"/>
  <c r="K44" i="3"/>
  <c r="K43" i="3"/>
  <c r="K42" i="3"/>
  <c r="K41" i="3"/>
  <c r="K40" i="3"/>
  <c r="K39" i="3"/>
  <c r="K38" i="3"/>
  <c r="K37" i="3"/>
  <c r="K36" i="3"/>
  <c r="K35" i="3"/>
  <c r="K34" i="3"/>
  <c r="K33" i="3"/>
  <c r="K32" i="3"/>
  <c r="K31" i="3"/>
  <c r="K30" i="3"/>
  <c r="K29" i="3"/>
  <c r="K28" i="3"/>
  <c r="K27" i="3"/>
  <c r="K26" i="3"/>
  <c r="K25" i="3"/>
  <c r="K24" i="3"/>
  <c r="K23" i="3"/>
  <c r="K22" i="3"/>
  <c r="K21" i="3"/>
  <c r="K20" i="3"/>
  <c r="K19" i="3"/>
  <c r="K18" i="3"/>
  <c r="K17" i="3"/>
  <c r="K16" i="3"/>
  <c r="K15" i="3"/>
  <c r="K14" i="3"/>
  <c r="K13" i="3"/>
  <c r="K12" i="3"/>
  <c r="K11" i="3"/>
  <c r="K10" i="3"/>
  <c r="K9" i="3"/>
  <c r="K8" i="3"/>
  <c r="K7" i="3"/>
  <c r="K6" i="3"/>
  <c r="K5" i="3"/>
  <c r="H3" i="3"/>
  <c r="C3" i="3"/>
  <c r="M10" i="1"/>
  <c r="M9" i="1"/>
  <c r="M6" i="1"/>
  <c r="M7" i="1"/>
  <c r="M8" i="1"/>
  <c r="M8" i="3"/>
  <c r="M5" i="3"/>
  <c r="M9" i="3"/>
  <c r="M7" i="3"/>
  <c r="M6" i="3"/>
  <c r="N5" i="7"/>
  <c r="N7" i="7"/>
  <c r="N4" i="7"/>
  <c r="O6" i="12"/>
  <c r="O5" i="12"/>
  <c r="O10" i="12"/>
  <c r="O9" i="12"/>
  <c r="O5" i="10"/>
  <c r="O8" i="10"/>
  <c r="O6" i="10"/>
  <c r="O7" i="10"/>
  <c r="O9" i="10"/>
  <c r="O4" i="10"/>
  <c r="N7" i="8"/>
  <c r="O4" i="12"/>
  <c r="O5" i="17"/>
  <c r="O7" i="17"/>
  <c r="O10" i="17"/>
  <c r="O6" i="17"/>
  <c r="O5" i="16"/>
  <c r="O9" i="16"/>
  <c r="O6" i="16"/>
  <c r="O7" i="16"/>
  <c r="O4" i="16"/>
  <c r="O10" i="15"/>
  <c r="O9" i="15"/>
  <c r="O7" i="15"/>
  <c r="O5" i="15"/>
  <c r="O4" i="15"/>
  <c r="O10" i="13"/>
  <c r="O9" i="13"/>
  <c r="O4" i="13"/>
  <c r="O4" i="17"/>
  <c r="N6" i="8"/>
  <c r="N4" i="8"/>
  <c r="N13" i="22"/>
  <c r="M7" i="21"/>
  <c r="M6" i="21"/>
  <c r="M5" i="21"/>
  <c r="M8" i="20"/>
  <c r="M6" i="20"/>
  <c r="M9" i="20"/>
  <c r="M7" i="20"/>
  <c r="M10" i="20"/>
  <c r="M5" i="20"/>
  <c r="M4" i="20"/>
  <c r="N6" i="18"/>
  <c r="N10" i="18"/>
  <c r="M4" i="21"/>
  <c r="N4" i="18"/>
  <c r="D2" i="55"/>
  <c r="U26" i="60"/>
  <c r="U4" i="60"/>
  <c r="U57" i="60"/>
  <c r="U76" i="60"/>
  <c r="U33" i="60"/>
  <c r="U39" i="60"/>
  <c r="U17" i="60"/>
  <c r="U30" i="60"/>
  <c r="U125" i="60"/>
  <c r="U119" i="60"/>
  <c r="U61" i="60"/>
  <c r="U51" i="60"/>
  <c r="U25" i="60"/>
  <c r="U41" i="60"/>
  <c r="U22" i="60"/>
  <c r="U34" i="60"/>
  <c r="U21" i="60"/>
  <c r="U47" i="60"/>
  <c r="U8" i="60"/>
  <c r="U40" i="60"/>
  <c r="U67" i="60"/>
  <c r="U74" i="60"/>
  <c r="U63" i="60"/>
  <c r="U37" i="60"/>
  <c r="U27" i="60"/>
  <c r="U58" i="60"/>
  <c r="D4" i="61"/>
  <c r="T98" i="62"/>
  <c r="T25" i="62"/>
  <c r="T125" i="62"/>
  <c r="T74" i="62"/>
  <c r="T4" i="62"/>
  <c r="T39" i="62"/>
  <c r="B29" i="61"/>
  <c r="E4" i="61"/>
  <c r="D2" i="63"/>
  <c r="B27" i="61"/>
  <c r="C26" i="61"/>
  <c r="C20" i="61"/>
  <c r="C21" i="61"/>
  <c r="C22" i="61"/>
  <c r="C23" i="61"/>
  <c r="C24" i="61"/>
  <c r="C25" i="61"/>
  <c r="B31" i="61"/>
  <c r="C31" i="61"/>
  <c r="H23" i="61"/>
  <c r="H27" i="61"/>
  <c r="H31" i="61"/>
  <c r="I20" i="61"/>
  <c r="I22" i="61"/>
  <c r="I23" i="61"/>
  <c r="I24" i="61"/>
  <c r="I26" i="61"/>
  <c r="I21" i="61"/>
  <c r="I25" i="61"/>
  <c r="D27" i="61"/>
  <c r="E26" i="61"/>
  <c r="E25" i="61"/>
  <c r="B5" i="61"/>
  <c r="E5" i="61"/>
  <c r="K5" i="61" s="1"/>
  <c r="D29" i="61"/>
  <c r="D31" i="61"/>
  <c r="E21" i="61"/>
  <c r="E22" i="61"/>
  <c r="E23" i="61"/>
  <c r="E20" i="61"/>
  <c r="E24" i="61"/>
  <c r="E31" i="61"/>
  <c r="M2" i="64"/>
  <c r="C6" i="61"/>
  <c r="E6" i="61"/>
  <c r="J21" i="61" l="1"/>
  <c r="C7" i="61"/>
  <c r="M20" i="61"/>
  <c r="M21" i="61"/>
  <c r="M22" i="61"/>
  <c r="M23" i="61"/>
  <c r="M24" i="61"/>
  <c r="M25" i="61"/>
  <c r="M26" i="61"/>
  <c r="E7" i="61"/>
  <c r="D2" i="68"/>
  <c r="M2" i="68"/>
  <c r="H5" i="61"/>
  <c r="O27" i="61"/>
  <c r="J27" i="61" l="1"/>
  <c r="K20" i="61"/>
  <c r="H6" i="61"/>
  <c r="K6" i="61" s="1"/>
  <c r="H7" i="61"/>
  <c r="K7" i="61" s="1"/>
  <c r="H8" i="61" s="1"/>
  <c r="K8" i="61" s="1"/>
  <c r="H9" i="61" s="1"/>
  <c r="K9" i="61" s="1"/>
  <c r="J31" i="61" l="1"/>
  <c r="K26" i="61"/>
  <c r="K25" i="61"/>
  <c r="K24" i="61"/>
  <c r="K23" i="61"/>
  <c r="K22" i="61"/>
  <c r="K21" i="61"/>
  <c r="A55" i="39"/>
  <c r="A54" i="39"/>
  <c r="A53" i="39"/>
  <c r="A52" i="39"/>
  <c r="A51" i="39"/>
  <c r="A50" i="39"/>
  <c r="A49" i="39"/>
  <c r="A48" i="39"/>
  <c r="A47" i="39"/>
  <c r="A46" i="39"/>
  <c r="A45" i="39"/>
  <c r="A44" i="39"/>
  <c r="A43" i="39"/>
  <c r="A42" i="39"/>
  <c r="A41" i="39"/>
  <c r="A40" i="39"/>
  <c r="A39" i="39"/>
  <c r="A38" i="39"/>
  <c r="A37" i="39"/>
  <c r="A36" i="39"/>
  <c r="A35" i="39"/>
  <c r="A34" i="39"/>
  <c r="A33" i="39"/>
  <c r="A32" i="39"/>
  <c r="A31" i="39"/>
  <c r="A30" i="39"/>
  <c r="A29" i="39"/>
  <c r="A28" i="39"/>
  <c r="A27" i="39"/>
  <c r="A26" i="39"/>
  <c r="A25" i="39"/>
  <c r="A24" i="39"/>
  <c r="A23" i="39"/>
  <c r="A22" i="39"/>
  <c r="A21" i="39"/>
  <c r="A20" i="39"/>
  <c r="A19" i="39"/>
  <c r="A18" i="39"/>
  <c r="A17" i="39"/>
  <c r="A16" i="39"/>
  <c r="A15" i="39"/>
  <c r="A14" i="39"/>
  <c r="A13" i="39"/>
  <c r="A12" i="39"/>
  <c r="A11" i="39"/>
  <c r="A10" i="39"/>
  <c r="A9" i="39"/>
  <c r="A8" i="39"/>
  <c r="A7" i="39"/>
  <c r="A45" i="34"/>
  <c r="A44" i="34"/>
  <c r="A43" i="34"/>
  <c r="A42" i="34"/>
  <c r="A41" i="34"/>
  <c r="A40" i="34"/>
  <c r="A39" i="34"/>
  <c r="A38" i="34"/>
  <c r="A37" i="34"/>
  <c r="A36" i="34"/>
  <c r="A35" i="34"/>
  <c r="A34" i="34"/>
  <c r="A33" i="34"/>
  <c r="A32" i="34"/>
  <c r="A31" i="34"/>
  <c r="A30" i="34"/>
  <c r="A29" i="34"/>
  <c r="A28" i="34"/>
  <c r="A27" i="34"/>
  <c r="A26" i="34"/>
  <c r="A25" i="34"/>
  <c r="A24" i="34"/>
  <c r="A23" i="34"/>
  <c r="A22" i="34"/>
  <c r="A21" i="34"/>
  <c r="A20" i="34"/>
  <c r="A19" i="34"/>
  <c r="A18" i="34"/>
  <c r="A17" i="34"/>
  <c r="A16" i="34"/>
  <c r="A15" i="34"/>
  <c r="A14" i="34"/>
  <c r="A13" i="34"/>
  <c r="A12" i="34"/>
  <c r="A11" i="34"/>
  <c r="A10" i="34"/>
  <c r="A9" i="34"/>
  <c r="A8" i="34"/>
  <c r="A7" i="34"/>
  <c r="A54" i="51"/>
  <c r="A53" i="51"/>
  <c r="A52" i="51"/>
  <c r="A51" i="51"/>
  <c r="A50" i="51"/>
  <c r="A49" i="51"/>
  <c r="A48" i="51"/>
  <c r="A47" i="51"/>
  <c r="A46" i="51"/>
  <c r="A45" i="51"/>
  <c r="A44" i="51"/>
  <c r="A43" i="51"/>
  <c r="A42" i="51"/>
  <c r="A41" i="51"/>
  <c r="A40" i="51"/>
  <c r="A39" i="51"/>
  <c r="A38" i="51"/>
  <c r="A37" i="51"/>
  <c r="A36" i="51"/>
  <c r="A35" i="51"/>
  <c r="A34" i="51"/>
  <c r="A33" i="51"/>
  <c r="A32" i="51"/>
  <c r="A31" i="51"/>
  <c r="A30" i="51"/>
  <c r="A29" i="51"/>
  <c r="A28" i="51"/>
  <c r="A27" i="51"/>
  <c r="A26" i="51"/>
  <c r="A25" i="51"/>
  <c r="A24" i="51"/>
  <c r="A23" i="51"/>
  <c r="A22" i="51"/>
  <c r="A21" i="51"/>
  <c r="A20" i="51"/>
  <c r="A19" i="51"/>
  <c r="A18" i="51"/>
  <c r="A17" i="51"/>
  <c r="A16" i="51"/>
  <c r="A15" i="51"/>
  <c r="A14" i="51"/>
  <c r="A13" i="51"/>
  <c r="A12" i="51"/>
  <c r="A11" i="51"/>
  <c r="A10" i="51"/>
  <c r="A9" i="51"/>
  <c r="A8" i="51"/>
  <c r="A7" i="51"/>
  <c r="A6" i="51"/>
  <c r="A54" i="53"/>
  <c r="A53" i="53"/>
  <c r="A52" i="53"/>
  <c r="A51" i="53"/>
  <c r="A50" i="53"/>
  <c r="A49" i="53"/>
  <c r="A48" i="53"/>
  <c r="A47" i="53"/>
  <c r="A46" i="53"/>
  <c r="A45" i="53"/>
  <c r="A44" i="53"/>
  <c r="A43" i="53"/>
  <c r="A42" i="53"/>
  <c r="A41" i="53"/>
  <c r="A40" i="53"/>
  <c r="A39" i="53"/>
  <c r="A38" i="53"/>
  <c r="A37" i="53"/>
  <c r="A36" i="53"/>
  <c r="A35" i="53"/>
  <c r="A34" i="53"/>
  <c r="A33" i="53"/>
  <c r="A32" i="53"/>
  <c r="A31" i="53"/>
  <c r="A30" i="53"/>
  <c r="A29" i="53"/>
  <c r="A28" i="53"/>
  <c r="A27" i="53"/>
  <c r="A26" i="53"/>
  <c r="A25" i="53"/>
  <c r="A24" i="53"/>
  <c r="A23" i="53"/>
  <c r="A22" i="53"/>
  <c r="A21" i="53"/>
  <c r="A20" i="53"/>
  <c r="A19" i="53"/>
  <c r="A18" i="53"/>
  <c r="A17" i="53"/>
  <c r="A16" i="53"/>
  <c r="A15" i="53"/>
  <c r="A14" i="53"/>
  <c r="A13" i="53"/>
  <c r="A12" i="53"/>
  <c r="A11" i="53"/>
  <c r="A10" i="53"/>
  <c r="A9" i="53"/>
  <c r="A8" i="53"/>
  <c r="A7" i="53"/>
  <c r="A6" i="53"/>
  <c r="A45" i="40"/>
  <c r="A44" i="40"/>
  <c r="A43" i="40"/>
  <c r="A42" i="40"/>
  <c r="A41" i="40"/>
  <c r="A40" i="40"/>
  <c r="A39" i="40"/>
  <c r="A38" i="40"/>
  <c r="A37" i="40"/>
  <c r="A36" i="40"/>
  <c r="A35" i="40"/>
  <c r="A34" i="40"/>
  <c r="A33" i="40"/>
  <c r="A32" i="40"/>
  <c r="A31" i="40"/>
  <c r="A30" i="40"/>
  <c r="A29" i="40"/>
  <c r="A28" i="40"/>
  <c r="A27" i="40"/>
  <c r="A26" i="40"/>
  <c r="A25" i="40"/>
  <c r="A24" i="40"/>
  <c r="A23" i="40"/>
  <c r="A22" i="40"/>
  <c r="A21" i="40"/>
  <c r="A20" i="40"/>
  <c r="A19" i="40"/>
  <c r="A18" i="40"/>
  <c r="A17" i="40"/>
  <c r="A16" i="40"/>
  <c r="A15" i="40"/>
  <c r="A14" i="40"/>
  <c r="A13" i="40"/>
  <c r="A12" i="40"/>
  <c r="A11" i="40"/>
  <c r="A10" i="40"/>
  <c r="A9" i="40"/>
  <c r="A8" i="40"/>
  <c r="A7" i="40"/>
  <c r="A45" i="41"/>
  <c r="A44" i="41"/>
  <c r="A43" i="41"/>
  <c r="A42" i="41"/>
  <c r="A41" i="41"/>
  <c r="A40" i="41"/>
  <c r="A39" i="41"/>
  <c r="A38" i="41"/>
  <c r="A37" i="41"/>
  <c r="A36" i="41"/>
  <c r="A35" i="41"/>
  <c r="A34" i="41"/>
  <c r="A33" i="41"/>
  <c r="A32" i="41"/>
  <c r="A31" i="41"/>
  <c r="A30" i="41"/>
  <c r="A29" i="41"/>
  <c r="A28" i="41"/>
  <c r="A27" i="41"/>
  <c r="A26" i="41"/>
  <c r="A25" i="41"/>
  <c r="A24" i="41"/>
  <c r="A23" i="41"/>
  <c r="A22" i="41"/>
  <c r="A21" i="41"/>
  <c r="A20" i="41"/>
  <c r="A19" i="41"/>
  <c r="A18" i="41"/>
  <c r="A17" i="41"/>
  <c r="A16" i="41"/>
  <c r="A15" i="41"/>
  <c r="A14" i="41"/>
  <c r="A13" i="41"/>
  <c r="A12" i="41"/>
  <c r="A11" i="41"/>
  <c r="A10" i="41"/>
  <c r="A9" i="41"/>
  <c r="A8" i="41"/>
  <c r="A7" i="41"/>
  <c r="A47" i="42"/>
  <c r="A46" i="42"/>
  <c r="A45" i="42"/>
  <c r="A44" i="42"/>
  <c r="A43" i="42"/>
  <c r="A42" i="42"/>
  <c r="A41" i="42"/>
  <c r="A40" i="42"/>
  <c r="A39" i="42"/>
  <c r="A38" i="42"/>
  <c r="A37" i="42"/>
  <c r="A36" i="42"/>
  <c r="A35" i="42"/>
  <c r="A34" i="42"/>
  <c r="A33" i="42"/>
  <c r="A32" i="42"/>
  <c r="A31" i="42"/>
  <c r="A30" i="42"/>
  <c r="A29" i="42"/>
  <c r="A28" i="42"/>
  <c r="A27" i="42"/>
  <c r="A26" i="42"/>
  <c r="A25" i="42"/>
  <c r="A24" i="42"/>
  <c r="A23" i="42"/>
  <c r="A22" i="42"/>
  <c r="A21" i="42"/>
  <c r="A20" i="42"/>
  <c r="A19" i="42"/>
  <c r="A18" i="42"/>
  <c r="A17" i="42"/>
  <c r="A16" i="42"/>
  <c r="A15" i="42"/>
  <c r="A14" i="42"/>
  <c r="A13" i="42"/>
  <c r="A12" i="42"/>
  <c r="A11" i="42"/>
  <c r="A10" i="42"/>
  <c r="A9" i="42"/>
  <c r="A8" i="42"/>
  <c r="A7" i="42"/>
  <c r="A50" i="43"/>
  <c r="A49" i="43"/>
  <c r="A48" i="43"/>
  <c r="A47" i="43"/>
  <c r="A46" i="43"/>
  <c r="A45" i="43"/>
  <c r="A44" i="43"/>
  <c r="A43" i="43"/>
  <c r="A42" i="43"/>
  <c r="A41" i="43"/>
  <c r="A40" i="43"/>
  <c r="A39" i="43"/>
  <c r="A38" i="43"/>
  <c r="A37" i="43"/>
  <c r="A36" i="43"/>
  <c r="A35" i="43"/>
  <c r="A34" i="43"/>
  <c r="A33" i="43"/>
  <c r="A32" i="43"/>
  <c r="A31" i="43"/>
  <c r="A30" i="43"/>
  <c r="A29" i="43"/>
  <c r="A28" i="43"/>
  <c r="A27" i="43"/>
  <c r="A26" i="43"/>
  <c r="A25" i="43"/>
  <c r="A24" i="43"/>
  <c r="A23" i="43"/>
  <c r="A22" i="43"/>
  <c r="A21" i="43"/>
  <c r="A20" i="43"/>
  <c r="A19" i="43"/>
  <c r="A18" i="43"/>
  <c r="A17" i="43"/>
  <c r="A16" i="43"/>
  <c r="A15" i="43"/>
  <c r="A14" i="43"/>
  <c r="A13" i="43"/>
  <c r="A12" i="43"/>
  <c r="A11" i="43"/>
  <c r="A10" i="43"/>
  <c r="A9" i="43"/>
  <c r="A8" i="43"/>
  <c r="A7" i="43"/>
  <c r="A49" i="44"/>
  <c r="A48" i="44"/>
  <c r="A47" i="44"/>
  <c r="A46" i="44"/>
  <c r="A45" i="44"/>
  <c r="A44" i="44"/>
  <c r="A43" i="44"/>
  <c r="A42" i="44"/>
  <c r="A41" i="44"/>
  <c r="A40" i="44"/>
  <c r="A39" i="44"/>
  <c r="A38" i="44"/>
  <c r="A37" i="44"/>
  <c r="A36" i="44"/>
  <c r="A35" i="44"/>
  <c r="A34" i="44"/>
  <c r="A33" i="44"/>
  <c r="A32" i="44"/>
  <c r="A31" i="44"/>
  <c r="A30" i="44"/>
  <c r="A29" i="44"/>
  <c r="A28" i="44"/>
  <c r="A27" i="44"/>
  <c r="A26" i="44"/>
  <c r="A25" i="44"/>
  <c r="A24" i="44"/>
  <c r="A23" i="44"/>
  <c r="A22" i="44"/>
  <c r="A21" i="44"/>
  <c r="A20" i="44"/>
  <c r="A19" i="44"/>
  <c r="A18" i="44"/>
  <c r="A17" i="44"/>
  <c r="A16" i="44"/>
  <c r="A15" i="44"/>
  <c r="A14" i="44"/>
  <c r="A13" i="44"/>
  <c r="A12" i="44"/>
  <c r="A11" i="44"/>
  <c r="A10" i="44"/>
  <c r="A9" i="44"/>
  <c r="A8" i="44"/>
  <c r="A7" i="44"/>
  <c r="A6" i="44"/>
  <c r="A54" i="45"/>
  <c r="A53" i="45"/>
  <c r="A52" i="45"/>
  <c r="A51" i="45"/>
  <c r="A50" i="45"/>
  <c r="A49" i="45"/>
  <c r="A48" i="45"/>
  <c r="A47" i="45"/>
  <c r="A46" i="45"/>
  <c r="A45" i="45"/>
  <c r="A44" i="45"/>
  <c r="A43" i="45"/>
  <c r="A42" i="45"/>
  <c r="A41" i="45"/>
  <c r="A40" i="45"/>
  <c r="A39" i="45"/>
  <c r="A38" i="45"/>
  <c r="A37" i="45"/>
  <c r="A36" i="45"/>
  <c r="A35" i="45"/>
  <c r="A34" i="45"/>
  <c r="A33" i="45"/>
  <c r="A32" i="45"/>
  <c r="A31" i="45"/>
  <c r="A30" i="45"/>
  <c r="A29" i="45"/>
  <c r="A28" i="45"/>
  <c r="A27" i="45"/>
  <c r="A26" i="45"/>
  <c r="A25" i="45"/>
  <c r="A24" i="45"/>
  <c r="A23" i="45"/>
  <c r="A22" i="45"/>
  <c r="A21" i="45"/>
  <c r="A20" i="45"/>
  <c r="A19" i="45"/>
  <c r="A18" i="45"/>
  <c r="A17" i="45"/>
  <c r="A16" i="45"/>
  <c r="A15" i="45"/>
  <c r="A14" i="45"/>
  <c r="A13" i="45"/>
  <c r="A12" i="45"/>
  <c r="A11" i="45"/>
  <c r="A10" i="45"/>
  <c r="A9" i="45"/>
  <c r="A8" i="45"/>
  <c r="A7" i="45"/>
  <c r="A6" i="45"/>
  <c r="A49" i="46"/>
  <c r="A48" i="46"/>
  <c r="A47" i="46"/>
  <c r="A46" i="46"/>
  <c r="A45" i="46"/>
  <c r="A44" i="46"/>
  <c r="A43" i="46"/>
  <c r="A42" i="46"/>
  <c r="A41" i="46"/>
  <c r="A40" i="46"/>
  <c r="A39" i="46"/>
  <c r="A38" i="46"/>
  <c r="A37" i="46"/>
  <c r="A36" i="46"/>
  <c r="A35" i="46"/>
  <c r="A34" i="46"/>
  <c r="A33" i="46"/>
  <c r="A32" i="46"/>
  <c r="A31" i="46"/>
  <c r="A30" i="46"/>
  <c r="A29" i="46"/>
  <c r="A28" i="46"/>
  <c r="A27" i="46"/>
  <c r="A26" i="46"/>
  <c r="A25" i="46"/>
  <c r="A24" i="46"/>
  <c r="A23" i="46"/>
  <c r="A22" i="46"/>
  <c r="A21" i="46"/>
  <c r="A20" i="46"/>
  <c r="A19" i="46"/>
  <c r="A18" i="46"/>
  <c r="A17" i="46"/>
  <c r="A16" i="46"/>
  <c r="A15" i="46"/>
  <c r="A14" i="46"/>
  <c r="A13" i="46"/>
  <c r="A12" i="46"/>
  <c r="A11" i="46"/>
  <c r="A10" i="46"/>
  <c r="A9" i="46"/>
  <c r="A8" i="46"/>
  <c r="A7" i="46"/>
  <c r="A6" i="46"/>
  <c r="A54" i="47"/>
  <c r="A53" i="47"/>
  <c r="A52" i="47"/>
  <c r="A51" i="47"/>
  <c r="A50" i="47"/>
  <c r="A49" i="47"/>
  <c r="A48" i="47"/>
  <c r="A47" i="47"/>
  <c r="A46" i="47"/>
  <c r="A45" i="47"/>
  <c r="A44" i="47"/>
  <c r="A43" i="47"/>
  <c r="A42" i="47"/>
  <c r="A41" i="47"/>
  <c r="A40" i="47"/>
  <c r="A39" i="47"/>
  <c r="A38" i="47"/>
  <c r="A37" i="47"/>
  <c r="A36" i="47"/>
  <c r="A35" i="47"/>
  <c r="A34" i="47"/>
  <c r="A33" i="47"/>
  <c r="A32" i="47"/>
  <c r="A31" i="47"/>
  <c r="A30" i="47"/>
  <c r="A29" i="47"/>
  <c r="A28" i="47"/>
  <c r="A27" i="47"/>
  <c r="A26" i="47"/>
  <c r="A25" i="47"/>
  <c r="A24" i="47"/>
  <c r="A23" i="47"/>
  <c r="A22" i="47"/>
  <c r="A21" i="47"/>
  <c r="A20" i="47"/>
  <c r="A19" i="47"/>
  <c r="A18" i="47"/>
  <c r="A17" i="47"/>
  <c r="A16" i="47"/>
  <c r="A15" i="47"/>
  <c r="A14" i="47"/>
  <c r="A13" i="47"/>
  <c r="A12" i="47"/>
  <c r="A11" i="47"/>
  <c r="A10" i="47"/>
  <c r="A9" i="47"/>
  <c r="A8" i="47"/>
  <c r="A7" i="47"/>
  <c r="A6" i="47"/>
  <c r="A54" i="49"/>
  <c r="A53" i="49"/>
  <c r="A52" i="49"/>
  <c r="A51" i="49"/>
  <c r="A50" i="49"/>
  <c r="A49" i="49"/>
  <c r="A48" i="49"/>
  <c r="A47" i="49"/>
  <c r="A46" i="49"/>
  <c r="A45" i="49"/>
  <c r="A44" i="49"/>
  <c r="A43" i="49"/>
  <c r="A42" i="49"/>
  <c r="A41" i="49"/>
  <c r="A40" i="49"/>
  <c r="A39" i="49"/>
  <c r="A38" i="49"/>
  <c r="A37" i="49"/>
  <c r="A36" i="49"/>
  <c r="A35" i="49"/>
  <c r="A34" i="49"/>
  <c r="A33" i="49"/>
  <c r="A32" i="49"/>
  <c r="A31" i="49"/>
  <c r="A30" i="49"/>
  <c r="A29" i="49"/>
  <c r="A28" i="49"/>
  <c r="A27" i="49"/>
  <c r="A26" i="49"/>
  <c r="A25" i="49"/>
  <c r="A24" i="49"/>
  <c r="A23" i="49"/>
  <c r="A22" i="49"/>
  <c r="A21" i="49"/>
  <c r="A20" i="49"/>
  <c r="A19" i="49"/>
  <c r="A18" i="49"/>
  <c r="A17" i="49"/>
  <c r="A16" i="49"/>
  <c r="A15" i="49"/>
  <c r="A14" i="49"/>
  <c r="A13" i="49"/>
  <c r="A12" i="49"/>
  <c r="A11" i="49"/>
  <c r="A10" i="49"/>
  <c r="A9" i="49"/>
  <c r="A8" i="49"/>
  <c r="A7" i="49"/>
  <c r="A6" i="49"/>
  <c r="A49" i="48"/>
  <c r="A48" i="48"/>
  <c r="A47" i="48"/>
  <c r="A46" i="48"/>
  <c r="A45" i="48"/>
  <c r="A44" i="48"/>
  <c r="A43" i="48"/>
  <c r="A42" i="48"/>
  <c r="A41" i="48"/>
  <c r="A40" i="48"/>
  <c r="A39" i="48"/>
  <c r="A38" i="48"/>
  <c r="A37" i="48"/>
  <c r="A36" i="48"/>
  <c r="A35" i="48"/>
  <c r="A34" i="48"/>
  <c r="A33" i="48"/>
  <c r="A32" i="48"/>
  <c r="A31" i="48"/>
  <c r="A30" i="48"/>
  <c r="A29" i="48"/>
  <c r="A28" i="48"/>
  <c r="A27" i="48"/>
  <c r="A26" i="48"/>
  <c r="A25" i="48"/>
  <c r="A24" i="48"/>
  <c r="A23" i="48"/>
  <c r="A22" i="48"/>
  <c r="A21" i="48"/>
  <c r="A20" i="48"/>
  <c r="A19" i="48"/>
  <c r="A18" i="48"/>
  <c r="A17" i="48"/>
  <c r="A16" i="48"/>
  <c r="A15" i="48"/>
  <c r="A14" i="48"/>
  <c r="A13" i="48"/>
  <c r="A12" i="48"/>
  <c r="A11" i="48"/>
  <c r="A10" i="48"/>
  <c r="A9" i="48"/>
  <c r="A8" i="48"/>
  <c r="A7" i="48"/>
  <c r="A6" i="48"/>
  <c r="A54" i="50"/>
  <c r="A53" i="50"/>
  <c r="A52" i="50"/>
  <c r="A51" i="50"/>
  <c r="A50" i="50"/>
  <c r="A49" i="50"/>
  <c r="A48" i="50"/>
  <c r="A47" i="50"/>
  <c r="A46" i="50"/>
  <c r="A45" i="50"/>
  <c r="A44" i="50"/>
  <c r="A43" i="50"/>
  <c r="A42" i="50"/>
  <c r="A41" i="50"/>
  <c r="A40" i="50"/>
  <c r="A39" i="50"/>
  <c r="A38" i="50"/>
  <c r="A37" i="50"/>
  <c r="A36" i="50"/>
  <c r="A35" i="50"/>
  <c r="A34" i="50"/>
  <c r="A33" i="50"/>
  <c r="A32" i="50"/>
  <c r="A31" i="50"/>
  <c r="A30" i="50"/>
  <c r="A29" i="50"/>
  <c r="A28" i="50"/>
  <c r="A27" i="50"/>
  <c r="A26" i="50"/>
  <c r="A25" i="50"/>
  <c r="A24" i="50"/>
  <c r="A23" i="50"/>
  <c r="A22" i="50"/>
  <c r="A21" i="50"/>
  <c r="A20" i="50"/>
  <c r="A19" i="50"/>
  <c r="A18" i="50"/>
  <c r="A17" i="50"/>
  <c r="A16" i="50"/>
  <c r="A15" i="50"/>
  <c r="A14" i="50"/>
  <c r="A13" i="50"/>
  <c r="A12" i="50"/>
  <c r="A11" i="50"/>
  <c r="A10" i="50"/>
  <c r="A9" i="50"/>
  <c r="A8" i="50"/>
  <c r="A7" i="50"/>
  <c r="A6" i="50"/>
  <c r="A73" i="33"/>
  <c r="A72" i="33"/>
  <c r="A71" i="33"/>
  <c r="A70" i="33"/>
  <c r="A69" i="33"/>
  <c r="A68" i="33"/>
  <c r="A67" i="33"/>
  <c r="A66" i="33"/>
  <c r="A65" i="33"/>
  <c r="A64" i="33"/>
  <c r="A63" i="33"/>
  <c r="A62" i="33"/>
  <c r="A61" i="33"/>
  <c r="A60" i="33"/>
  <c r="A59" i="33"/>
  <c r="A58" i="33"/>
  <c r="A57" i="33"/>
  <c r="A56" i="33"/>
  <c r="A55" i="33"/>
  <c r="A54" i="33"/>
  <c r="A53" i="33"/>
  <c r="A52" i="33"/>
  <c r="A51" i="33"/>
  <c r="A50" i="33"/>
  <c r="A49" i="33"/>
  <c r="A48" i="33"/>
  <c r="A47" i="33"/>
  <c r="A46" i="33"/>
  <c r="A45" i="33"/>
  <c r="A44" i="33"/>
  <c r="A43" i="33"/>
  <c r="A42" i="33"/>
  <c r="A41" i="33"/>
  <c r="A40" i="33"/>
  <c r="A39" i="33"/>
  <c r="A38" i="33"/>
  <c r="A37" i="33"/>
  <c r="A36" i="33"/>
  <c r="A35" i="33"/>
  <c r="A52" i="37"/>
  <c r="A51" i="37"/>
  <c r="A50" i="37"/>
  <c r="A49" i="37"/>
  <c r="A48" i="37"/>
  <c r="A47" i="37"/>
  <c r="A46" i="37"/>
  <c r="A45" i="37"/>
  <c r="A44" i="37"/>
  <c r="A43" i="37"/>
  <c r="A42" i="37"/>
  <c r="A41" i="37"/>
  <c r="A40" i="37"/>
  <c r="A39" i="37"/>
  <c r="A38" i="37"/>
  <c r="A37" i="37"/>
  <c r="A36" i="37"/>
  <c r="A35" i="37"/>
  <c r="A34" i="37"/>
  <c r="A33" i="37"/>
  <c r="A32" i="37"/>
  <c r="A31" i="37"/>
  <c r="A30" i="37"/>
  <c r="A29" i="37"/>
  <c r="A28" i="37"/>
  <c r="A27" i="37"/>
  <c r="A26" i="37"/>
  <c r="A25" i="37"/>
  <c r="A24" i="37"/>
  <c r="A23" i="37"/>
  <c r="A22" i="37"/>
  <c r="A21" i="37"/>
  <c r="A20" i="37"/>
  <c r="A19" i="37"/>
  <c r="A18" i="37"/>
  <c r="A17" i="37"/>
  <c r="A16" i="37"/>
  <c r="A15" i="37"/>
  <c r="A14" i="37"/>
  <c r="A13" i="37"/>
  <c r="A12" i="37"/>
  <c r="A11" i="37"/>
  <c r="A10" i="37"/>
  <c r="A9" i="37"/>
  <c r="A8" i="37"/>
  <c r="A7" i="37"/>
  <c r="A24" i="28"/>
  <c r="A23" i="28"/>
  <c r="A22" i="28"/>
  <c r="A21" i="28"/>
  <c r="A20" i="28"/>
  <c r="A19" i="28"/>
  <c r="A18" i="28"/>
  <c r="A17" i="28"/>
  <c r="A16" i="28"/>
  <c r="A15" i="28"/>
  <c r="A14" i="28"/>
  <c r="A13" i="28"/>
  <c r="A12" i="28"/>
  <c r="A11" i="28"/>
  <c r="A10" i="28"/>
  <c r="A9" i="28"/>
  <c r="A8" i="28"/>
  <c r="A7" i="28"/>
  <c r="A6" i="28"/>
  <c r="A40" i="32"/>
  <c r="A39" i="32"/>
  <c r="A38" i="32"/>
  <c r="A37" i="32"/>
  <c r="A36" i="32"/>
  <c r="A35" i="32"/>
  <c r="A34" i="32"/>
  <c r="A33" i="32"/>
  <c r="A32" i="32"/>
  <c r="A31" i="32"/>
  <c r="A30" i="32"/>
  <c r="A29" i="32"/>
  <c r="A28" i="32"/>
  <c r="A27" i="32"/>
  <c r="A26" i="32"/>
  <c r="A25" i="32"/>
  <c r="A24" i="32"/>
  <c r="A23" i="32"/>
  <c r="A22" i="32"/>
  <c r="A21" i="32"/>
  <c r="A20" i="32"/>
  <c r="A19" i="32"/>
  <c r="A18" i="32"/>
  <c r="A17" i="32"/>
  <c r="A16" i="32"/>
  <c r="A15" i="32"/>
  <c r="A14" i="32"/>
  <c r="A13" i="32"/>
  <c r="A12" i="32"/>
  <c r="A11" i="32"/>
  <c r="A10" i="32"/>
  <c r="A9" i="32"/>
  <c r="A8" i="32"/>
  <c r="A7" i="32"/>
  <c r="A64" i="22"/>
  <c r="A63" i="22"/>
  <c r="A62" i="22"/>
  <c r="A61" i="22"/>
  <c r="A60" i="22"/>
  <c r="A59" i="22"/>
  <c r="A58" i="22"/>
  <c r="A57" i="22"/>
  <c r="A56" i="22"/>
  <c r="A55" i="22"/>
  <c r="A54" i="22"/>
  <c r="A53" i="22"/>
  <c r="A52" i="22"/>
  <c r="A51" i="22"/>
  <c r="A50" i="22"/>
  <c r="A49" i="22"/>
  <c r="A48" i="22"/>
  <c r="A47" i="22"/>
  <c r="A46" i="22"/>
  <c r="A45" i="22"/>
  <c r="A44" i="22"/>
  <c r="A43" i="22"/>
  <c r="A42" i="22"/>
  <c r="A41" i="22"/>
  <c r="A40" i="22"/>
  <c r="A39" i="22"/>
  <c r="A38" i="22"/>
  <c r="A37" i="22"/>
  <c r="A36" i="22"/>
  <c r="A35" i="22"/>
  <c r="A34" i="22"/>
  <c r="A33" i="22"/>
  <c r="A32" i="22"/>
  <c r="A31" i="22"/>
  <c r="A30" i="22"/>
  <c r="A29" i="22"/>
  <c r="A28" i="22"/>
  <c r="A27" i="22"/>
  <c r="A26" i="22"/>
  <c r="A25" i="22"/>
  <c r="A24" i="22"/>
  <c r="A23" i="22"/>
  <c r="A22" i="22"/>
  <c r="A21" i="22"/>
  <c r="A20" i="22"/>
  <c r="A19" i="22"/>
  <c r="A18" i="22"/>
  <c r="A17" i="22"/>
  <c r="A16" i="22"/>
  <c r="A15" i="22"/>
  <c r="A14" i="22"/>
  <c r="A13" i="22"/>
  <c r="A12" i="22"/>
  <c r="A11" i="22"/>
  <c r="A10" i="22"/>
  <c r="A9" i="22"/>
  <c r="A8" i="22"/>
  <c r="A7" i="22"/>
  <c r="A6" i="22"/>
  <c r="A39" i="13"/>
  <c r="A38" i="13"/>
  <c r="A37" i="13"/>
  <c r="A36" i="13"/>
  <c r="A35" i="13"/>
  <c r="A34" i="13"/>
  <c r="A33" i="13"/>
  <c r="A32" i="13"/>
  <c r="A31" i="13"/>
  <c r="A30" i="13"/>
  <c r="A29" i="13"/>
  <c r="A28" i="13"/>
  <c r="A27" i="13"/>
  <c r="A26" i="13"/>
  <c r="A25" i="13"/>
  <c r="A24" i="13"/>
  <c r="A23" i="13"/>
  <c r="A22" i="13"/>
  <c r="A21" i="13"/>
  <c r="A20" i="13"/>
  <c r="A19" i="13"/>
  <c r="A18" i="13"/>
  <c r="A17" i="13"/>
  <c r="A16" i="13"/>
  <c r="A15" i="13"/>
  <c r="A14" i="13"/>
  <c r="A13" i="13"/>
  <c r="A12" i="13"/>
  <c r="A11" i="13"/>
  <c r="A10" i="13"/>
  <c r="A9" i="13"/>
  <c r="A8" i="13"/>
  <c r="A7" i="13"/>
  <c r="A6" i="13"/>
  <c r="A54" i="15"/>
  <c r="A53" i="15"/>
  <c r="A52" i="15"/>
  <c r="A51" i="15"/>
  <c r="A50" i="15"/>
  <c r="A49" i="15"/>
  <c r="A48" i="15"/>
  <c r="A47" i="15"/>
  <c r="A46" i="15"/>
  <c r="A45" i="15"/>
  <c r="A44" i="15"/>
  <c r="A43" i="15"/>
  <c r="A42" i="15"/>
  <c r="A41" i="15"/>
  <c r="A40" i="15"/>
  <c r="A39" i="15"/>
  <c r="A38" i="15"/>
  <c r="A37" i="15"/>
  <c r="A36" i="15"/>
  <c r="A35" i="15"/>
  <c r="A34" i="15"/>
  <c r="A33" i="15"/>
  <c r="A32" i="15"/>
  <c r="A31" i="15"/>
  <c r="A30" i="15"/>
  <c r="A29" i="15"/>
  <c r="A28" i="15"/>
  <c r="A27" i="15"/>
  <c r="A26" i="15"/>
  <c r="A25" i="15"/>
  <c r="A24" i="15"/>
  <c r="A23" i="15"/>
  <c r="A22" i="15"/>
  <c r="A21" i="15"/>
  <c r="A20" i="15"/>
  <c r="A19" i="15"/>
  <c r="A18" i="15"/>
  <c r="A17" i="15"/>
  <c r="A16" i="15"/>
  <c r="A15" i="15"/>
  <c r="A14" i="15"/>
  <c r="A13" i="15"/>
  <c r="A12" i="15"/>
  <c r="A11" i="15"/>
  <c r="A10" i="15"/>
  <c r="A9" i="15"/>
  <c r="A8" i="15"/>
  <c r="A7" i="15"/>
  <c r="A6" i="15"/>
  <c r="A74" i="8"/>
  <c r="A73" i="8"/>
  <c r="A72" i="8"/>
  <c r="A71" i="8"/>
  <c r="A70" i="8"/>
  <c r="A69" i="8"/>
  <c r="A68" i="8"/>
  <c r="A67" i="8"/>
  <c r="A66" i="8"/>
  <c r="A65" i="8"/>
  <c r="A64" i="8"/>
  <c r="A63" i="8"/>
  <c r="A62" i="8"/>
  <c r="A61" i="8"/>
  <c r="A60" i="8"/>
  <c r="A59" i="8"/>
  <c r="A58" i="8"/>
  <c r="A57" i="8"/>
  <c r="A56" i="8"/>
  <c r="A55" i="8"/>
  <c r="A54" i="8"/>
  <c r="A53" i="8"/>
  <c r="A52" i="8"/>
  <c r="A51" i="8"/>
  <c r="A50" i="8"/>
  <c r="A49" i="8"/>
  <c r="A48" i="8"/>
  <c r="A47" i="8"/>
  <c r="A46" i="8"/>
  <c r="A45" i="8"/>
  <c r="A44" i="8"/>
  <c r="A43" i="8"/>
  <c r="A42" i="8"/>
  <c r="A41" i="8"/>
  <c r="A40" i="8"/>
  <c r="A39" i="8"/>
  <c r="A38" i="8"/>
  <c r="A37" i="8"/>
  <c r="A36" i="8"/>
  <c r="A35" i="8"/>
  <c r="A34" i="8"/>
  <c r="A33" i="8"/>
  <c r="A32" i="8"/>
  <c r="A31" i="8"/>
  <c r="A30" i="8"/>
  <c r="A29" i="8"/>
  <c r="A28" i="8"/>
  <c r="A27" i="8"/>
  <c r="A26" i="8"/>
  <c r="A25" i="8"/>
  <c r="A24" i="8"/>
  <c r="A23" i="8"/>
  <c r="A22" i="8"/>
  <c r="A21" i="8"/>
  <c r="A20" i="8"/>
  <c r="A19" i="8"/>
  <c r="A18" i="8"/>
  <c r="A17" i="8"/>
  <c r="A16" i="8"/>
  <c r="A15" i="8"/>
  <c r="A14" i="8"/>
  <c r="A13" i="8"/>
  <c r="A12" i="8"/>
  <c r="A11" i="8"/>
  <c r="A10" i="8"/>
  <c r="A9" i="8"/>
  <c r="A8" i="8"/>
  <c r="A7" i="8"/>
  <c r="A6" i="8"/>
  <c r="A69" i="10"/>
  <c r="A68" i="10"/>
  <c r="A67" i="10"/>
  <c r="A66" i="10"/>
  <c r="A65" i="10"/>
  <c r="A64" i="10"/>
  <c r="A63" i="10"/>
  <c r="A62" i="10"/>
  <c r="A61" i="10"/>
  <c r="A60" i="10"/>
  <c r="A59" i="10"/>
  <c r="A58" i="10"/>
  <c r="A57" i="10"/>
  <c r="A56" i="10"/>
  <c r="A55" i="10"/>
  <c r="A54" i="10"/>
  <c r="A53" i="10"/>
  <c r="A52" i="10"/>
  <c r="A51" i="10"/>
  <c r="A50" i="10"/>
  <c r="A49" i="10"/>
  <c r="A48" i="10"/>
  <c r="A47" i="10"/>
  <c r="A46" i="10"/>
  <c r="A45" i="10"/>
  <c r="A44" i="10"/>
  <c r="A43" i="10"/>
  <c r="A42" i="10"/>
  <c r="A41" i="10"/>
  <c r="A40" i="10"/>
  <c r="A39" i="10"/>
  <c r="A38" i="10"/>
  <c r="A37" i="10"/>
  <c r="A36" i="10"/>
  <c r="A35" i="10"/>
  <c r="A34" i="10"/>
  <c r="A33" i="10"/>
  <c r="A32" i="10"/>
  <c r="A31" i="10"/>
  <c r="A30" i="10"/>
  <c r="A29" i="10"/>
  <c r="A28" i="10"/>
  <c r="A27" i="10"/>
  <c r="A26" i="10"/>
  <c r="A25" i="10"/>
  <c r="A24" i="10"/>
  <c r="A23" i="10"/>
  <c r="A22" i="10"/>
  <c r="A21" i="10"/>
  <c r="A20" i="10"/>
  <c r="A19" i="10"/>
  <c r="A18" i="10"/>
  <c r="A17" i="10"/>
  <c r="A16" i="10"/>
  <c r="A15" i="10"/>
  <c r="A14" i="10"/>
  <c r="A13" i="10"/>
  <c r="A12" i="10"/>
  <c r="A11" i="10"/>
  <c r="A10" i="10"/>
  <c r="A9" i="10"/>
  <c r="A8" i="10"/>
  <c r="A7" i="10"/>
  <c r="A6" i="10"/>
  <c r="A44" i="12"/>
  <c r="A43" i="12"/>
  <c r="A42" i="12"/>
  <c r="A41" i="12"/>
  <c r="A40" i="12"/>
  <c r="A39" i="12"/>
  <c r="A38" i="12"/>
  <c r="A37" i="12"/>
  <c r="A36" i="12"/>
  <c r="A35" i="12"/>
  <c r="A34" i="12"/>
  <c r="A33" i="12"/>
  <c r="A32" i="12"/>
  <c r="A31" i="12"/>
  <c r="A30" i="12"/>
  <c r="A29" i="12"/>
  <c r="A28" i="12"/>
  <c r="A27" i="12"/>
  <c r="A26" i="12"/>
  <c r="A25" i="12"/>
  <c r="A24" i="12"/>
  <c r="A23" i="12"/>
  <c r="A22" i="12"/>
  <c r="A21" i="12"/>
  <c r="A20" i="12"/>
  <c r="A19" i="12"/>
  <c r="A18" i="12"/>
  <c r="A17" i="12"/>
  <c r="A16" i="12"/>
  <c r="A15" i="12"/>
  <c r="A14" i="12"/>
  <c r="A13" i="12"/>
  <c r="A12" i="12"/>
  <c r="A11" i="12"/>
  <c r="A10" i="12"/>
  <c r="A9" i="12"/>
  <c r="A8" i="12"/>
  <c r="A7" i="12"/>
  <c r="A6" i="12"/>
  <c r="A54" i="16"/>
  <c r="A53" i="16"/>
  <c r="A52" i="16"/>
  <c r="A51" i="16"/>
  <c r="A50" i="16"/>
  <c r="A49" i="16"/>
  <c r="A48" i="16"/>
  <c r="A47" i="16"/>
  <c r="A46" i="16"/>
  <c r="A45" i="16"/>
  <c r="A44" i="16"/>
  <c r="A43" i="16"/>
  <c r="A42" i="16"/>
  <c r="A41" i="16"/>
  <c r="A40" i="16"/>
  <c r="A39" i="16"/>
  <c r="A38" i="16"/>
  <c r="A37" i="16"/>
  <c r="A36" i="16"/>
  <c r="A35" i="16"/>
  <c r="A34" i="16"/>
  <c r="A33" i="16"/>
  <c r="A32" i="16"/>
  <c r="A31" i="16"/>
  <c r="A30" i="16"/>
  <c r="A29" i="16"/>
  <c r="A28" i="16"/>
  <c r="A27" i="16"/>
  <c r="A26" i="16"/>
  <c r="A25" i="16"/>
  <c r="A24" i="16"/>
  <c r="A23" i="16"/>
  <c r="A22" i="16"/>
  <c r="A21" i="16"/>
  <c r="A20" i="16"/>
  <c r="A19" i="16"/>
  <c r="A18" i="16"/>
  <c r="A17" i="16"/>
  <c r="A16" i="16"/>
  <c r="A15" i="16"/>
  <c r="A14" i="16"/>
  <c r="A13" i="16"/>
  <c r="A12" i="16"/>
  <c r="A11" i="16"/>
  <c r="A10" i="16"/>
  <c r="A9" i="16"/>
  <c r="A8" i="16"/>
  <c r="A7" i="16"/>
  <c r="A6" i="16"/>
  <c r="A74" i="17"/>
  <c r="A73" i="17"/>
  <c r="A72" i="17"/>
  <c r="A71" i="17"/>
  <c r="A70" i="17"/>
  <c r="A69" i="17"/>
  <c r="A68" i="17"/>
  <c r="A67" i="17"/>
  <c r="A66" i="17"/>
  <c r="A65" i="17"/>
  <c r="A64" i="17"/>
  <c r="A63" i="17"/>
  <c r="A62" i="17"/>
  <c r="A61" i="17"/>
  <c r="A60" i="17"/>
  <c r="A59" i="17"/>
  <c r="A58" i="17"/>
  <c r="A57" i="17"/>
  <c r="A56" i="17"/>
  <c r="A55" i="17"/>
  <c r="A54" i="17"/>
  <c r="A53" i="17"/>
  <c r="A52" i="17"/>
  <c r="A51" i="17"/>
  <c r="A50" i="17"/>
  <c r="A49" i="17"/>
  <c r="A48" i="17"/>
  <c r="A47" i="17"/>
  <c r="A46" i="17"/>
  <c r="A45" i="17"/>
  <c r="A44" i="17"/>
  <c r="A43" i="17"/>
  <c r="A42" i="17"/>
  <c r="A41" i="17"/>
  <c r="A40" i="17"/>
  <c r="A39" i="17"/>
  <c r="A38" i="17"/>
  <c r="A37" i="17"/>
  <c r="A36" i="17"/>
  <c r="A35" i="17"/>
  <c r="A34" i="17"/>
  <c r="A33" i="17"/>
  <c r="A32" i="17"/>
  <c r="A31" i="17"/>
  <c r="A30" i="17"/>
  <c r="A29" i="17"/>
  <c r="A28" i="17"/>
  <c r="A27" i="17"/>
  <c r="A26" i="17"/>
  <c r="A25" i="17"/>
  <c r="A24" i="17"/>
  <c r="A23" i="17"/>
  <c r="A22" i="17"/>
  <c r="A21" i="17"/>
  <c r="A20" i="17"/>
  <c r="A19" i="17"/>
  <c r="A18" i="17"/>
  <c r="A17" i="17"/>
  <c r="A16" i="17"/>
  <c r="A15" i="17"/>
  <c r="A14" i="17"/>
  <c r="A13" i="17"/>
  <c r="A12" i="17"/>
  <c r="A11" i="17"/>
  <c r="A10" i="17"/>
  <c r="A9" i="17"/>
  <c r="A8" i="17"/>
  <c r="A7" i="17"/>
  <c r="A6" i="17"/>
  <c r="A74" i="18"/>
  <c r="A73" i="18"/>
  <c r="A72" i="18"/>
  <c r="A71" i="18"/>
  <c r="A70" i="18"/>
  <c r="A69" i="18"/>
  <c r="A68" i="18"/>
  <c r="A67" i="18"/>
  <c r="A66" i="18"/>
  <c r="A65" i="18"/>
  <c r="A64" i="18"/>
  <c r="A63" i="18"/>
  <c r="A62" i="18"/>
  <c r="A61" i="18"/>
  <c r="A60" i="18"/>
  <c r="A59" i="18"/>
  <c r="A58" i="18"/>
  <c r="A57" i="18"/>
  <c r="A56" i="18"/>
  <c r="A55" i="18"/>
  <c r="A54" i="18"/>
  <c r="A53" i="18"/>
  <c r="A52" i="18"/>
  <c r="A51" i="18"/>
  <c r="A50" i="18"/>
  <c r="A49" i="18"/>
  <c r="A48" i="18"/>
  <c r="A47" i="18"/>
  <c r="A46" i="18"/>
  <c r="A45" i="18"/>
  <c r="A44" i="18"/>
  <c r="A43" i="18"/>
  <c r="A42" i="18"/>
  <c r="A41" i="18"/>
  <c r="A40" i="18"/>
  <c r="A39" i="18"/>
  <c r="A38" i="18"/>
  <c r="A37" i="18"/>
  <c r="A36" i="18"/>
  <c r="A35" i="18"/>
  <c r="A34" i="18"/>
  <c r="A33" i="18"/>
  <c r="A32" i="18"/>
  <c r="A31" i="18"/>
  <c r="A30" i="18"/>
  <c r="A29" i="18"/>
  <c r="A28" i="18"/>
  <c r="A27" i="18"/>
  <c r="A26" i="18"/>
  <c r="A25" i="18"/>
  <c r="A24" i="18"/>
  <c r="A23" i="18"/>
  <c r="A22" i="18"/>
  <c r="A21" i="18"/>
  <c r="A20" i="18"/>
  <c r="A19" i="18"/>
  <c r="A18" i="18"/>
  <c r="A17" i="18"/>
  <c r="A16" i="18"/>
  <c r="A15" i="18"/>
  <c r="A14" i="18"/>
  <c r="A13" i="18"/>
  <c r="A12" i="18"/>
  <c r="A11" i="18"/>
  <c r="A10" i="18"/>
  <c r="A9" i="18"/>
  <c r="A8" i="18"/>
  <c r="A7" i="18"/>
  <c r="A6" i="18"/>
  <c r="A64" i="19"/>
  <c r="A63" i="19"/>
  <c r="A62" i="19"/>
  <c r="A61" i="19"/>
  <c r="A60" i="19"/>
  <c r="A59" i="19"/>
  <c r="A58" i="19"/>
  <c r="A57" i="19"/>
  <c r="A56" i="19"/>
  <c r="A55" i="19"/>
  <c r="A54" i="19"/>
  <c r="A53" i="19"/>
  <c r="A52" i="19"/>
  <c r="A51" i="19"/>
  <c r="A50" i="19"/>
  <c r="A49" i="19"/>
  <c r="A48" i="19"/>
  <c r="A47" i="19"/>
  <c r="A46" i="19"/>
  <c r="A45" i="19"/>
  <c r="A44" i="19"/>
  <c r="A43" i="19"/>
  <c r="A42" i="19"/>
  <c r="A41" i="19"/>
  <c r="A40" i="19"/>
  <c r="A39" i="19"/>
  <c r="A38" i="19"/>
  <c r="A37" i="19"/>
  <c r="A36" i="19"/>
  <c r="A35" i="19"/>
  <c r="A34" i="19"/>
  <c r="A33" i="19"/>
  <c r="A32" i="19"/>
  <c r="A31" i="19"/>
  <c r="A30" i="19"/>
  <c r="A29" i="19"/>
  <c r="A28" i="19"/>
  <c r="A27" i="19"/>
  <c r="A26" i="19"/>
  <c r="A25" i="19"/>
  <c r="A24" i="19"/>
  <c r="A23" i="19"/>
  <c r="A22" i="19"/>
  <c r="A21" i="19"/>
  <c r="A20" i="19"/>
  <c r="A19" i="19"/>
  <c r="A18" i="19"/>
  <c r="A17" i="19"/>
  <c r="A16" i="19"/>
  <c r="A15" i="19"/>
  <c r="A14" i="19"/>
  <c r="A13" i="19"/>
  <c r="A12" i="19"/>
  <c r="A11" i="19"/>
  <c r="A10" i="19"/>
  <c r="A9" i="19"/>
  <c r="A8" i="19"/>
  <c r="A7" i="19"/>
  <c r="A6" i="19"/>
  <c r="A64" i="23"/>
  <c r="A63" i="23"/>
  <c r="A62" i="23"/>
  <c r="A61" i="23"/>
  <c r="A60" i="23"/>
  <c r="A59" i="23"/>
  <c r="A58" i="23"/>
  <c r="A57" i="23"/>
  <c r="A56" i="23"/>
  <c r="A55" i="23"/>
  <c r="A54" i="23"/>
  <c r="A53" i="23"/>
  <c r="A52" i="23"/>
  <c r="A51" i="23"/>
  <c r="A50" i="23"/>
  <c r="A49" i="23"/>
  <c r="A48" i="23"/>
  <c r="A47" i="23"/>
  <c r="A46" i="23"/>
  <c r="A45" i="23"/>
  <c r="A44" i="23"/>
  <c r="A43" i="23"/>
  <c r="A42" i="23"/>
  <c r="A41" i="23"/>
  <c r="A40" i="23"/>
  <c r="A39" i="23"/>
  <c r="A38" i="23"/>
  <c r="A37" i="23"/>
  <c r="A36" i="23"/>
  <c r="A35" i="23"/>
  <c r="A34" i="23"/>
  <c r="A33" i="23"/>
  <c r="A32" i="23"/>
  <c r="A31" i="23"/>
  <c r="A30" i="23"/>
  <c r="A29" i="23"/>
  <c r="A28" i="23"/>
  <c r="A27" i="23"/>
  <c r="A26" i="23"/>
  <c r="A25" i="23"/>
  <c r="A24" i="23"/>
  <c r="A23" i="23"/>
  <c r="A22" i="23"/>
  <c r="A21" i="23"/>
  <c r="A20" i="23"/>
  <c r="A19" i="23"/>
  <c r="A18" i="23"/>
  <c r="A17" i="23"/>
  <c r="A16" i="23"/>
  <c r="A15" i="23"/>
  <c r="A14" i="23"/>
  <c r="A13" i="23"/>
  <c r="A12" i="23"/>
  <c r="A11" i="23"/>
  <c r="A10" i="23"/>
  <c r="A9" i="23"/>
  <c r="A8" i="23"/>
  <c r="A7" i="23"/>
  <c r="A6" i="23"/>
  <c r="A64" i="21"/>
  <c r="A63" i="21"/>
  <c r="A62" i="21"/>
  <c r="A61" i="21"/>
  <c r="A60" i="21"/>
  <c r="A59" i="21"/>
  <c r="A58" i="21"/>
  <c r="A57" i="21"/>
  <c r="A56" i="21"/>
  <c r="A55" i="21"/>
  <c r="A54" i="21"/>
  <c r="A53" i="21"/>
  <c r="A52" i="21"/>
  <c r="A51" i="21"/>
  <c r="A50" i="21"/>
  <c r="A49" i="21"/>
  <c r="A48" i="21"/>
  <c r="A47" i="21"/>
  <c r="A46" i="21"/>
  <c r="A45" i="21"/>
  <c r="A44" i="21"/>
  <c r="A43" i="21"/>
  <c r="A42" i="21"/>
  <c r="A41" i="21"/>
  <c r="A40" i="21"/>
  <c r="A39" i="21"/>
  <c r="A38" i="21"/>
  <c r="A37" i="21"/>
  <c r="A36" i="21"/>
  <c r="A35" i="21"/>
  <c r="A34" i="21"/>
  <c r="A33" i="21"/>
  <c r="A32" i="21"/>
  <c r="A31" i="21"/>
  <c r="A30" i="21"/>
  <c r="A29" i="21"/>
  <c r="A28" i="21"/>
  <c r="A27" i="21"/>
  <c r="A26" i="21"/>
  <c r="A25" i="21"/>
  <c r="A24" i="21"/>
  <c r="A23" i="21"/>
  <c r="A22" i="21"/>
  <c r="A21" i="21"/>
  <c r="A20" i="21"/>
  <c r="A19" i="21"/>
  <c r="A18" i="21"/>
  <c r="A17" i="21"/>
  <c r="A16" i="21"/>
  <c r="A15" i="21"/>
  <c r="A14" i="21"/>
  <c r="A13" i="21"/>
  <c r="A12" i="21"/>
  <c r="A11" i="21"/>
  <c r="A10" i="21"/>
  <c r="A9" i="21"/>
  <c r="A8" i="21"/>
  <c r="A7" i="21"/>
  <c r="A6" i="21"/>
  <c r="A64" i="24"/>
  <c r="A63" i="24"/>
  <c r="A62" i="24"/>
  <c r="A61" i="24"/>
  <c r="A60" i="24"/>
  <c r="A59" i="24"/>
  <c r="A58" i="24"/>
  <c r="A57" i="24"/>
  <c r="A56" i="24"/>
  <c r="A55" i="24"/>
  <c r="A54" i="24"/>
  <c r="A53" i="24"/>
  <c r="A52" i="24"/>
  <c r="A51" i="24"/>
  <c r="A50" i="24"/>
  <c r="A49" i="24"/>
  <c r="A48" i="24"/>
  <c r="A47" i="24"/>
  <c r="A46" i="24"/>
  <c r="A45" i="24"/>
  <c r="A44" i="24"/>
  <c r="A43" i="24"/>
  <c r="A42" i="24"/>
  <c r="A41" i="24"/>
  <c r="A40" i="24"/>
  <c r="A39" i="24"/>
  <c r="A38" i="24"/>
  <c r="A37" i="24"/>
  <c r="A36" i="24"/>
  <c r="A35" i="24"/>
  <c r="A34" i="24"/>
  <c r="A33" i="24"/>
  <c r="A32" i="24"/>
  <c r="A31" i="24"/>
  <c r="A30" i="24"/>
  <c r="A29" i="24"/>
  <c r="A28" i="24"/>
  <c r="A27" i="24"/>
  <c r="A26" i="24"/>
  <c r="A25" i="24"/>
  <c r="A24" i="24"/>
  <c r="A23" i="24"/>
  <c r="A22" i="24"/>
  <c r="A21" i="24"/>
  <c r="A20" i="24"/>
  <c r="A19" i="24"/>
  <c r="A18" i="24"/>
  <c r="A17" i="24"/>
  <c r="A16" i="24"/>
  <c r="A15" i="24"/>
  <c r="A14" i="24"/>
  <c r="A13" i="24"/>
  <c r="A12" i="24"/>
  <c r="A11" i="24"/>
  <c r="A10" i="24"/>
  <c r="A9" i="24"/>
  <c r="A8" i="24"/>
  <c r="A7" i="24"/>
  <c r="A6" i="24"/>
  <c r="A64" i="20"/>
  <c r="A63" i="20"/>
  <c r="A62" i="20"/>
  <c r="A61" i="20"/>
  <c r="A60" i="20"/>
  <c r="A59" i="20"/>
  <c r="A58" i="20"/>
  <c r="A57" i="20"/>
  <c r="A56" i="20"/>
  <c r="A55" i="20"/>
  <c r="A54" i="20"/>
  <c r="A53" i="20"/>
  <c r="A52" i="20"/>
  <c r="A51" i="20"/>
  <c r="A50" i="20"/>
  <c r="A49" i="20"/>
  <c r="A48" i="20"/>
  <c r="A47" i="20"/>
  <c r="A46" i="20"/>
  <c r="A45" i="20"/>
  <c r="A44" i="20"/>
  <c r="A43" i="20"/>
  <c r="A42" i="20"/>
  <c r="A41" i="20"/>
  <c r="A40" i="20"/>
  <c r="A39" i="20"/>
  <c r="A38" i="20"/>
  <c r="A37" i="20"/>
  <c r="A36" i="20"/>
  <c r="A35" i="20"/>
  <c r="A34" i="20"/>
  <c r="A33" i="20"/>
  <c r="A32" i="20"/>
  <c r="A31" i="20"/>
  <c r="A30" i="20"/>
  <c r="A29" i="20"/>
  <c r="A28" i="20"/>
  <c r="A27" i="20"/>
  <c r="A26" i="20"/>
  <c r="A25" i="20"/>
  <c r="A24" i="20"/>
  <c r="A23" i="20"/>
  <c r="A22" i="20"/>
  <c r="A21" i="20"/>
  <c r="A20" i="20"/>
  <c r="A19" i="20"/>
  <c r="A18" i="20"/>
  <c r="A17" i="20"/>
  <c r="A16" i="20"/>
  <c r="A15" i="20"/>
  <c r="A14" i="20"/>
  <c r="A13" i="20"/>
  <c r="A12" i="20"/>
  <c r="A11" i="20"/>
  <c r="A10" i="20"/>
  <c r="A9" i="20"/>
  <c r="A8" i="20"/>
  <c r="A7" i="20"/>
  <c r="A6" i="20"/>
  <c r="A34" i="26"/>
  <c r="A33" i="26"/>
  <c r="A32" i="26"/>
  <c r="A31" i="26"/>
  <c r="A30" i="26"/>
  <c r="A29" i="26"/>
  <c r="A28" i="26"/>
  <c r="A27" i="26"/>
  <c r="A26" i="26"/>
  <c r="A25" i="26"/>
  <c r="A24" i="26"/>
  <c r="A23" i="26"/>
  <c r="A22" i="26"/>
  <c r="A21" i="26"/>
  <c r="A20" i="26"/>
  <c r="A19" i="26"/>
  <c r="A18" i="26"/>
  <c r="A17" i="26"/>
  <c r="A16" i="26"/>
  <c r="A15" i="26"/>
  <c r="A14" i="26"/>
  <c r="A13" i="26"/>
  <c r="A12" i="26"/>
  <c r="A11" i="26"/>
  <c r="A10" i="26"/>
  <c r="A9" i="26"/>
  <c r="A8" i="26"/>
  <c r="A7" i="26"/>
  <c r="A6" i="26"/>
  <c r="A34" i="27"/>
  <c r="A33" i="27"/>
  <c r="A32" i="27"/>
  <c r="A31" i="27"/>
  <c r="A30" i="27"/>
  <c r="A29" i="27"/>
  <c r="A28" i="27"/>
  <c r="A27" i="27"/>
  <c r="A26" i="27"/>
  <c r="A25" i="27"/>
  <c r="A24" i="27"/>
  <c r="A23" i="27"/>
  <c r="A22" i="27"/>
  <c r="A21" i="27"/>
  <c r="A20" i="27"/>
  <c r="A19" i="27"/>
  <c r="A18" i="27"/>
  <c r="A17" i="27"/>
  <c r="A16" i="27"/>
  <c r="A15" i="27"/>
  <c r="A14" i="27"/>
  <c r="A13" i="27"/>
  <c r="A12" i="27"/>
  <c r="A11" i="27"/>
  <c r="A10" i="27"/>
  <c r="A9" i="27"/>
  <c r="A8" i="27"/>
  <c r="A7" i="27"/>
  <c r="A6" i="27"/>
  <c r="A50" i="38"/>
  <c r="A49" i="38"/>
  <c r="A48" i="38"/>
  <c r="A47" i="38"/>
  <c r="A46" i="38"/>
  <c r="A45" i="38"/>
  <c r="A44" i="38"/>
  <c r="A43" i="38"/>
  <c r="A42" i="38"/>
  <c r="A41" i="38"/>
  <c r="A40" i="38"/>
  <c r="A39" i="38"/>
  <c r="A38" i="38"/>
  <c r="A37" i="38"/>
  <c r="A36" i="38"/>
  <c r="A35" i="38"/>
  <c r="A34" i="38"/>
  <c r="A33" i="38"/>
  <c r="A32" i="38"/>
  <c r="A31" i="38"/>
  <c r="A30" i="38"/>
  <c r="A29" i="38"/>
  <c r="A28" i="38"/>
  <c r="A27" i="38"/>
  <c r="A26" i="38"/>
  <c r="A25" i="38"/>
  <c r="A24" i="38"/>
  <c r="A23" i="38"/>
  <c r="A22" i="38"/>
  <c r="A21" i="38"/>
  <c r="A20" i="38"/>
  <c r="A19" i="38"/>
  <c r="A18" i="38"/>
  <c r="A17" i="38"/>
  <c r="A16" i="38"/>
  <c r="A15" i="38"/>
  <c r="A14" i="38"/>
  <c r="A13" i="38"/>
  <c r="A12" i="38"/>
  <c r="A11" i="38"/>
  <c r="A10" i="38"/>
  <c r="A9" i="38"/>
  <c r="A8" i="38"/>
  <c r="A7" i="38"/>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tc={82933EAC-A554-4EC2-9A10-C88839A18883}</author>
  </authors>
  <commentList>
    <comment ref="H14" authorId="0" shapeId="0" xr:uid="{00000000-0006-0000-0200-00000100000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anh @Nguyen Quang Huy - HPDQ ơi thêm lệnh cân tải đi ạaa</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tc={73EE93AA-E229-44AB-AC38-D04978B7939A}</author>
    <author>tc={F0457D83-4668-4451-B831-67F06EF789CE}</author>
  </authors>
  <commentList>
    <comment ref="K21" authorId="0" shapeId="0" xr:uid="{73EE93AA-E229-44AB-AC38-D04978B7939A}">
      <text>
        <r>
          <rPr>
            <sz val="11"/>
            <color theme="1"/>
            <rFont val="Calibri"/>
            <family val="2"/>
            <scheme val="minor"/>
          </rPr>
          <t xml:space="preserve">[Threaded comment]
Your version of Excel allows you to read this threaded comment; however, any edits to it will get removed if the file is opened in a newer version of Excel. Learn more: https://go.microsoft.com/fwlink/?linkid=870924
Comment:
    @To Dieu Do Ban Hang Cang - HPDQ @Vo Thanh Danh - HPDQ </t>
        </r>
      </text>
    </comment>
    <comment ref="J30" authorId="1" shapeId="0" xr:uid="{F0457D83-4668-4451-B831-67F06EF789CE}">
      <text>
        <r>
          <rPr>
            <sz val="11"/>
            <color theme="1"/>
            <rFont val="Calibri"/>
            <family val="2"/>
            <scheme val="minor"/>
          </rPr>
          <t xml:space="preserve">[Threaded comment]
Your version of Excel allows you to read this threaded comment; however, any edits to it will get removed if the file is opened in a newer version of Excel. Learn more: https://go.microsoft.com/fwlink/?linkid=870924
Comment:
    anh @Tran Cu Duoc - HPDQ  điền thời gian có hàng giúp em ạ </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tc={15F2AD9D-A6DD-4456-AFAC-26ED32474DD8}</author>
  </authors>
  <commentList>
    <comment ref="J26" authorId="0" shapeId="0" xr:uid="{15F2AD9D-A6DD-4456-AFAC-26ED32474DD8}">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anh @Tran Cu Duoc - HPDQ điền giúp e khi nào có hàng nhé ạ</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tc={8710E5D7-FCA8-4189-8DB0-BE6154AA2EDF}</author>
  </authors>
  <commentList>
    <comment ref="J20" authorId="0" shapeId="0" xr:uid="{8710E5D7-FCA8-4189-8DB0-BE6154AA2EDF}">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anh @Tran Cu Duoc - HPDQ ơi hàng khi nào đủ ạ?</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tc={67BE83E7-2F8C-4677-B257-F5ED7E303A61}</author>
  </authors>
  <commentList>
    <comment ref="L91" authorId="0" shapeId="0" xr:uid="{67BE83E7-2F8C-4677-B257-F5ED7E303A61}">
      <text>
        <r>
          <rPr>
            <sz val="11"/>
            <color theme="1"/>
            <rFont val="Calibri"/>
            <family val="2"/>
            <scheme val="minor"/>
          </rPr>
          <t xml:space="preserve">[Threaded comment]
Your version of Excel allows you to read this threaded comment; however, any edits to it will get removed if the file is opened in a newer version of Excel. Learn more: https://go.microsoft.com/fwlink/?linkid=870924
Comment:
    chị @Nguyen Phuong Nga - HPDQ  ơi đc xuất thêm hàng gì chị note giúp em </t>
        </r>
      </text>
    </comment>
  </commentList>
</comments>
</file>

<file path=xl/metadata.xml><?xml version="1.0" encoding="utf-8"?>
<metadata xmlns="http://schemas.openxmlformats.org/spreadsheetml/2006/main">
  <metadataTypes count="1">
    <metadataType name="XLDAPR" minSupportedVersion="120000" copy="1" pasteAll="1" pasteValues="1" merge="1" splitFirst="1" rowColShift="1" clearFormats="1" clearComments="1" assign="1" coerce="1" cellMeta="1"/>
  </metadataTypes>
  <futureMetadata name="XLDAPR" count="1">
    <bk>
      <extLst>
        <ext xmlns:xda="http://schemas.microsoft.com/office/spreadsheetml/2017/dynamicarray"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<sst xmlns="http://schemas.openxmlformats.org/spreadsheetml/2006/main" count="29627" uniqueCount="9165">
  <si>
    <t>CẬP NHẬT TÌNH HÌNH XUẤT HÀNG HRC THÁNG 10/2023</t>
  </si>
  <si>
    <t>STT</t>
  </si>
  <si>
    <t>TÀU</t>
  </si>
  <si>
    <t>KHỐI LƯỢNG</t>
  </si>
  <si>
    <t>CẬP NHẬT TÌNH HÌNH/ETA</t>
  </si>
  <si>
    <t>ĐẠI LÝ</t>
  </si>
  <si>
    <t>CẬP NHẬT ETB</t>
  </si>
  <si>
    <t>THỜI GIAN YÊU CẦU LÀM HÀNG</t>
  </si>
  <si>
    <t>CẢNG XẾP</t>
  </si>
  <si>
    <t>CẢNG ĐẾN</t>
  </si>
  <si>
    <t>LỆNH XUẤT HÀNG</t>
  </si>
  <si>
    <t>GHI CHÚ</t>
  </si>
  <si>
    <t>Thời gian DQ đáp ứng</t>
  </si>
  <si>
    <t>Mức độ</t>
  </si>
  <si>
    <t>THẮNG LỢI 568</t>
  </si>
  <si>
    <t>29.09.2023
NEO</t>
  </si>
  <si>
    <t>Thiên Phúc</t>
  </si>
  <si>
    <t>13H00 ngày 02/10
Bến 3</t>
  </si>
  <si>
    <t>Xong tàu</t>
  </si>
  <si>
    <t>Dung Quất</t>
  </si>
  <si>
    <t>Nghi Sơn</t>
  </si>
  <si>
    <t>2000001895 - HS - 4000T (Hàng hóa ok) chỉ xuất khổ 1260</t>
  </si>
  <si>
    <t>.</t>
  </si>
  <si>
    <t>MINAMOTO</t>
  </si>
  <si>
    <t>26.09.2023</t>
  </si>
  <si>
    <t>Age-line</t>
  </si>
  <si>
    <t>02/10 Bến 4/6</t>
  </si>
  <si>
    <t>LSD: 5 Oct =&gt; cần xong ngày hôm nay
Đang làm hàng</t>
  </si>
  <si>
    <t>Malaysia</t>
  </si>
  <si>
    <r>
      <rPr>
        <sz val="14"/>
        <color rgb="FF000000"/>
        <rFont val="Times New Roman"/>
        <family val="1"/>
      </rPr>
      <t xml:space="preserve">2400000342 - 162.2023/HPDQ-GS  (ALPINE) (S275JR) (Hàng hóa ok)
2400000343 - 162.2023/HPDQ-GS  (ALPINE) (SPHC)  (Hàng hóa ok)
2400000319 - 163.2023/HPDQ-GS (CHYEKEONG) (Hàng hóa ok)
</t>
    </r>
    <r>
      <rPr>
        <sz val="14"/>
        <color rgb="FFFF0000"/>
        <rFont val="Times New Roman"/>
        <family val="1"/>
      </rPr>
      <t xml:space="preserve">2400000332 - 164.2023/HPDQ-GS LOT 01 (SPHC) (Hàng hóa ok)
2400000333 - 164.2023/HPDQ-GS LOT 01 (S275JR+AR) (Hàng hóa ok)
2400000335 - 164.2023/HPDQ-GS LOT 2 (SPHC) (Hàng hóa ok)
2400000360 - 164.2023/HPDQ-GS LOT 2 (S275JR) (Hàng hóa ok)
2400000356- 164.2023/HPDQ-GS LOT 2 (S275JR-11.70)   (Hàng hóa ok)
</t>
    </r>
    <r>
      <rPr>
        <sz val="14"/>
        <color rgb="FF000000"/>
        <rFont val="Times New Roman"/>
        <family val="1"/>
      </rPr>
      <t>2400000322 - 165.2023/HPDQ-GS (MKPC) (Hàng hóa ok) 
2400000323 - 166.2023/HPDQ-GS (PE) (Hàng hóa ok)
2400000324 - 167.2023/HPDQ-GS (PRESTARP) (Hàng hóa ok)</t>
    </r>
  </si>
  <si>
    <t>VIỆT PHÚC 05</t>
  </si>
  <si>
    <t>01.10.2023
NEO</t>
  </si>
  <si>
    <t>03/10 Bến 2</t>
  </si>
  <si>
    <t>Tân Thuận/ Phú Mỹ</t>
  </si>
  <si>
    <r>
      <rPr>
        <sz val="14"/>
        <color rgb="FF000000"/>
        <rFont val="Times New Roman"/>
        <family val="1"/>
      </rPr>
      <t xml:space="preserve">2000001908 - 2000T - 174.2023/HPDQ-TDA-Phú Mỹ (Chiều 3/10 NK)
2200001422 - OTHY (Cargill) - 800T (Hàng hóa ok)
2000001901 - Citicom - 150T - Tân Thuận (Háng hóa sáng 4/NK) - 4/10 DUYỆT LỆNH
2000001906 // 2000001907 - Tiến Lên - 280T - Tân Thuận (Háng hóa ok)
</t>
    </r>
    <r>
      <rPr>
        <sz val="14"/>
        <color rgb="FFFF0000"/>
        <rFont val="Times New Roman"/>
        <family val="1"/>
      </rPr>
      <t>2200001421 - OTBD 38T    (Hàng hóa ok)
2200001434 - OTBD 41T     (Hàng hóa ok)
2200001437 - OTBD 559T cân tải    (Hàng hóa ok)</t>
    </r>
  </si>
  <si>
    <t>FENG XIU HAI</t>
  </si>
  <si>
    <t>03.10.2023</t>
  </si>
  <si>
    <t>PACIFIC</t>
  </si>
  <si>
    <t>22h 03/10 Bến 11</t>
  </si>
  <si>
    <t>Đang làm hàng
LSD: 10 Oct</t>
  </si>
  <si>
    <t>Ravenna</t>
  </si>
  <si>
    <r>
      <rPr>
        <sz val="14"/>
        <color rgb="FF0070C0"/>
        <rFont val="Times New Roman"/>
        <family val="1"/>
      </rPr>
      <t xml:space="preserve">2400000321 - 141A.2023 HPDQ-HS  (Hàng hóa ok)
2400000301 - 141B.2023/HPDQ-HS   (Hàng hóa ok)
</t>
    </r>
    <r>
      <rPr>
        <sz val="14"/>
        <color rgb="FF000000"/>
        <rFont val="Times New Roman"/>
        <family val="1"/>
      </rPr>
      <t xml:space="preserve">2400000340 - 147.2023 HPDQ-GS     (Hàng hóa ok)
2400000331 - 153.2023 HPDQ-CHROMIUM (S235JR) (Hàng hóa ok)
2400000369 - 153.2023 HPDQ-CHROMIUM (S355JR)  (Hàng hóa ok)
2500000006 - 154.2023 HPDQ-HPI (Đã MAP 6640t + 2kt  sáng mùng 2/10)
</t>
    </r>
    <r>
      <rPr>
        <sz val="14"/>
        <color rgb="FF0070C0"/>
        <rFont val="Times New Roman"/>
        <family val="1"/>
      </rPr>
      <t>2400000309 - 159.2023/HPDQ-HYUNDAI  (Hàng hóa ok)</t>
    </r>
  </si>
  <si>
    <t>VIỆT THUẬN QN-01</t>
  </si>
  <si>
    <t>Mạnh Thắng</t>
  </si>
  <si>
    <t>04/10 Bến 1</t>
  </si>
  <si>
    <t>Tân Thuận/Phú Mỹ</t>
  </si>
  <si>
    <r>
      <rPr>
        <sz val="14"/>
        <color rgb="FFFF0000"/>
        <rFont val="Times New Roman"/>
        <family val="1"/>
      </rPr>
      <t xml:space="preserve">2000001911 - 1000T- JFE- Phú Mỹ      (Hàng hóa ok)
</t>
    </r>
    <r>
      <rPr>
        <sz val="14"/>
        <color rgb="FF000000"/>
        <rFont val="Times New Roman"/>
        <family val="1"/>
      </rPr>
      <t>2000001909 - 2800T-TDA-Tân Thuận  (Hàng hóa ok)
2000001910 - TDA - 2200T - Tân Thuận (Hàng hóa ok)</t>
    </r>
  </si>
  <si>
    <t>VIỆT THUẬN 045-01</t>
  </si>
  <si>
    <t>19H00 04.10.2023</t>
  </si>
  <si>
    <t>05/10 Bến 3</t>
  </si>
  <si>
    <t xml:space="preserve">Hải Phòng </t>
  </si>
  <si>
    <t>2200001399 - 300T - THP  (Hàng hóa ok)
2200001414 - 3,860T - THP  (Hàng hóa ok)
2200001424 - 1,850T - THP cân tải   (Hàng hóa ok)</t>
  </si>
  <si>
    <t>PHƯƠNG NAM 98</t>
  </si>
  <si>
    <t>05.10.2023
Neo</t>
  </si>
  <si>
    <t>Nam Phát</t>
  </si>
  <si>
    <t>07/10 Bến 1</t>
  </si>
  <si>
    <t>Cẩm Nguyên/ Phú Mỹ</t>
  </si>
  <si>
    <r>
      <rPr>
        <sz val="14"/>
        <color rgb="FF000000"/>
        <rFont val="Times New Roman"/>
        <family val="1"/>
      </rPr>
      <t xml:space="preserve">2000001905 - Vina One - 1.800 T (SPOT) - lệnh ok - Cẩm Nguyên   (Hàng hóa ok)
2000001903 - SMCCK - 3.000T - Phú Mỹ (Hàng hóa ok)
</t>
    </r>
    <r>
      <rPr>
        <sz val="14"/>
        <color rgb="FFFF0000"/>
        <rFont val="Times New Roman"/>
        <family val="1"/>
      </rPr>
      <t>Lên hàng của SMCCK sau để dỡ trước</t>
    </r>
  </si>
  <si>
    <t>SMCKK cắt hàng để xuất hóa đơn ngày 9/10</t>
  </si>
  <si>
    <t>THANH LOAN 28</t>
  </si>
  <si>
    <t>06.10.2023</t>
  </si>
  <si>
    <t>VTB Hải Dương</t>
  </si>
  <si>
    <t>07/10 Bến 2</t>
  </si>
  <si>
    <t>Tân Thuận</t>
  </si>
  <si>
    <t>2000001912  - Nam Kim - 3.300T  (Hàng hóa ok)</t>
  </si>
  <si>
    <t>Nam Kim xuất 
620MT Thép cuộn cán nóng 4.00 x 1125 SAE1006 
2,680MT Thép cuộn cán nóng 2.50 x 1158 SAE1006</t>
  </si>
  <si>
    <t>Seacon Manila</t>
  </si>
  <si>
    <t>30.09 - 03.10.2023</t>
  </si>
  <si>
    <t>2h 06/10 Bến 6
05.10 bắt đầu load hàng</t>
  </si>
  <si>
    <t>Jakarta, Indonesia</t>
  </si>
  <si>
    <t>2400000376 - 185.2023/HPDQ-AMI (SAE1006)(Hàng hóa ok)
2400000377 - 185.2023/HPDQ-AMI (S275JR) (Hàng hóa ok)</t>
  </si>
  <si>
    <t>PHƯƠNG NAM 46</t>
  </si>
  <si>
    <t>04.10.2023
NEO</t>
  </si>
  <si>
    <t>07/10 Bến 3</t>
  </si>
  <si>
    <t>Cẩm Nguyên</t>
  </si>
  <si>
    <t>2000001905 - Vina One - 3.700 T (SPOT) - lệnh ok - Cẩm Nguyên - (Hàng hóa ok)</t>
  </si>
  <si>
    <t>GLORY FORWARDER</t>
  </si>
  <si>
    <t>HOYER</t>
  </si>
  <si>
    <t>11h 7/10 Bến 5/10</t>
  </si>
  <si>
    <t>port klang, malay</t>
  </si>
  <si>
    <r>
      <rPr>
        <sz val="14"/>
        <color rgb="FF0070C0"/>
        <rFont val="Times New Roman"/>
        <family val="1"/>
      </rPr>
      <t xml:space="preserve">2400000339 - 173.2023 HPDQ-SS   (Hàng hóa ok)
</t>
    </r>
    <r>
      <rPr>
        <sz val="14"/>
        <color rgb="FF000000"/>
        <rFont val="Times New Roman"/>
        <family val="1"/>
      </rPr>
      <t xml:space="preserve">2400000336 - 168.2023/HPDQ-HWA (Hàng hóa ok)
2400000337 - 169.2023 HPDQ MTS (Hàng hóa ok)
2400000338 - 170.2023/HPDQ-NIPPON (Hàng hóa ok)
2400000345 - 179.2023/HPDQ-NIPPON (SPHC) (Hàng hóa ok)
2400000346 - 179.2023/HPDQ-NIPPON (SPHT1)  (Hàng hóa ok)
2400000347 - 179.2023/HPDQ-NIPPON (S275JR)  (Hàng hóa ok)
2400000361 - 179.2023/HPDQ-NIPPON (SPHT3)  (Hàng hóa ok)
2400000349 - 186.2023/HPDQ-LF   (Hàng hóa ok)
2400000350 - 201.2023/HPDQ-LF  (Hàng hóa ok)
2400000354 - 188.2023/HPDQ-JFE (HH)  (Hàng hóa ok)
2400000365 - 200.2023/HPDQ-MI (TSK)  (Hàng hóa ok)
2400000367 - 187.2023/HPDQ-MI (OTS)  (Hàng hóa ok)
</t>
    </r>
    <r>
      <rPr>
        <sz val="14"/>
        <color rgb="FFFF0000"/>
        <rFont val="Times New Roman"/>
        <family val="1"/>
      </rPr>
      <t>2400000375</t>
    </r>
    <r>
      <rPr>
        <sz val="14"/>
        <color rgb="FF000000"/>
        <rFont val="Times New Roman"/>
        <family val="1"/>
      </rPr>
      <t xml:space="preserve"> - 190.2023/HPDQ-NI    </t>
    </r>
    <r>
      <rPr>
        <sz val="14"/>
        <color rgb="FFFF0000"/>
        <rFont val="Times New Roman"/>
        <family val="1"/>
      </rPr>
      <t xml:space="preserve"> Lệnh 375 CHỨ (Hàng hóa ok)
</t>
    </r>
    <r>
      <rPr>
        <sz val="14"/>
        <color rgb="FF000000"/>
        <rFont val="Times New Roman"/>
        <family val="1"/>
      </rPr>
      <t xml:space="preserve">2400000351 - 191.2023/HPDQ-NI (S275JR)     (Hàng hóa ok)
2400000352 - 191.2023/HPDQ-NI (SPHT3)    (Hàng hóa ok)
2400000353 - 191.2023/HPDQ-NI (SPHC)    (Hàng hóa ok)
2400000368 - 189.2023/HPDQ-MTS            (Hàng hóa ok)
</t>
    </r>
    <r>
      <rPr>
        <sz val="14"/>
        <color rgb="FF0070C0"/>
        <rFont val="Times New Roman"/>
        <family val="1"/>
      </rPr>
      <t xml:space="preserve">2400000366 - 199.2023/HPDQ-GS            (Hàng hóa ok)
</t>
    </r>
    <r>
      <rPr>
        <sz val="14"/>
        <color rgb="FF000000"/>
        <rFont val="Times New Roman"/>
        <family val="1"/>
      </rPr>
      <t>2400000362 - 204.2023/HPDQ-HWA             (Hàng hóa ok)
2400000355 - 205.2023/HPDQ-HWA        (Hàng hóa ok)</t>
    </r>
  </si>
  <si>
    <t>Tàu cũ: HUI SHUN NO. 1</t>
  </si>
  <si>
    <t>MT HÀ NỘI 39</t>
  </si>
  <si>
    <t>07.10.2023</t>
  </si>
  <si>
    <t>MT Hà Nội</t>
  </si>
  <si>
    <t>20h 08/10 Bến 1</t>
  </si>
  <si>
    <t>2000001913 - 1.200T - Thép Chính Đại (Sáng mùng 8/10 NK)
2000001876 - 300T - Trường Thành (Đã MAP 212T lương còn lại sáng mùng 8 NK)
2000001893 - OT190 - 300 tấn - cho đi hết hàng còn lại (Hàng hóa ok)
2200001436 - OTHY - 2.200T
2200001424 - THP cân tải</t>
  </si>
  <si>
    <t>HÀ DƯƠNG 58</t>
  </si>
  <si>
    <t>09-10.10.2023
Dỡ quặng</t>
  </si>
  <si>
    <t>Mặt Trời</t>
  </si>
  <si>
    <t>09/10 Bến 3</t>
  </si>
  <si>
    <r>
      <rPr>
        <sz val="14"/>
        <color rgb="FF000000"/>
        <rFont val="Times New Roman"/>
        <family val="1"/>
      </rPr>
      <t xml:space="preserve">2400000379 -  1500mt - Phú Mỹ - Chuyển tải Xuất khẩu (206.2023/HWA) - Hàng hóa ok
2000001912  - Nam Kim - 1.500T - Tân Thuận - (Hàng hóa ok)
</t>
    </r>
    <r>
      <rPr>
        <sz val="14"/>
        <color rgb="FFFF0000"/>
        <rFont val="Times New Roman"/>
        <family val="1"/>
      </rPr>
      <t>Lên hàng Nam Kim sau, dỡ trước</t>
    </r>
  </si>
  <si>
    <r>
      <rPr>
        <sz val="14"/>
        <color rgb="FF000000"/>
        <rFont val="Times New Roman"/>
        <family val="1"/>
      </rPr>
      <t xml:space="preserve">ETA/ ETD Phumy:  13 Oct 2023 (MV. KM Jakarta)
</t>
    </r>
    <r>
      <rPr>
        <sz val="14"/>
        <color rgb="FFFF0000"/>
        <rFont val="Times New Roman"/>
        <family val="1"/>
      </rPr>
      <t>Muộn nhất 10/10 tàu phải làm xong rời bến
Nam kim xuát 1,500 MT Thép cuộn cán nóng  2.5x1158 SAE1006</t>
    </r>
  </si>
  <si>
    <t>MT HÀ NỘI 07</t>
  </si>
  <si>
    <t>08.10.2023</t>
  </si>
  <si>
    <t>Cẩm Nguyên/ Tân Thuận</t>
  </si>
  <si>
    <r>
      <rPr>
        <sz val="14"/>
        <color rgb="FF000000"/>
        <rFont val="Times New Roman"/>
        <family val="1"/>
      </rPr>
      <t xml:space="preserve">2000001899 - VISA - 2000T (lệnh ok) - cân tải - Cẩm Nguyên (Chiều mùng 8 NK)
2000001912  - Nam Kim - 940T - Tân Thuận (6/10 NK) (Hàng hóa ok)
</t>
    </r>
    <r>
      <rPr>
        <sz val="14"/>
        <color rgb="FFFF0000"/>
        <rFont val="Times New Roman"/>
        <family val="1"/>
      </rPr>
      <t>Lên hàng Nam Kim sau để dỡ trước, tàu đi Tân Thuận trước</t>
    </r>
  </si>
  <si>
    <t>Nam kim xuất 940mt Thép cuộn cán nóng 4.00 x 1125 SAE1006</t>
  </si>
  <si>
    <t>HÀ DƯƠNG 68</t>
  </si>
  <si>
    <t>08-09.10.2023</t>
  </si>
  <si>
    <t>Tối 09/10 Bến 2</t>
  </si>
  <si>
    <t>Long Bình</t>
  </si>
  <si>
    <t>22000001439 - OTBD 2100T (Hàng hóa ok)
22000001441 - OTBD 2500T (Hàng hóa đã MAP 2487 TẤN)</t>
  </si>
  <si>
    <t xml:space="preserve">Thép cuộn cán nóng 2.20x1250 SAE1006 (Lệnh 1441) thiếu min (hết tồn)
</t>
  </si>
  <si>
    <t>YASA MIMOSA</t>
  </si>
  <si>
    <t>2h 11.10.2023</t>
  </si>
  <si>
    <t>MORRIS</t>
  </si>
  <si>
    <t>2h 11/10 Bến 6/11</t>
  </si>
  <si>
    <t>LSD: 10 Oct</t>
  </si>
  <si>
    <t>Bilbao, Spain</t>
  </si>
  <si>
    <r>
      <rPr>
        <sz val="14"/>
        <color rgb="FFFF0000"/>
        <rFont val="Times New Roman"/>
        <family val="1"/>
      </rPr>
      <t xml:space="preserve">2400000299 - 139.2023/HPDQ-THYSSEN - (Hàng hóa ok) x
</t>
    </r>
    <r>
      <rPr>
        <sz val="14"/>
        <color rgb="FF000000"/>
        <rFont val="Times New Roman"/>
        <family val="1"/>
      </rPr>
      <t xml:space="preserve">2400000300 - 140.2023/HPDQ-CASSL -  (Hàng hóa ok)x
2400000358 - 148.2023/HPDQ-GS (S275JR) - (Hàng hóa ok)  x
2400000359 - 148.2023/HPDQ-GS (S235JR) - (Hàng hóa ok) x 
</t>
    </r>
    <r>
      <rPr>
        <sz val="14"/>
        <color rgb="FF0070C0"/>
        <rFont val="Times New Roman"/>
        <family val="1"/>
      </rPr>
      <t xml:space="preserve">2400000314 - 144.2023/HPDQ-PRIMEX - (Hàng hóa ok) x - GIANG
</t>
    </r>
    <r>
      <rPr>
        <sz val="14"/>
        <color rgb="FF000000"/>
        <rFont val="Times New Roman"/>
        <family val="1"/>
      </rPr>
      <t xml:space="preserve">2400000302 - 143.2023/HPDQ-MSN - (Hàng hóa ok) x
</t>
    </r>
    <r>
      <rPr>
        <sz val="14"/>
        <color rgb="FF0070C0"/>
        <rFont val="Times New Roman"/>
        <family val="1"/>
      </rPr>
      <t xml:space="preserve">2400000357 - 142.2023/HPDQ-INTERTRADE - (Hàng hóa ok) x
</t>
    </r>
    <r>
      <rPr>
        <sz val="14"/>
        <color rgb="FFFF0000"/>
        <rFont val="Times New Roman"/>
        <family val="1"/>
      </rPr>
      <t xml:space="preserve">2400000383 - 151.2023/HPDQ-EUSIDER (S235JR) - (Hàng hóa ok) X
2400000380 - 151.2023/HPDQ-EUSIDER (S275JR) X
</t>
    </r>
    <r>
      <rPr>
        <sz val="14"/>
        <color rgb="FF000000"/>
        <rFont val="Times New Roman"/>
        <family val="1"/>
      </rPr>
      <t xml:space="preserve">2400000306 - 152.2023 HPDQ-CASSL                       (Hàng hóa ok) x
2400000307 - 156.2023/HPDQ-TRASTEEL(S275JR)  (Hàng hóa ok) x
2400000363- 156.2023/HPDQ-TRASTEEL (S235JR)  (Hàng hóa ok) x
2400000364 - 156.2023/HPDQ-TRASTEEL (DD11)   (Hàng hóa ok) x
</t>
    </r>
    <r>
      <rPr>
        <sz val="14"/>
        <color rgb="FF0070C0"/>
        <rFont val="Times New Roman"/>
        <family val="1"/>
      </rPr>
      <t>2400000378 - 160.2023/HPDQ-HYUNDAI                  (Đổi từ lệnh 310 sang)</t>
    </r>
  </si>
  <si>
    <t>TÀU CŨ: ROTTERDAM PEARL</t>
  </si>
  <si>
    <t>GIA LĨNH 268</t>
  </si>
  <si>
    <t>11/10 Bến 5/10</t>
  </si>
  <si>
    <t>Nghi Sơn/ Hải Phòng</t>
  </si>
  <si>
    <t>20*1894, 1895 - Hoa Sen - 5.500T Nghi Sơn
2200001424 - THP 1500T (HP) làm trước dỡ sau (Hàng hóa ok)
2200001438 - THP 3050T (HP) làm trước dỡ sau (Hàng hóa ok)</t>
  </si>
  <si>
    <t>Tàu đi thiếu tải, xuất min 10kt</t>
  </si>
  <si>
    <t>MẠNH THẮNG 68</t>
  </si>
  <si>
    <t>12.10.2023</t>
  </si>
  <si>
    <t>12/10 Bến 1</t>
  </si>
  <si>
    <t>2200001447 - THP đi hết</t>
  </si>
  <si>
    <t>13.10.2023</t>
  </si>
  <si>
    <t>13/10 Bến 1</t>
  </si>
  <si>
    <t>Phú Mỹ</t>
  </si>
  <si>
    <t>2000001896 - Hoa Sen - 5.500 T (Hàng hóa ok)</t>
  </si>
  <si>
    <t>Tàu đi thiếu tải</t>
  </si>
  <si>
    <t>XIN HAI TONG 27</t>
  </si>
  <si>
    <t>14.10.2023</t>
  </si>
  <si>
    <t>14/10 Bến 6/11</t>
  </si>
  <si>
    <t>Belgium</t>
  </si>
  <si>
    <t>2400000390 - P08863: 700mt to Belgium (lot 2) (Hàng hóa ok)</t>
  </si>
  <si>
    <t>GLORY DYNASTY</t>
  </si>
  <si>
    <t>11.10.2023</t>
  </si>
  <si>
    <t>20h 11/10 Bến 6</t>
  </si>
  <si>
    <t>Surabaya, Indonesia</t>
  </si>
  <si>
    <t>2400000385 - 206.2023 HPDQ-SI - 5kt (sunrise) (Hàng hóa ok)</t>
  </si>
  <si>
    <t>VIỆT PHÚC 18</t>
  </si>
  <si>
    <t>16.10.2023</t>
  </si>
  <si>
    <t>16/10 Bến 1
Làm từ từ cũng được</t>
  </si>
  <si>
    <t>2200001456 OTBD - 3.100T (Đã MAP 3.058 tấn)
2200001441 - OTBD 200T   (Hàng hóa ok)</t>
  </si>
  <si>
    <t>VIỆT THUẬN 168</t>
  </si>
  <si>
    <t>15.10.2023</t>
  </si>
  <si>
    <t>15/10 Bến 5
Phải xong hàng muộn nhất ngày 20/10</t>
  </si>
  <si>
    <r>
      <rPr>
        <sz val="14"/>
        <color rgb="FF000000"/>
        <rFont val="Times New Roman"/>
        <family val="1"/>
      </rPr>
      <t xml:space="preserve">2000001912  - Nam Kim - 10.000T - Tân Thuận (Đã MAP 9134 tấn)
2000001900 - TLPM - 1.500T - Phú Mỹ (lệnh ok)  (Háng hóa ok)
2000001914 - PVX - 1.600t - Tân Thuận (Hàng hóa ok)
</t>
    </r>
    <r>
      <rPr>
        <sz val="14"/>
        <color rgb="FFFF0000"/>
        <rFont val="Times New Roman"/>
        <family val="1"/>
      </rPr>
      <t>Tàu đang còn thiếu tài 3kt, có hàng thì cho lên đây, không thì tàu chạy thiếu tải.</t>
    </r>
  </si>
  <si>
    <t>Nam kim xuất 1,820mt Thép cuộn cán nóng 2.50 x 1158 SAE1006 và 
các size còn lại</t>
  </si>
  <si>
    <t>CHÍ DŨNG 68</t>
  </si>
  <si>
    <t xml:space="preserve">20h00 17/10 Bến 6
</t>
  </si>
  <si>
    <t>Xong tàu
Phải xong hàng muộn nhất ngày 20/10</t>
  </si>
  <si>
    <r>
      <rPr>
        <sz val="14"/>
        <color rgb="FF000000"/>
        <rFont val="Times New Roman"/>
        <family val="1"/>
      </rPr>
      <t xml:space="preserve">2000001915 - 171.2023 Posco - 3.600(3 lệnh) - Posco- tách 2 hóa đơn mác 2.3x1239
2000001923 - 171.2023 Posco - 1.000 (3 lệnh)  - Posco (Hàng hóa ok)
2000001924 - 171.2023 Posco - 400 (3 lệnh)  - Posco  (Hàng hóa ok)
</t>
    </r>
    <r>
      <rPr>
        <sz val="14"/>
        <color rgb="FFFF0000"/>
        <rFont val="Times New Roman"/>
        <family val="1"/>
      </rPr>
      <t xml:space="preserve">2000001916- TĐA - 5.000 T - Tân Thuận  (Hàng hóa ok)
</t>
    </r>
    <r>
      <rPr>
        <sz val="14"/>
        <color rgb="FF000000"/>
        <rFont val="Times New Roman"/>
        <family val="1"/>
      </rPr>
      <t xml:space="preserve">2000001917 - TĐA - 2.500 T  - Phú Mỹ    (Hàng hóa ok)
</t>
    </r>
    <r>
      <rPr>
        <sz val="14"/>
        <color rgb="FFFF0000"/>
        <rFont val="Times New Roman"/>
        <family val="1"/>
      </rPr>
      <t>Dỡ hàng như sau: Tân Thuận - Phú Mỹ - Posco</t>
    </r>
  </si>
  <si>
    <t xml:space="preserve">
LỆNH 2*1916 giữ hóa đơn về cảng TÂN THUẬN
TOÀN BỘ HÓA ĐƠN CỦA TDA ĐỂ NGÀY HÓA ĐƠN muộn nhất là 20/10/2023</t>
  </si>
  <si>
    <t>VIỄN ĐÔNG 88</t>
  </si>
  <si>
    <t>Tuấn Cường</t>
  </si>
  <si>
    <t xml:space="preserve">19/10 Bến 5 CTH
</t>
  </si>
  <si>
    <t>CTH</t>
  </si>
  <si>
    <t>Hải Phòng/ Nghi Sơn</t>
  </si>
  <si>
    <t xml:space="preserve">Hàng gửi kho 585T (Liên hệ anh Danh)
2200001442,1443 OTHY 2200T (Đã MAP 2189 tấn + size 6.00x1500 SS400 II hết tồn)
2200001447 - THP  (Đã MAP 3507 tấn) ưu tiên đi hết
2200001450 - NMCN 2800T (Đã MAP 2804 tấn) cân tải
2000001925 (SS400) - 2000001926 (SAE1006) KKBV - 950T  (Hàng hóa ok)
</t>
  </si>
  <si>
    <t>Tàu tây: GIORGOS DRACOPOULOS - Thanh Hóa
2400000325 - chưa xuất, chờ thông tin của PKD</t>
  </si>
  <si>
    <t>HOÀNG PHÚC 29</t>
  </si>
  <si>
    <t>19/10 Bến 2</t>
  </si>
  <si>
    <t>Phú Mỹ/ Thiên Lộc Thành</t>
  </si>
  <si>
    <t>2000001920 - VNO - 1.000T - Thiên Lộc Thành  (Đã MAP 788t + 200T 2.95x1200 chờ MAP)
2000001919 - Tây Nam - 1.000T - Thiên Lộc Thành (Hàng hóa ok)
2000001927 - PVX - 1.000T - Phú Mỹ (Hàng hóa ok)</t>
  </si>
  <si>
    <t xml:space="preserve">Glory Valor </t>
  </si>
  <si>
    <t>22.10.2023</t>
  </si>
  <si>
    <t>17h 23/10 Bến 6</t>
  </si>
  <si>
    <t>Kota Kinabalu Port</t>
  </si>
  <si>
    <t>2400000387 -181.2023/HPDQ-MI  (Hàng hóa ok) - lệnh ok
2400000386 -182.2023/HPDQ-MI (Hàng hóa ok) - lệnh chiều muộn 23 duyệt</t>
  </si>
  <si>
    <r>
      <rPr>
        <sz val="14"/>
        <color rgb="FF000000"/>
        <rFont val="Times New Roman"/>
        <family val="1"/>
      </rPr>
      <t xml:space="preserve">TÀU CŨ: GLORY VOYAGER/ GLory Pioneer
</t>
    </r>
    <r>
      <rPr>
        <sz val="16"/>
        <color rgb="FFFF0000"/>
        <rFont val="Times New Roman"/>
        <family val="1"/>
      </rPr>
      <t>Lưu ý: Load lệnh 2400000387 lên tàu trước -&gt; Chốt BBGN trước để tàu ra Mate Receipt</t>
    </r>
  </si>
  <si>
    <t>23.10.2023</t>
  </si>
  <si>
    <t>23/10 Bến 5
Phải xong hàng muộn nhất 30/10</t>
  </si>
  <si>
    <t>2200001466 OTBD - 3.000T</t>
  </si>
  <si>
    <t>Tối 23.10.2023</t>
  </si>
  <si>
    <t>Bến 5
Tàu về cần làm luôn</t>
  </si>
  <si>
    <t>Hải Phòng</t>
  </si>
  <si>
    <t>2200001450 - NMCN 2800T  (Hàng hóa ok) 2.30x1200/2.50x1200 thiếu min
2200001468 - OTHY 1270T (Chỉ MAP được 1223t)
2200001469 - OTHY cân tải (sáng 24/10 duyệt xong lệnh)
2400000325 120T - 174.2023 HPDQ-TRASTEEL - Hàng XK - Trả hàng ở Nghi Sơn, load hàng lên sau cùng để dỡ trước  (Hàng hóa ok)</t>
  </si>
  <si>
    <t>Tàu tây: GIORGOS DRACOPOULOS - Thanh Hóa
2400000325</t>
  </si>
  <si>
    <t xml:space="preserve">KOOKYANG EXPRESS </t>
  </si>
  <si>
    <t>22.10.23</t>
  </si>
  <si>
    <t>26/10 Bến 6</t>
  </si>
  <si>
    <t>Semarang, Indonesia</t>
  </si>
  <si>
    <t>2400000395 - ARSEN.136 (Hàng hóa ok)
2400000388 - ARSEN.183 (BJPS) (Hàng hóa đã sx chờ MAP)
2400000392 - ARS.183 (BJPC)</t>
  </si>
  <si>
    <t>26.10.2023</t>
  </si>
  <si>
    <t>26/10 Bến 5</t>
  </si>
  <si>
    <r>
      <rPr>
        <sz val="14"/>
        <color rgb="FF000000"/>
        <rFont val="Times New Roman"/>
        <family val="1"/>
      </rPr>
      <t xml:space="preserve">2000001921 - TVP - 4.250T (Hàng hóa dự kiến chiều 25 NK)
</t>
    </r>
    <r>
      <rPr>
        <b/>
        <sz val="14"/>
        <color rgb="FFFF0000"/>
        <rFont val="Times New Roman"/>
        <family val="1"/>
      </rPr>
      <t>LỆNH TVP ĐÃ MAP TỔNG 10.144 TẤN</t>
    </r>
  </si>
  <si>
    <t>GLORY JUSTICE</t>
  </si>
  <si>
    <t>28.10.2023</t>
  </si>
  <si>
    <t>19h00 28/10 Bến 3/5</t>
  </si>
  <si>
    <t>2400000391 - 207.2023 HPDQ-SI (Hàng hóa chỉ MAP được 4.704 tấn)</t>
  </si>
  <si>
    <t>AMOY DREAM</t>
  </si>
  <si>
    <t>18h 22.10.2023</t>
  </si>
  <si>
    <t>2h 25/10 Bến 5/10</t>
  </si>
  <si>
    <t>Marcegaglia's port, Italy</t>
  </si>
  <si>
    <r>
      <rPr>
        <b/>
        <sz val="14"/>
        <color rgb="FF000000"/>
        <rFont val="Times New Roman"/>
        <family val="1"/>
      </rPr>
      <t xml:space="preserve">2400000389 - P09021 </t>
    </r>
    <r>
      <rPr>
        <sz val="14"/>
        <color rgb="FF000000"/>
        <rFont val="Times New Roman"/>
        <family val="1"/>
      </rPr>
      <t>(LOT 1) - 8500mt -LSD 31/10 - đơn này chú ý điều chỉnh chỉ xuất 6500mt
(Đã MAP 4k5 + 2kt đã sx chờ MAP ) 
2400000381 - P08962 (S235JR) - 8400mt (có nhãn phụ) - LSD 31/10 (Đã MAP 7kT + 1K4 sáng 26 NK)
2400000382 - P08962 (SAE1006) - 26,600mt (Đã MAP 26K2)</t>
    </r>
  </si>
  <si>
    <r>
      <rPr>
        <sz val="14"/>
        <color rgb="FF000000"/>
        <rFont val="Times New Roman"/>
        <family val="1"/>
      </rPr>
      <t xml:space="preserve">Có nhãn phụ + color mark 
- </t>
    </r>
    <r>
      <rPr>
        <b/>
        <sz val="14"/>
        <color rgb="FF000000"/>
        <rFont val="Times New Roman"/>
        <family val="1"/>
      </rPr>
      <t>Dung sai: +/-5% (cả 3 lệnh)</t>
    </r>
  </si>
  <si>
    <t>VIỆT THUẬN 12-03</t>
  </si>
  <si>
    <t>26-27.10.2023</t>
  </si>
  <si>
    <t>Phải xong hàng muộn nhất ngày 30/10</t>
  </si>
  <si>
    <r>
      <rPr>
        <sz val="14"/>
        <color rgb="FF000000"/>
        <rFont val="Times New Roman"/>
        <family val="1"/>
      </rPr>
      <t xml:space="preserve">2000001902 - Phú Nam - 400 T - Hải Phòng (Hàng hóa ok) - </t>
    </r>
    <r>
      <rPr>
        <sz val="14"/>
        <color rgb="FFFF0000"/>
        <rFont val="Times New Roman"/>
        <family val="1"/>
      </rPr>
      <t xml:space="preserve">Ra hàng muộn nhất 30/10
</t>
    </r>
    <r>
      <rPr>
        <sz val="14"/>
        <color rgb="FF000000"/>
        <rFont val="Times New Roman"/>
        <family val="1"/>
      </rPr>
      <t xml:space="preserve">2000001925 (SS400) - 2000001926 (SAE1006) - KKBV - 1.000T (Hàng hóa ok) - </t>
    </r>
    <r>
      <rPr>
        <sz val="14"/>
        <color rgb="FFFF0000"/>
        <rFont val="Times New Roman"/>
        <family val="1"/>
      </rPr>
      <t xml:space="preserve">Ra hàng muộn nhất 30/10
</t>
    </r>
    <r>
      <rPr>
        <sz val="14"/>
        <color rgb="FF000000"/>
        <rFont val="Times New Roman"/>
        <family val="1"/>
      </rPr>
      <t xml:space="preserve">2000001930+2000001931: Thành Đạt T10 + 11 - 300T (Hàng hòa ok) - </t>
    </r>
    <r>
      <rPr>
        <sz val="14"/>
        <color rgb="FFFF0000"/>
        <rFont val="Times New Roman"/>
        <family val="1"/>
      </rPr>
      <t xml:space="preserve">Ra hàng muộn nhất 30/10
</t>
    </r>
    <r>
      <rPr>
        <sz val="14"/>
        <color rgb="FF000000"/>
        <rFont val="Times New Roman"/>
        <family val="1"/>
      </rPr>
      <t xml:space="preserve">2200001469 - OTHY 2700T   (Đã MAP 4087 tấn) - </t>
    </r>
    <r>
      <rPr>
        <sz val="14"/>
        <color rgb="FFFF0000"/>
        <rFont val="Times New Roman"/>
        <family val="1"/>
      </rPr>
      <t xml:space="preserve">Có thể ra hàng muộn nhất 31/10, không được muộn hơn
</t>
    </r>
    <r>
      <rPr>
        <sz val="14"/>
        <color rgb="FF000000"/>
        <rFont val="Times New Roman"/>
        <family val="1"/>
      </rPr>
      <t>2200001448 - THP 790T  (Hàng hóa ok) -</t>
    </r>
    <r>
      <rPr>
        <sz val="14"/>
        <color rgb="FFFF0000"/>
        <rFont val="Times New Roman"/>
        <family val="1"/>
      </rPr>
      <t xml:space="preserve"> Có thể ra hàng muộn nhất 31/10, không được muộn hơn
</t>
    </r>
    <r>
      <rPr>
        <sz val="14"/>
        <color rgb="FF000000"/>
        <rFont val="Times New Roman"/>
        <family val="1"/>
      </rPr>
      <t xml:space="preserve">2200001463 - THP 3200T   (Hàng hóa ok)  - </t>
    </r>
    <r>
      <rPr>
        <sz val="14"/>
        <color rgb="FFFF0000"/>
        <rFont val="Times New Roman"/>
        <family val="1"/>
      </rPr>
      <t xml:space="preserve">Có thể ra hàng muộn nhất 31/10, không được muộn hơn
</t>
    </r>
    <r>
      <rPr>
        <sz val="14"/>
        <color rgb="FF000000"/>
        <rFont val="Times New Roman"/>
        <family val="1"/>
      </rPr>
      <t xml:space="preserve">2200001464 - THP 1000T  (Đã MAP 1038)  - </t>
    </r>
    <r>
      <rPr>
        <sz val="14"/>
        <color rgb="FFFF0000"/>
        <rFont val="Times New Roman"/>
        <family val="1"/>
      </rPr>
      <t xml:space="preserve">Có thể ra hàng muộn nhất 31/10, không được muộn hơn
</t>
    </r>
    <r>
      <rPr>
        <sz val="14"/>
        <color rgb="FF000000"/>
        <rFont val="Times New Roman"/>
        <family val="1"/>
      </rPr>
      <t xml:space="preserve">2200001465 - THP 2100T (Hàng hóa ok) cân tải- </t>
    </r>
    <r>
      <rPr>
        <sz val="14"/>
        <color rgb="FFFF0000"/>
        <rFont val="Times New Roman"/>
        <family val="1"/>
      </rPr>
      <t xml:space="preserve">Có thể ra hàng muộn nhất 31/10, không được muộn hơn
</t>
    </r>
    <r>
      <rPr>
        <sz val="14"/>
        <color rgb="FF000000"/>
        <rFont val="Times New Roman"/>
        <family val="1"/>
      </rPr>
      <t xml:space="preserve">2200001457 - OTHY 150T (Hàng hóa ok) - </t>
    </r>
    <r>
      <rPr>
        <sz val="14"/>
        <color rgb="FFFF0000"/>
        <rFont val="Times New Roman"/>
        <family val="1"/>
      </rPr>
      <t xml:space="preserve">Có thể ra hàng muộn nhất 31/10, không được muộn hơn
</t>
    </r>
    <r>
      <rPr>
        <sz val="14"/>
        <color rgb="FF000000"/>
        <rFont val="Times New Roman"/>
        <family val="1"/>
      </rPr>
      <t xml:space="preserve">2200001444/2200001473 - OTHY 1000T đi tối đa - </t>
    </r>
    <r>
      <rPr>
        <sz val="14"/>
        <color rgb="FFFF0000"/>
        <rFont val="Times New Roman"/>
        <family val="1"/>
      </rPr>
      <t>Có thể ra hàng muộn nhất 31/10, không được muộn hơn (Dự kiến sáng 29 NK)</t>
    </r>
  </si>
  <si>
    <t>25.10.2023
Neo</t>
  </si>
  <si>
    <t>28/10 Bến 3</t>
  </si>
  <si>
    <t>Thiên Lộc Thành</t>
  </si>
  <si>
    <t xml:space="preserve">2000001929 - Tây Nam - 4.500T - Thiên Lộc Thành (Chiều 26 NK 3k8 + 700t sáng 27 NK) </t>
  </si>
  <si>
    <t>Tối 29/10 Bến 5</t>
  </si>
  <si>
    <t>Phải xong hàng muộn nhất 31/10</t>
  </si>
  <si>
    <t>Tân Thuận/ 
Cẩm Nguyên</t>
  </si>
  <si>
    <t>2200001458 OTHP (Cargill) - 1.000T - Tân Thuận  (Hàng hóa ok)
2000001921 - TVP - 3.300T - cân tải (Chiều 24 NK)</t>
  </si>
  <si>
    <t>THAY THẾ TÀU VIỆT HÒA 68</t>
  </si>
  <si>
    <t>GRAND FAMILY 18</t>
  </si>
  <si>
    <t>29.10.2023</t>
  </si>
  <si>
    <t>30/10 Bến 5</t>
  </si>
  <si>
    <t>2000001921 - TVP - 4.250T (Hàng hóa dự kiến chiều 25 NK)</t>
  </si>
  <si>
    <t>THAY THẾ TÀU VIỆT THUẬN 045-02</t>
  </si>
  <si>
    <t>HẢI DƯƠNG 99</t>
  </si>
  <si>
    <t>30/10 Bến 2</t>
  </si>
  <si>
    <t>Cẩm Nguyên
Phú Mỹ</t>
  </si>
  <si>
    <r>
      <rPr>
        <sz val="14"/>
        <color rgb="FF000000"/>
        <rFont val="Times New Roman"/>
        <family val="1"/>
      </rPr>
      <t xml:space="preserve">2000001921 - TVP - 3.700T (Hàng hóa dự kiến sáng 26)
2400000409 + 2400000410: 350MT - 202.2023/HPDQ-Stemcor (ghép tàu tây Phú Mỹ)
</t>
    </r>
    <r>
      <rPr>
        <sz val="14"/>
        <color rgb="FFFF0000"/>
        <rFont val="Times New Roman"/>
        <family val="1"/>
      </rPr>
      <t>Lên hàng XK sau để dỡ trước. Đi Phú Mỹ trước</t>
    </r>
  </si>
  <si>
    <t>Hàng XK xếp lên tàu: ELISABETH OLDENDORFF tại Phú Mỹ</t>
  </si>
  <si>
    <t>HỦY TÀU</t>
  </si>
  <si>
    <t>VIỆT THUẬN 045-02</t>
  </si>
  <si>
    <t>27-28.10.2023</t>
  </si>
  <si>
    <t>VIỆT HÒA 68</t>
  </si>
  <si>
    <t>CẬP NHẬT TÌNH HÌNH XUẤT HÀNG HRC THÁNG 03/2023</t>
  </si>
  <si>
    <t>Thời gian làm hàng dự kiến</t>
  </si>
  <si>
    <t xml:space="preserve"> </t>
  </si>
  <si>
    <t>Phương nam 46</t>
  </si>
  <si>
    <t xml:space="preserve"> 13h00 02.03.23
Bến 2</t>
  </si>
  <si>
    <t>NAM PHÁT</t>
  </si>
  <si>
    <t>Xong</t>
  </si>
  <si>
    <t>Cẩm Nguyên/Thiên Lộc Thành</t>
  </si>
  <si>
    <t>2000001587 - TÂY NAM - 1800KT - 1/3 ĐỦ HÀNG - THIÊN LỘC THÀNH
2000001638 - TVP - CÂN TẢI TÀU - CẨM NGUYÊN</t>
  </si>
  <si>
    <t>20h00 01.03.23</t>
  </si>
  <si>
    <t>2000001638 - TVP - CÂN TẢI
2000001635 - MOV - 812T - 3/3 DUYỆT</t>
  </si>
  <si>
    <t xml:space="preserve"> Viễn Đông 88</t>
  </si>
  <si>
    <t>04.03.23
Dỡ quặng</t>
  </si>
  <si>
    <t>GẤP</t>
  </si>
  <si>
    <t>Đà Nẵng</t>
  </si>
  <si>
    <t>2200001245 OTĐN 108T
2200001255 OTĐN 2743T xuất âm 90%
2200001260 OTĐN 2700T 
2200001264 OTĐN 1300T
2200001265 OTĐN cân tải
SMC ĐN - 2000001639 - 950 tấn - xuất hết mapping
2000001636 - Thanh phú 208 MT</t>
  </si>
  <si>
    <t>Gấp</t>
  </si>
  <si>
    <t xml:space="preserve"> Việt Thuận 168</t>
  </si>
  <si>
    <t>18h 06/03/2023
Bến 05</t>
  </si>
  <si>
    <t>Cho tàu này vào làm trước
VT12-03</t>
  </si>
  <si>
    <t>HẢI PHÒNG</t>
  </si>
  <si>
    <t>2200001254 - OTHY 3700T(Xuất âm khoảng 90%)
2200001248 - THP 3700T (Xuất âm khoảng 95%)
2200001268 - THP 7500T (Xuất âm khoảng 95%) cân tải
2200001263 - OTHY cân tải</t>
  </si>
  <si>
    <t>CỐ GẮNG CHO NHIỀU HÀNG ỐNG TÔN LÊN ĐỂ VỀ HOÀNG DIỆU</t>
  </si>
  <si>
    <t>Việt Thuận HN-01</t>
  </si>
  <si>
    <t>22h20 07.03.23
Bến 1</t>
  </si>
  <si>
    <t>TẬP KẾT TỪ CA 2 NGÀY 07</t>
  </si>
  <si>
    <t>Thiên Lộc Thành/CẨM NGUYÊN</t>
  </si>
  <si>
    <t>2000001606 - METAL ONE -  THIÊN LỘC THÀNH 
2000001640 - MOV  -  THIÊN LỘC THÀNH 
2000001646- MOV  -  THIÊN LỘC THÀNH 
2000001638 - TVP - CÂN TẢI - 1200T - CẨM NGUYÊN - LÊN HÀNG SAU, DỠ TRƯỚC</t>
  </si>
  <si>
    <t>tổng 3 lệnh MOV lên đủ dung sai, ~95%</t>
  </si>
  <si>
    <t>MT Hà Nội 07</t>
  </si>
  <si>
    <t>07.03.23
Dỡ phế &gt; dỡ phế gấp để load hàng gấp lắm</t>
  </si>
  <si>
    <t>xong</t>
  </si>
  <si>
    <t>TẬP KẾT TỪ CA 2 NGÀY 08/03 ĐI Ạ</t>
  </si>
  <si>
    <t>Quy Nhơn</t>
  </si>
  <si>
    <t>2000001660 - Hoa Sen 3000mt (lệnh mới)</t>
  </si>
  <si>
    <t xml:space="preserve"> Việt Thuận 12-03</t>
  </si>
  <si>
    <t>20H30 ngày 08/03
Bến 5</t>
  </si>
  <si>
    <t>CHẬM NHẤT SÁNG SỚM NGÀY 11/3 XONG</t>
  </si>
  <si>
    <t>2000001652 - PVX 3000MT - PHÚ MỸ
2000001661 - PVX 2000MT - PHÚ MỸ
2000001650 - Phú Mỹ - Tấm Lá 1000MT 10/03 có hàng
2000001631 - Tôn Đông Á - 3000t PHÚ MỸ
2000001649 - THE ONE 660T PHÚ MỸ
2000001655 - POSCO - 300T - PHÚ MỸ - C OANH GỬI CHỨNG TỪ HỘ
2000001641 - JFE - 560T TÂN THUẬN 
2000001654 - TĐA - 1500T - PHÚ MỸ
2200001274 - OTBD cân tải Tân Thuận</t>
  </si>
  <si>
    <t>Tàu này cuối ngày 07/03 cho vào làm hàng sẽ hợp lý
DỠ Ở PHÚ MỸ TRƯỚC</t>
  </si>
  <si>
    <t>Việt Thuận 12-02</t>
  </si>
  <si>
    <t>08:00 ngày 10.03
Bến 05</t>
  </si>
  <si>
    <t>2000001617 - TVD 3000MT
2000001618 - OTVD - 3000MT
2000001643 - OT190 - 1100MT 10/3 duyệt
2000001644 - OT190 - 500MT 10/3 duyệt
2000001651  - Maru - Việt Nhật ngày 07/03 duyệt - 2000mt
2200001214 - OTHY hàng gửi kho 70T theo list hàng của PKD đi hết
2200001266 - OTHY 144T đi hết
2200001263 - OTHY (4300mt) (giao âm 90%) đi hết</t>
  </si>
  <si>
    <t xml:space="preserve">TRAWIND WISDOM </t>
  </si>
  <si>
    <t>11.03.23</t>
  </si>
  <si>
    <t>Việt Long</t>
  </si>
  <si>
    <r>
      <t xml:space="preserve">khoảng chiều/tối 13/03 làm xong hàng cho tàu rời cầu giúp em ạ.
</t>
    </r>
    <r>
      <rPr>
        <sz val="14"/>
        <color rgb="FF000000"/>
        <rFont val="Times New Roman"/>
        <family val="1"/>
      </rPr>
      <t>Phản hồi: Sáng 13/03 xong nha Lan Anh. Sớm để 215-06 vào.</t>
    </r>
  </si>
  <si>
    <t>Port Klang</t>
  </si>
  <si>
    <t>Xuất như mapping
2400000032 - CIEC 750MT
2400000033 - CIEC 800MT
2400000034 - CIEC 850MT
2400000035 - CIEC 250MT
2400000036 - CIEC 200MT
2400000037 - CIEC 150MT</t>
  </si>
  <si>
    <t>có nhãn phụ. Khi nào xuất báo KCS</t>
  </si>
  <si>
    <t>Mạnh Thắng 68</t>
  </si>
  <si>
    <t>14:30 ngày 12/03
Bến 2</t>
  </si>
  <si>
    <t>TTL và TÂN THUẬN</t>
  </si>
  <si>
    <t>2000001587 - TÂY NAM-2k9
2000001642 - Tiến Lên 1000MT 13/3 thanh toán - Tân Thuận</t>
  </si>
  <si>
    <t>MT Hà Nội 39</t>
  </si>
  <si>
    <t>17:00 ngày 13/03
Bến 01</t>
  </si>
  <si>
    <t>22*1271 - THP 187T
22*1270 - OTHP - 4100MT Ưu tiên 3.8-4.0</t>
  </si>
  <si>
    <t>13.03.23
Quay đầu nhận HRC</t>
  </si>
  <si>
    <t>không hiểu duyên sự gì mà cái tàu này cứ bị xóa lệnh đi
2000001638 - TVP - CÂN TẢI 
2000001657 - MOV (Toàn Thắng) - 144 mt</t>
  </si>
  <si>
    <t>Việt Thuận 215-06</t>
  </si>
  <si>
    <t>18:45 ngày 13/03 
Bến 5</t>
  </si>
  <si>
    <t>Tân Thuận/PHÚ MỸ</t>
  </si>
  <si>
    <t>2000001662 - PVX T2 - 1700MT tân thuận - ngày 13/3 xử lý
2200001257 - OTHY 6700mt (xuất âm 95%) - tân thuận
2000001658 - Tôn Đông Á - 1470mt - Phú Mỹ + Tân Thuận
2200001214- OTHY 300T hàng gửi kho theo list hàng của anh Danh (Tân Thuận)
2200001274 - OTBD cân tải là 1800mt
2000001628 - SMCCK - XUẤT HẾT MAPPING - PHÚ MỸ
2000001655 - Posco 50MT - PHÚ MỸ - đã duyệt lệnh</t>
  </si>
  <si>
    <t>2*1658: MÁC 2.80X1264 - 300T ĐI THÂN THUẬN, CÒN LẠI ĐI PHÚ MỸ</t>
  </si>
  <si>
    <t>Tay Son 1</t>
  </si>
  <si>
    <t>09:25 ngày 16/03
Bến 05/10</t>
  </si>
  <si>
    <t>Jakarta</t>
  </si>
  <si>
    <t xml:space="preserve">2400000041 - AMI 12kt </t>
  </si>
  <si>
    <t>13:00 ngày 16/03
Bến 05</t>
  </si>
  <si>
    <t>2200001268,1269 - THP 7300mt cân tải (lưu ý k xuất vượt 95%)
2200001275 - OTHY 5000T
2200001272 - NMCN 3000T
2200001276 - OTHY 1000T</t>
  </si>
  <si>
    <t>Hà Dương 58</t>
  </si>
  <si>
    <t>16:30 ngày 17/03
Bến 3</t>
  </si>
  <si>
    <t>2200001265 - OTĐN 2090T
2200001273 - OTĐN Cân tải</t>
  </si>
  <si>
    <t>Phương Nam 98</t>
  </si>
  <si>
    <t>19.03.2023</t>
  </si>
  <si>
    <t>2200001262 - OTHY 1300T
2200001270 - OTHY 1200T cân tải
2200001214 - OTHY 397T hàng gửi kho liên hệ anh Danh
2200001263 - OTHY 2000T</t>
  </si>
  <si>
    <t>Hải Âu 28</t>
  </si>
  <si>
    <t>07:30 ngày 21/03
Bến 5</t>
  </si>
  <si>
    <t>2000001623 - HÙNG NGUYÊN 
2000001674 - hùng nguyên -150
2200001277 - OTHY 4000T - CÂN TẢI
2000001618 - TVD 300MT (chiều 21/03 nhập kho)</t>
  </si>
  <si>
    <t>13:45 ngày 22/03
Bến 3</t>
  </si>
  <si>
    <t xml:space="preserve">XOng </t>
  </si>
  <si>
    <t>2200001275 - OTHY 1000T cân tải
2200001268,1269 - THP 900T
2000001672 - Phú Nam - 1450MT 22-23/3 nhập kho
2000001673 - Trường Thành 475MT  - 375MT sáng 23/3 nhập kho</t>
  </si>
  <si>
    <t>Hải Dương 99</t>
  </si>
  <si>
    <t>03:50 ngày 23/03
Bến 1</t>
  </si>
  <si>
    <t>Ưu tiên dỡ hàng để vào làm HRC sớm</t>
  </si>
  <si>
    <t>2200001214 - OTHY 875MT (HÀNG GỬI KHO)
2200001273 - OTDN 3820MT CÂN TẢI</t>
  </si>
  <si>
    <t>UNISON</t>
  </si>
  <si>
    <t>08h30 ngày 23/03
Bến 05</t>
  </si>
  <si>
    <t>CLIO</t>
  </si>
  <si>
    <t>Jakarta/Surabaya</t>
  </si>
  <si>
    <r>
      <rPr>
        <sz val="14"/>
        <color rgb="FF000000"/>
        <rFont val="Times New Roman"/>
        <family val="1"/>
      </rPr>
      <t xml:space="preserve">Steel-Invest 
2400000050 - Surabaya
</t>
    </r>
    <r>
      <rPr>
        <sz val="14"/>
        <color rgb="FFFF0000"/>
        <rFont val="Times New Roman"/>
        <family val="1"/>
      </rPr>
      <t xml:space="preserve">2400000049 - Jakarta
2400000048 - Jakarta
2400000047 - Surabaya
2400000046 - Jakarta
2400000045 - Surabaya
2400000044 - Jakarta
</t>
    </r>
    <r>
      <rPr>
        <sz val="14"/>
        <color rgb="FF000000"/>
        <rFont val="Times New Roman"/>
        <family val="1"/>
      </rPr>
      <t>2400000043 - Jakarta
2400000042 - Jakarta xếp riêng 1 LOT để dỡ hàng riêng
2400000051 - Surabaya</t>
    </r>
  </si>
  <si>
    <t xml:space="preserve">Không cần phân biệt lệnh ABC và hầm XYZ.
Chỉ cần phân bổ theo đúng cảng dỡ.
Tuy nhiên, riêng lệnh 24*42 cần gom lại 1 hầm để dỡ hàng </t>
  </si>
  <si>
    <t>Việt Thuận 12-01</t>
  </si>
  <si>
    <t>Neo</t>
  </si>
  <si>
    <t>2200001275 - OTHY đi hết
2000001686  - Tấn Phát - 1000MT (26 NK)
2000001678 - Nhật Quang - 980MT 22-23/3 nhập kho
2000001644 - OT190 - 950MT
2000001683 - NIPPON - 200T
2000001647 - KKBV 7000MT - cân tải</t>
  </si>
  <si>
    <t>26.03.2023</t>
  </si>
  <si>
    <r>
      <t xml:space="preserve">2000001684 - JFE - PHÚ MỸ - 500 </t>
    </r>
    <r>
      <rPr>
        <b/>
        <sz val="14"/>
        <color rgb="FFFF0000"/>
        <rFont val="Times New Roman"/>
        <family val="1"/>
      </rPr>
      <t xml:space="preserve">(Hàng hóa ok)
</t>
    </r>
    <r>
      <rPr>
        <b/>
        <sz val="14"/>
        <color rgb="FF000000"/>
        <rFont val="Times New Roman"/>
        <family val="1"/>
      </rPr>
      <t xml:space="preserve">2000001685 - TDA - PHÚ MỸ - 700 </t>
    </r>
    <r>
      <rPr>
        <b/>
        <sz val="14"/>
        <color rgb="FFFF0000"/>
        <rFont val="Times New Roman"/>
        <family val="1"/>
      </rPr>
      <t xml:space="preserve">(Hàng hóa ok)
</t>
    </r>
    <r>
      <rPr>
        <b/>
        <sz val="14"/>
        <color rgb="FF000000"/>
        <rFont val="Times New Roman"/>
        <family val="1"/>
      </rPr>
      <t xml:space="preserve">2000001702 - KN 1000MT - phú mỹ </t>
    </r>
    <r>
      <rPr>
        <b/>
        <sz val="14"/>
        <color rgb="FFFF0000"/>
        <rFont val="Times New Roman"/>
        <family val="1"/>
      </rPr>
      <t xml:space="preserve">(Hàng hóa ok)
200001676 và 200001628 (xuất nốt lượng còn lại) - SMCCK (Hàng hóa ok) - PHÚ MỸ
</t>
    </r>
    <r>
      <rPr>
        <b/>
        <sz val="14"/>
        <color rgb="FF000000"/>
        <rFont val="Times New Roman"/>
        <family val="1"/>
      </rPr>
      <t xml:space="preserve">2000001696 - TĐA - PHÚ MỸ - 1000 </t>
    </r>
    <r>
      <rPr>
        <b/>
        <sz val="14"/>
        <color rgb="FFFF0000"/>
        <rFont val="Times New Roman"/>
        <family val="1"/>
      </rPr>
      <t>(Hàng hóa ok)</t>
    </r>
  </si>
  <si>
    <r>
      <rPr>
        <sz val="14"/>
        <color rgb="FF000000"/>
        <rFont val="Times New Roman"/>
        <family val="1"/>
      </rPr>
      <t xml:space="preserve">2000001647 - KKBV  </t>
    </r>
    <r>
      <rPr>
        <sz val="14"/>
        <color rgb="FFFF0000"/>
        <rFont val="Times New Roman"/>
        <family val="1"/>
      </rPr>
      <t xml:space="preserve">(Hàng hóa ok) đã duyệt lệnh - lưu ý tách hóa đơn với tàu VT12-01
</t>
    </r>
    <r>
      <rPr>
        <sz val="14"/>
        <color rgb="FF000000"/>
        <rFont val="Times New Roman"/>
        <family val="1"/>
      </rPr>
      <t xml:space="preserve">2000001691 - OTVD 2000MT  </t>
    </r>
    <r>
      <rPr>
        <sz val="14"/>
        <color rgb="FFFF0000"/>
        <rFont val="Times New Roman"/>
        <family val="1"/>
      </rPr>
      <t xml:space="preserve">(Đã MAP đủ hàng)
</t>
    </r>
    <r>
      <rPr>
        <sz val="14"/>
        <color rgb="FF000000"/>
        <rFont val="Times New Roman"/>
        <family val="1"/>
      </rPr>
      <t xml:space="preserve">2000001680 - Nam Phát 4000mt  </t>
    </r>
    <r>
      <rPr>
        <sz val="14"/>
        <color rgb="FFFF0000"/>
        <rFont val="Times New Roman"/>
        <family val="1"/>
      </rPr>
      <t xml:space="preserve">(Hàng hóa ok) - đã duyệt lệnh
</t>
    </r>
    <r>
      <rPr>
        <sz val="14"/>
        <color rgb="FF000000"/>
        <rFont val="Times New Roman"/>
        <family val="1"/>
      </rPr>
      <t xml:space="preserve">2000001690 - TMP 1000MT </t>
    </r>
    <r>
      <rPr>
        <sz val="14"/>
        <color rgb="FFFF0000"/>
        <rFont val="Times New Roman"/>
        <family val="1"/>
      </rPr>
      <t xml:space="preserve">(đã duyệt lệnh, đã MAP đủ hàng)
</t>
    </r>
    <r>
      <rPr>
        <sz val="14"/>
        <color rgb="FF000000"/>
        <rFont val="Times New Roman"/>
        <family val="1"/>
      </rPr>
      <t xml:space="preserve">2200001282 - OTHY 400T </t>
    </r>
    <r>
      <rPr>
        <sz val="14"/>
        <color rgb="FFFF0000"/>
        <rFont val="Times New Roman"/>
        <family val="1"/>
      </rPr>
      <t xml:space="preserve">(Hàng hóa ok) - đã duyệt lệnh
2200001270 - OTHY 220T - đã duyêt lệnh
</t>
    </r>
    <r>
      <rPr>
        <sz val="14"/>
        <color rgb="FF000000"/>
        <rFont val="Times New Roman"/>
        <family val="1"/>
      </rPr>
      <t>2000001682 - VINAS - 700T</t>
    </r>
    <r>
      <rPr>
        <sz val="14"/>
        <color rgb="FFFF0000"/>
        <rFont val="Times New Roman"/>
        <family val="1"/>
      </rPr>
      <t xml:space="preserve"> (Hàng hóa ok)
22*1268 + 22*1269 - THP cân tải</t>
    </r>
  </si>
  <si>
    <t>08h00 27.03.2023</t>
  </si>
  <si>
    <t>Long Bình/Cẩm Nguyên</t>
  </si>
  <si>
    <t>2200001274 - OTBD 928T (Hàng hóa ok) - LONG BÌNH
2000001687 - VISA 400MT chiều muộn 27/3 duyệt - Cẩm Nguyên (Hàng sẵn trong kho rồi)
2000001704- VISA - 600T - Cẩm Nguyên 9-10h sáng 29/03 duyệt lệnh
2200001284 - OTBD - LONG BÌNH cân tải ~ 2700T  (Hàng hóa ok)</t>
  </si>
  <si>
    <t>23h00 26.03.2023</t>
  </si>
  <si>
    <r>
      <rPr>
        <sz val="14"/>
        <color rgb="FF000000"/>
        <rFont val="Times New Roman"/>
        <family val="1"/>
      </rPr>
      <t xml:space="preserve">2000001613 - CTC 1500MT  </t>
    </r>
    <r>
      <rPr>
        <sz val="14"/>
        <color rgb="FFFF0000"/>
        <rFont val="Times New Roman"/>
        <family val="1"/>
      </rPr>
      <t xml:space="preserve">(Hàng hóa ok)
</t>
    </r>
    <r>
      <rPr>
        <sz val="14"/>
        <color rgb="FF000000"/>
        <rFont val="Times New Roman"/>
        <family val="1"/>
      </rPr>
      <t xml:space="preserve">2000001693 - Kỳ Đồng: 1000mt </t>
    </r>
    <r>
      <rPr>
        <sz val="14"/>
        <color rgb="FFFF0000"/>
        <rFont val="Times New Roman"/>
        <family val="1"/>
      </rPr>
      <t xml:space="preserve"> (Hàng hóa ok)
</t>
    </r>
    <r>
      <rPr>
        <sz val="14"/>
        <color rgb="FF000000"/>
        <rFont val="Times New Roman"/>
        <family val="1"/>
      </rPr>
      <t xml:space="preserve">2000001694 - JFE -  27/3 DUYỆT -2500  </t>
    </r>
    <r>
      <rPr>
        <sz val="14"/>
        <color rgb="FFFF0000"/>
        <rFont val="Times New Roman"/>
        <family val="1"/>
      </rPr>
      <t xml:space="preserve">(Hàng hóa ok) 
</t>
    </r>
    <r>
      <rPr>
        <sz val="14"/>
        <color rgb="FF000000"/>
        <rFont val="Times New Roman"/>
        <family val="1"/>
      </rPr>
      <t xml:space="preserve">2000001695 - TĐA  - 27/3 duyệt lệnh -1000 </t>
    </r>
    <r>
      <rPr>
        <sz val="14"/>
        <color rgb="FFFF0000"/>
        <rFont val="Times New Roman"/>
        <family val="1"/>
      </rPr>
      <t xml:space="preserve"> (Còn thiếu 200t chiều nay NK đủ) 
2200001284 - OTBD - TÂN THUẬN - cân tải (Hàng hóa ok)</t>
    </r>
  </si>
  <si>
    <t xml:space="preserve"> 09H00 29.03.2023</t>
  </si>
  <si>
    <t>2000001653 - Hoa Sen 8000mt - Ưu tiên sản xuất đơn của Hoa Sen nhé a Được (Đã MAP được 5kt LƯỢNG + 2.5KT còn lại sáng 30 NK đủ)</t>
  </si>
  <si>
    <t>14H00 29.03.23</t>
  </si>
  <si>
    <r>
      <rPr>
        <sz val="14"/>
        <color rgb="FF000000"/>
        <rFont val="Times New Roman"/>
        <family val="1"/>
      </rPr>
      <t xml:space="preserve">2000001653 - Hoa Sen 8000mt - Ưu tiên sản xuất đơn của Hoa Sen nhé a Được </t>
    </r>
    <r>
      <rPr>
        <sz val="14"/>
        <color rgb="FFFF0000"/>
        <rFont val="Times New Roman"/>
        <family val="1"/>
      </rPr>
      <t>(Đã MAP được 5kt LƯỢNG + 2.5KT còn lại sáng 30 NK đủ)</t>
    </r>
  </si>
  <si>
    <t>RA HẾT LƯỢNG TÀU NÀY ĐỂ CHỐT TRONG THÁNG 3</t>
  </si>
  <si>
    <t>Tân Thuận/ PHÚ MỸ</t>
  </si>
  <si>
    <t>2000001697 - Nam Kim 2800mt - tân thuận (Chiều 30 NK 2K4 + 400T sáng 31 NK) - Cân tải 
2000001663 - SMCGCT - 700MT - đi Phú Mỹ  (Hàng hóa ok) - lệnh ok - ĐI PHÚ MỸ</t>
  </si>
  <si>
    <t>TTP 89</t>
  </si>
  <si>
    <t>12h30 31.03</t>
  </si>
  <si>
    <t>Sunrise</t>
  </si>
  <si>
    <t>Klang Port</t>
  </si>
  <si>
    <t>2400000052 - GS     (Hàng hóa ok)
2400000053 - GS      (Hàng hóa ok)
2400000054               (Hàng hóa ok)
2400000055                (Hàng hóa ok)</t>
  </si>
  <si>
    <t>Lệnh có nhãn phụ báo KCS dán giúp e ạ</t>
  </si>
  <si>
    <t xml:space="preserve">CHÚ Ý, TẤT CẢ CÁC LỆNH ĐỀU PHẢI GIAO HÀNG ÂM TỐI ĐA
GIAO ÂM TỨC LÀ GIAO THẤP HƠN SO VỚI LƯỢNG TRÊN LỆNH
KHÔNG PHẢI CẮT HÀNG ÂM TRÊN BK ĐÂUUUU
</t>
  </si>
  <si>
    <t>VINAS 2000MT
2000001648 - KKBV 1500MT</t>
  </si>
  <si>
    <t>CẬP NHẬT TÌNH HÌNH XUẤT HÀNG HRC THÁNG 12/2022</t>
  </si>
  <si>
    <t>Tàu</t>
  </si>
  <si>
    <t>KL</t>
  </si>
  <si>
    <t>TỔNG HỢP</t>
  </si>
  <si>
    <t>Viễn Đông 88</t>
  </si>
  <si>
    <t>20h00 ngày 30/11 
Bến 5</t>
  </si>
  <si>
    <t>2000001406 - CTC 1500MT
2000001501 - MI (TP) 1800MT (1/12 duyệt)
2000001479 - HÙNG NGUYÊN 
2000001419 - HÙNG NGUYÊN 
2200001205 - NMCN 475MT
2000001448 - TMN cân tải (2000mt) (1/12 duyệt)
2000001464 - NIPPON - T6 DUYỆT
2000001504 - VINAS - 150T</t>
  </si>
  <si>
    <t xml:space="preserve"> 20h00 ngày 01/12
 Bến 2</t>
  </si>
  <si>
    <t>Long An/Long Bình</t>
  </si>
  <si>
    <r>
      <rPr>
        <sz val="14"/>
        <color rgb="FF000000"/>
        <rFont val="Times New Roman"/>
        <family val="1"/>
      </rPr>
      <t xml:space="preserve">2000001491 - MITSUI (LONG AN) 
</t>
    </r>
    <r>
      <rPr>
        <sz val="14"/>
        <color rgb="FFFF0000"/>
        <rFont val="Times New Roman"/>
        <family val="1"/>
      </rPr>
      <t>2200001196 - OTBD 1770T (LONG BÌNH)
2200001204 - OTBD cân tải (LONG BÌNH)</t>
    </r>
  </si>
  <si>
    <t>14h00 ngày 02/12
 Bến 1</t>
  </si>
  <si>
    <r>
      <rPr>
        <sz val="14"/>
        <color rgb="FF000000"/>
        <rFont val="Times New Roman"/>
        <family val="1"/>
      </rPr>
      <t xml:space="preserve">2000001506 - JFE - đi hết mapping
2000001502 - TĐA - </t>
    </r>
    <r>
      <rPr>
        <sz val="14"/>
        <color rgb="FFFF0000"/>
        <rFont val="Times New Roman"/>
        <family val="1"/>
      </rPr>
      <t>lấy hàng 2.00x1254 cân tải</t>
    </r>
  </si>
  <si>
    <t>HÀNG MỚI SẢN XUẤT CHƯA LÀM ĐƯỢC, THỨ 6 LÀM</t>
  </si>
  <si>
    <t>ngày 04/12 
Bến 2</t>
  </si>
  <si>
    <t>2000001448 - TMN cân tải</t>
  </si>
  <si>
    <t>Đang làm hàng</t>
  </si>
  <si>
    <t>13h30 ngày 06/12 
Bến 5</t>
  </si>
  <si>
    <r>
      <rPr>
        <sz val="14"/>
        <color rgb="FF000000"/>
        <rFont val="Times New Roman"/>
        <family val="1"/>
      </rPr>
      <t xml:space="preserve">2000001448 - TMN 3850MT
2000001518 - PVX 5000MT 
2000001519 - KN 195MT
2000001508 - PVX 650MT 
2000001400 - Trường Thành 275MT
2000001522 - Phúc Viên Xuân 950MT
2000001521 -VINAS - 300T - lên hàng cuối cùng để dỡ hàng trước 
</t>
    </r>
    <r>
      <rPr>
        <sz val="14"/>
        <color rgb="FFFF0000"/>
        <rFont val="Times New Roman"/>
        <family val="1"/>
      </rPr>
      <t>2000001522 - PVX - 1000MT
2200001207 - NMCN cân tải</t>
    </r>
  </si>
  <si>
    <t>JIN DE 5</t>
  </si>
  <si>
    <t>08h20 ngày 10/12 
Bến 5</t>
  </si>
  <si>
    <t>2400000027 - Samsung</t>
  </si>
  <si>
    <t>Có ghép WRHC</t>
  </si>
  <si>
    <t>20h00 ngày 10/12 
bến 1</t>
  </si>
  <si>
    <t>Đi hết lượng hàng gửi kho của OTHP (khoảng 5800T)
Thiếu tải thì đi lệnh 2200001207 - NMCN cân tải</t>
  </si>
  <si>
    <t>THIÊN PHÚC</t>
  </si>
  <si>
    <t>10h10 ngày 11/12 
Bến 2</t>
  </si>
  <si>
    <t>LONG BÌNH</t>
  </si>
  <si>
    <t>2200001204 - OTBD 1200T
2200001209 - OTBD cân tải - ưu tiên đi hàng tháng 05,06,07,08 trước</t>
  </si>
  <si>
    <t>Việt Thuận 11-02</t>
  </si>
  <si>
    <t>16h00 ngày 07/12
Bến 3</t>
  </si>
  <si>
    <t xml:space="preserve">                                                                                                                                                                                                                                                                                                                                                                                                                                                                                                                                                                                                                                                                                                                                                                                                                                                                                                                                                                                        </t>
  </si>
  <si>
    <r>
      <rPr>
        <sz val="14"/>
        <color rgb="FF000000"/>
        <rFont val="Times New Roman"/>
        <family val="1"/>
      </rPr>
      <t xml:space="preserve">2000001442- Citicom 600mt - tân thuận 
2000001498 - Sunsco 300mt - tân thuận
2000001502 - TĐA 250MT - tân thuận
2000001490 - Tiến Lên 500Mt - tân thuận 
2000001415 - quang mười 1000t - tân thuận 
2200001202 - OTHY 1650T Tân Thuận chờ KCS gỡ map đủ lượng như trên mới xuất
2200001206 - OTHY 550T Tân thuận
2000001513 - SMC - PHÚ MỸ 
2000001516 - QM 1200t -
</t>
    </r>
    <r>
      <rPr>
        <sz val="14"/>
        <color rgb="FFFF0000"/>
        <rFont val="Times New Roman"/>
        <family val="1"/>
      </rPr>
      <t>2000001525 - SMCCK 400mt</t>
    </r>
    <r>
      <rPr>
        <sz val="14"/>
        <color rgb="FF000000"/>
        <rFont val="Times New Roman"/>
        <family val="1"/>
      </rPr>
      <t xml:space="preserve"> (gấp hơn)
</t>
    </r>
    <r>
      <rPr>
        <sz val="14"/>
        <color rgb="FFFF0000"/>
        <rFont val="Times New Roman"/>
        <family val="1"/>
      </rPr>
      <t>2000001524 - SMCCK 2300mt (CÂN TẢI)</t>
    </r>
  </si>
  <si>
    <t>HẢI AN 68</t>
  </si>
  <si>
    <t>02h00 ngày 16/12 
 Bến 1</t>
  </si>
  <si>
    <t>2200001209 - OTBD 2400T
2200001210 - OTBD 190T
2200001213 - OTBD cân tải</t>
  </si>
  <si>
    <t xml:space="preserve">BÊN </t>
  </si>
  <si>
    <t>08h00 ngày 13/12
Bến 05</t>
  </si>
  <si>
    <t>2200001207 - NMCN
2000001511 - VINAS - 500T 
2200001208 - OTHY - cân tải</t>
  </si>
  <si>
    <t>Trường Hưng 556</t>
  </si>
  <si>
    <t>17h00 ngày 20/12
Bến 05</t>
  </si>
  <si>
    <t>2000001500 - CTC 1500MT
2200001217 - THP 5100T
2200001216 - THP cân tải
2000001463 - HÙNG NGUYÊN - 300T (chiều mai)
2000001510 - Việt Đức 2000mt</t>
  </si>
  <si>
    <t>17h00 ngày 20/12 Bến 2</t>
  </si>
  <si>
    <t>2200001209 - OTBD 400T
2200001213 - OTBD cân tải
ghép hàng WR CLC - Đăng</t>
  </si>
  <si>
    <t>Việt Thuận 215-01</t>
  </si>
  <si>
    <t>20h00 ngày 16/12
Bến 3</t>
  </si>
  <si>
    <t>2200001212 - NMCN
2200001216 - THP cân tải
2000001526 - PVX 2000MT - chiều nay duyệt
2000001527 - KKBV 21/12 duyệt
2000001529 - KKBV 21/12 duyệt</t>
  </si>
  <si>
    <t>LIANSON DYNAMIC</t>
  </si>
  <si>
    <t>18h30 ngày 16/12 
Bến 11</t>
  </si>
  <si>
    <r>
      <rPr>
        <sz val="14"/>
        <color rgb="FF000000"/>
        <rFont val="Times New Roman"/>
        <family val="1"/>
      </rPr>
      <t>2400000028 - Samsung CnT -</t>
    </r>
    <r>
      <rPr>
        <sz val="14"/>
        <color rgb="FFFF0000"/>
        <rFont val="Times New Roman"/>
        <family val="1"/>
      </rPr>
      <t xml:space="preserve"> Lệnh dã duyệt</t>
    </r>
  </si>
  <si>
    <t>Ageline</t>
  </si>
  <si>
    <t>Hoàng Minh 68</t>
  </si>
  <si>
    <t>20h00 ngày 22/12 
Bến 1</t>
  </si>
  <si>
    <t>2200001208 - OTHY 200T
2200001211 - OTHY 1670T
2200001218 - OTHY 140T
2200001216 - THP cân tải</t>
  </si>
  <si>
    <t>VINACOMIN CẨM PHẢ</t>
  </si>
  <si>
    <t>Thế lot VT215-01 
(21/12)
Bến 3</t>
  </si>
  <si>
    <t>Phú Mỹ/Tân Thuận</t>
  </si>
  <si>
    <t>2000001524 - SMCCK 2320mt
2000001453 - SMCCK 2000MT - sáng 22/12 duyệt
2200001213 - OTBD 280mt - Tân Thuận</t>
  </si>
  <si>
    <t>Việt Thuận 215 - 03</t>
  </si>
  <si>
    <t>Xong HRC trong 2022</t>
  </si>
  <si>
    <t>2200001221 - OTBD
Làm HRC chậm bị a Công chửi đấy</t>
  </si>
  <si>
    <t>Ghép cùng với thép XD
Làm HRC nhanh để ko ảnh hưởng KH của thép XD</t>
  </si>
  <si>
    <t xml:space="preserve"> 12h00 ngày 27/12 Bến 5</t>
  </si>
  <si>
    <t>2000001475 - VNO - đi đủ dung sai các mác (~1680)
2000001530 - VNO - đi đủ dung sai các mác (~2389)
2000001476 - VNO - đi đủ dung sai (~158t)</t>
  </si>
  <si>
    <t>07h45 ngày 29/12
Bến 5</t>
  </si>
  <si>
    <t>Xong trong 2022</t>
  </si>
  <si>
    <t>2200001216 - THP 3106MT
2000001389 - THACO 1200MT 
2200001220 - NMCN 2900T</t>
  </si>
  <si>
    <t>Lệnh hàng okay đẩy vô chốt năm 2022 đi các anh!</t>
  </si>
  <si>
    <t>07H00 ngày 30/12
Bến 3</t>
  </si>
  <si>
    <t>2000001332 - OT190 1700MT
2200001219 - OTHY 400T</t>
  </si>
  <si>
    <t xml:space="preserve">2000001532  - THACO 875MT </t>
  </si>
  <si>
    <t>CẬP NHẬT TÌNH HÌNH XUẤT HÀNG HRC THÁNG 11/2022</t>
  </si>
  <si>
    <t>GAILLARDIA SW</t>
  </si>
  <si>
    <t>06h25 ngày 28/10
Bến 05</t>
  </si>
  <si>
    <t>2500000000 - HPI (Samsung CnT)</t>
  </si>
  <si>
    <t>BÌNH THƯỜNG</t>
  </si>
  <si>
    <t>VIỆT THUẬN 235-01</t>
  </si>
  <si>
    <t>19h30 ngày 30/10 
Bến 05</t>
  </si>
  <si>
    <t xml:space="preserve"> Trưa 3/11/2022</t>
  </si>
  <si>
    <r>
      <rPr>
        <sz val="14"/>
        <color rgb="FF000000"/>
        <rFont val="Times New Roman"/>
        <family val="1"/>
      </rPr>
      <t xml:space="preserve">2000001363 - Minh Ngọc 10kt 
2000001444 - Nhật Quang 1000MT - </t>
    </r>
    <r>
      <rPr>
        <sz val="14"/>
        <color rgb="FFFF0000"/>
        <rFont val="Times New Roman"/>
        <family val="1"/>
      </rPr>
      <t xml:space="preserve">chưa sản xuất đủ
</t>
    </r>
    <r>
      <rPr>
        <sz val="14"/>
        <color rgb="FF000000"/>
        <rFont val="Times New Roman"/>
        <family val="1"/>
      </rPr>
      <t>2200001171 - NMCN 6100T cân tải</t>
    </r>
  </si>
  <si>
    <t>HUY</t>
  </si>
  <si>
    <t>VIỆT THUẬN 11-01</t>
  </si>
  <si>
    <t>6h20 ngày 02/11
Bến 03</t>
  </si>
  <si>
    <t>dự kiến 03/11</t>
  </si>
  <si>
    <t xml:space="preserve">Tân Thuận </t>
  </si>
  <si>
    <t>2000001373 - Nam Kim - 5000t - 1/11 duyệt 
2000001408 - VISA 3000T  
2000001446 - Tiến Lên 2000MT chiều 2/11 duyệt</t>
  </si>
  <si>
    <t>17h30 ngày 02/11 
Bến 1</t>
  </si>
  <si>
    <t>2000001123 - VNO - 1000t - không vượt lệnh
2000001439 - VNO - 1000t - không vượt lệnh
2000001457 - VNO - 650t - không vượt lệnh
2000001429 - TÂY NAM - 1600 - cân tải đủ dung sai</t>
  </si>
  <si>
    <t>0h45 ngày 03/11
Bến 2</t>
  </si>
  <si>
    <t>2200001160 - OTBD 430T
2200001180 - OTBD cân tải</t>
  </si>
  <si>
    <t>16h30 ngày 03/11
Bến 05</t>
  </si>
  <si>
    <t>Dự kiến 07/11</t>
  </si>
  <si>
    <r>
      <rPr>
        <sz val="14"/>
        <color rgb="FF000000"/>
        <rFont val="Times New Roman"/>
        <family val="1"/>
      </rPr>
      <t xml:space="preserve">2000001430 - TMP 1900T
2000001455 - TMP 600T
2200001172 - NMCN 1500T
2200001171 - NMCN 2700T
2200001181 - OTHY 1800T
2000001450 - VINAS - không vượt lệnh 
2000001432 - VINAS - không vượt lệnh
2000001467 - Trường Thành 25T
2000001468 - VINAS
2200001170 - THP cân tải </t>
    </r>
    <r>
      <rPr>
        <sz val="14"/>
        <color rgb="FFFF0000"/>
        <rFont val="Times New Roman"/>
        <family val="1"/>
      </rPr>
      <t>(đi hết 2.45x1212, Không xuất 1052,1106)</t>
    </r>
    <r>
      <rPr>
        <sz val="14"/>
        <color rgb="FF000000"/>
        <rFont val="Times New Roman"/>
        <family val="1"/>
      </rPr>
      <t xml:space="preserve"> - 6200mt</t>
    </r>
  </si>
  <si>
    <t>LỆNH VINAS, TRƯỜNG THÀNH LÊN CUỐI CÙNG ĐỂ DỠ HÀNG TRƯỚC</t>
  </si>
  <si>
    <t>NHANH CHÚT</t>
  </si>
  <si>
    <t>17h40 ngày 05.11 
Bến 5</t>
  </si>
  <si>
    <t xml:space="preserve">2000001242 - OT190 - 3000MT
2200001182 - NMCN 1800MT
2200001170 - THP cân tải (Xuất hàng 1212) </t>
  </si>
  <si>
    <t>11h45 ngày 07/11
Bến 1</t>
  </si>
  <si>
    <t>2200001186 - OTBD cân tải (Long Bình)</t>
  </si>
  <si>
    <t>Mọi người cân đối cho làm hàng</t>
  </si>
  <si>
    <t>08h30 ngày 08/11
Bến 05</t>
  </si>
  <si>
    <t>ngày 10/11</t>
  </si>
  <si>
    <r>
      <rPr>
        <sz val="14"/>
        <color rgb="FF000000"/>
        <rFont val="Times New Roman"/>
        <family val="1"/>
      </rPr>
      <t xml:space="preserve">2000001407 - Phúc Tiến 1000MT
2200001171 - NMCN 70MT
2200001181 - OTHY 1828 MT - </t>
    </r>
    <r>
      <rPr>
        <sz val="14"/>
        <color rgb="FFFF0000"/>
        <rFont val="Times New Roman"/>
        <family val="1"/>
      </rPr>
      <t xml:space="preserve">đã duyệt 
</t>
    </r>
    <r>
      <rPr>
        <sz val="14"/>
        <color rgb="FF000000"/>
        <rFont val="Times New Roman"/>
        <family val="1"/>
      </rPr>
      <t xml:space="preserve">2200001184 - NMCN </t>
    </r>
    <r>
      <rPr>
        <sz val="14"/>
        <color rgb="FFFF0000"/>
        <rFont val="Times New Roman"/>
        <family val="1"/>
      </rPr>
      <t>Cân tải</t>
    </r>
  </si>
  <si>
    <t>HUY CHECK LẠI PHÁT NHÉ</t>
  </si>
  <si>
    <t>03h00 ngày 09/11
Bến 2</t>
  </si>
  <si>
    <t>Tân Thuận,Long Bình</t>
  </si>
  <si>
    <t>2200001178 - OTHY 2000T đi Tân Thuận
2000001362 - SUNSCO 300MT - chút duyệt
2200001186 - OTBD cân tải Đi Long Bình</t>
  </si>
  <si>
    <t>20h30 ngày 09/11 
Bến 05</t>
  </si>
  <si>
    <r>
      <rPr>
        <sz val="14"/>
        <color rgb="FF000000"/>
        <rFont val="Times New Roman"/>
        <family val="1"/>
      </rPr>
      <t xml:space="preserve">2000001217 - KKBV 2600MT (bỏ lại SAE1006) - chỉ xuất khoảng 2500mt thôi - 09.11 duyệt
2200001064 2.85x1500:22.544T, 5.7x1500:156.578T
(Hàng gửi kho OTHP)
2200001085 5.6x1520:42.278T(Hàng gửi kho OTHP)
2200001072 4.2x1500:47.728T, 4.3x1500:23.864T
(Hàng gửi kho OTHP)
2200001121 6.75x1500: 22.754T (ID: 71220705620)
(Hàng gửi kho OTHP)
2200001184 - NMCN -  Xuất hết mapping
2200001183 - OTHY - </t>
    </r>
    <r>
      <rPr>
        <sz val="14"/>
        <color rgb="FFFF0000"/>
        <rFont val="Times New Roman"/>
        <family val="1"/>
      </rPr>
      <t>cân tải</t>
    </r>
  </si>
  <si>
    <t>03h15 ngày 11/11
Bến 2</t>
  </si>
  <si>
    <t>2200001180 - OTBD 560T
2200001186 - OTBD lượn còn lại 2000T
2200001190 - OTBD cân tải</t>
  </si>
  <si>
    <t>10h50 ngày  12/11
Bến 05</t>
  </si>
  <si>
    <t xml:space="preserve">2200001170 - THP 4400T 
2000001465 - TCĐ 4080T
2200001189 - THP 1240T
2200001191 - OTHY 660T
2200001192 - NMCN 1900T
2000001417 - Mỹ Việt 3000mt T2 
2000001451 - VINAS 
2000001397 - VINAS - </t>
  </si>
  <si>
    <t>15h00 ngày 16/11
Bến 1</t>
  </si>
  <si>
    <t>2200001190 - OTBD
2200001196 - OTBD</t>
  </si>
  <si>
    <t>02h15 ngày 18/11
Bến 01</t>
  </si>
  <si>
    <t>Sáng ngày 19/11</t>
  </si>
  <si>
    <t>Long Bình &amp; Phú Mỹ</t>
  </si>
  <si>
    <t>2200001196 - OTBD cân tải - (Long Bình) đã duyệt
2000001441 - SMCPM - 1000MT - Phú Mỹ 16.11 duyệt
2000001329 - POSCO 200MT - phú mỹ 17.11 duyệt
2000001434 - THE ONE 670T - phú mỹ 16.11 duyệt</t>
  </si>
  <si>
    <t>Dỡ Phú Mỹ trước, Tân Thuận sau
=&gt; Xếp hàng OTBD trước</t>
  </si>
  <si>
    <t>HƠI GẤP</t>
  </si>
  <si>
    <t>Hồng Lĩnh 01</t>
  </si>
  <si>
    <t>01h30 ngày 17/11
Bến 05</t>
  </si>
  <si>
    <t>Chiều ngày 19/11</t>
  </si>
  <si>
    <t>2000001376 - NIPPON - 300T
2000001474 - nam phát
2000001473 - nam phát 
2000001459 - nam phát
2200001183 - OTHY cân tải 1000mt</t>
  </si>
  <si>
    <t xml:space="preserve">cho tàu vào đi hôm nay đủ lệnh </t>
  </si>
  <si>
    <t>13h00 ngày18/11, Cập bến 3</t>
  </si>
  <si>
    <t xml:space="preserve">2000001334 - SMCTT 2000MT (tân thuận)
2000001462 - NGUYỄN MINH - 1500T  (tân thuận)
2000001483 - QH PLUS - 500T   (tân thuận)
2200001200 - OTHY - 700T (Tân thuận)
2000001375 - ĐÔNG Á  - 2000t 18.11 duyệt
2200001196 - OTBD cân tải 200mt - Tân Thuận </t>
  </si>
  <si>
    <t>cân đối vào làm trước 2900mt
Lượng còn lại 17.11 duyệt</t>
  </si>
  <si>
    <t>12h40 ngày 21/11 
Bến 1</t>
  </si>
  <si>
    <t>Long An</t>
  </si>
  <si>
    <t>2000001440 - VNO - 1500t - KHÔNG VƯỢT LỆNH
2000001485 - MOV 
2000001486  - MOV 
2000001476 - VNO - 700t - cân tải - CHỈ LÊN KHOẢNG 500T ĐỂ ĐỢI LỆNH MOV</t>
  </si>
  <si>
    <t xml:space="preserve">CHẬM </t>
  </si>
  <si>
    <t>10h40 ngày 20/11
Bến 05</t>
  </si>
  <si>
    <t>2000001454 - TVĐ 3800MT 21.11 duyệt
2000001487 - 800mt THACO
2000001478 - 1000T Thành Đạt
2200001197 - OTHY 500T
2200001194- NMCN cân tải</t>
  </si>
  <si>
    <t>Ngày 23/11 Cập bến 1</t>
  </si>
  <si>
    <t>2200001196 - OTBD</t>
  </si>
  <si>
    <t>14h00 25/11
Bến 1</t>
  </si>
  <si>
    <t xml:space="preserve">Việt Thuận 215-06 </t>
  </si>
  <si>
    <t>07H30 24/11 cập cầu 5</t>
  </si>
  <si>
    <t>2000001489 - THACO 500MT
2000001494 - KKBV 1300MT
2000001496  - KKBV - 200MT 
2000001465 - TCĐ 1000MT
2200001193 - OTHY 3000T
2200001183 - OTHY 135T
2200001194 - NMCN 800T
2200001201 - THP 3000T
2200001203 - NMCN 4500T
2200001198 - OTHY 100T
2200001205 - NMCN - 2200T</t>
  </si>
  <si>
    <t>Hai Au 28</t>
  </si>
  <si>
    <t>kế hoạch 17h00 26/11 tàu cập câu 1</t>
  </si>
  <si>
    <t>Jakarta/Subaraya</t>
  </si>
  <si>
    <t>2400000023 - SI 3000MT (JKT)
2400000024 - SI 1000MT (Subaraya)
2400000025 - SI 500MT (Subaraya)
2400000026 - SI 500MT (JKT)</t>
  </si>
  <si>
    <t>Có nhãn phụ</t>
  </si>
  <si>
    <t>Thái Sơn</t>
  </si>
  <si>
    <t>17h00 ngày 28/11 bến 5</t>
  </si>
  <si>
    <r>
      <rPr>
        <sz val="14"/>
        <color rgb="FF000000"/>
        <rFont val="Times New Roman"/>
        <family val="1"/>
      </rPr>
      <t xml:space="preserve">2000001370 - 6000MT CỦA SMCCK - </t>
    </r>
    <r>
      <rPr>
        <sz val="14"/>
        <color rgb="FFFF0000"/>
        <rFont val="Times New Roman"/>
        <family val="1"/>
      </rPr>
      <t xml:space="preserve">cân tải
</t>
    </r>
    <r>
      <rPr>
        <sz val="14"/>
        <color rgb="FF000000"/>
        <rFont val="Times New Roman"/>
        <family val="1"/>
      </rPr>
      <t>2000001433 - TLPM 1000MT chiều duyệt</t>
    </r>
  </si>
  <si>
    <t>30/11 Bến 5</t>
  </si>
  <si>
    <r>
      <rPr>
        <sz val="14"/>
        <color rgb="FF000000"/>
        <rFont val="Times New Roman"/>
        <family val="1"/>
      </rPr>
      <t xml:space="preserve">2000001406 - CTC 1500MT
2000001501 - MI (TP) 1800MT (1/12 duyệt)
2000001479 - HÙNG NGUYÊN 
2000001419 - HÙNG NGUYÊN 
2200001205 - NMCN 475MT
2000001464 - NIPPON - T6 DUYỆT
2000001504 - VINAS - 200t - mai duyệt
2000001448 - TMN cân tải (2000mt) (1/12 duyệt) - </t>
    </r>
    <r>
      <rPr>
        <sz val="14"/>
        <color rgb="FFFF0000"/>
        <rFont val="Times New Roman"/>
        <family val="1"/>
      </rPr>
      <t>chưa Duyệt</t>
    </r>
  </si>
  <si>
    <t xml:space="preserve"> 20h00 01/12 Bến 2</t>
  </si>
  <si>
    <t>20h00 30.11.22</t>
  </si>
  <si>
    <t>02/12 Bến 1</t>
  </si>
  <si>
    <t>2000001502 - TĐA
2000001503 - JFE</t>
  </si>
  <si>
    <t>2000001493 - KKBV 1500MT tuần sau mới lấy</t>
  </si>
  <si>
    <t>Citicom 600mt
Sunsco 300mt</t>
  </si>
  <si>
    <t xml:space="preserve">GHÉP HÀNG ĐI LONG AN - 500T - NGÀY 29/11 CÓ LỆNH </t>
  </si>
  <si>
    <t>CẬP NHẬT TÌNH HÌNH XUẤT HÀNG HRC THÁNG 06/2022</t>
  </si>
  <si>
    <t>Thành Đạt 228</t>
  </si>
  <si>
    <t>19h00 ngày 31/05 
Bến 1</t>
  </si>
  <si>
    <t>2200001066 - OTBD Cân tải</t>
  </si>
  <si>
    <t>THÀNH ĐẠT 28</t>
  </si>
  <si>
    <t>Bến 1</t>
  </si>
  <si>
    <t>2000000998 - HSNH 3250MT</t>
  </si>
  <si>
    <t>Hàng ngày 29 trở về trước làm được rồi có cầu bến đẩy vô làm luôn</t>
  </si>
  <si>
    <t>Hiền Anh 688</t>
  </si>
  <si>
    <t>0h00 ngày 02/06
Bến 2</t>
  </si>
  <si>
    <t>PHÚ MỸ</t>
  </si>
  <si>
    <t>2000000994 - POSCO - 1000T
2000000981 - TẤM LÁ 2200mt 
2200001062 - OTHY đi PM 515mt
2000001006 - Nội Thất cân tải</t>
  </si>
  <si>
    <t>Hàng Hóa ok
Còn lệnh 2*1006 Rel 4 rồi có cầu bến vô làm luôn</t>
  </si>
  <si>
    <t>SFL HUDSON</t>
  </si>
  <si>
    <t>7h00 ngày 30/05 
Bến 5/10</t>
  </si>
  <si>
    <t>RAVENNA</t>
  </si>
  <si>
    <t>2400000010 - MARCEGAGLIA</t>
  </si>
  <si>
    <t>Xuất 643 coils</t>
  </si>
  <si>
    <t>S&amp;A</t>
  </si>
  <si>
    <t>Bình Sơn</t>
  </si>
  <si>
    <t>Phú Minh 99</t>
  </si>
  <si>
    <t>07h10 ngày 02/06
Bến 1</t>
  </si>
  <si>
    <t>Miền Nam</t>
  </si>
  <si>
    <t>2200001066 - OTBD 1000mt
2200001068 - OTBD cân tải</t>
  </si>
  <si>
    <t>Nam Phát 18</t>
  </si>
  <si>
    <t>14h00 ngày 02/06 
Bến 3</t>
  </si>
  <si>
    <t>2200001060 - THP 1150mt 2.00x1232 ưu tiên, xuất hết hàng 1270</t>
  </si>
  <si>
    <t>Hàng hóa ok + Cầu trống đẩy vô</t>
  </si>
  <si>
    <t>Hoàng Anh 68</t>
  </si>
  <si>
    <t>18h30 ngày 02/06 
Bến 2</t>
  </si>
  <si>
    <t>2200001071 - NCMN</t>
  </si>
  <si>
    <t>Minh Khánh 25</t>
  </si>
  <si>
    <t>22h15 ngày 02/06
Bến 1</t>
  </si>
  <si>
    <t>2200001047 - OTHY đi Tân Thuận
2200001048 - OTHY đi Tân Thuận</t>
  </si>
  <si>
    <t>Minh Tân 68</t>
  </si>
  <si>
    <t>09h00 ngày 03/06 Bến 2</t>
  </si>
  <si>
    <t>Bình Sơn 76</t>
  </si>
  <si>
    <t>11h00 ngày 03/06
Bến 1</t>
  </si>
  <si>
    <t>2200001060 - THP 2787MT</t>
  </si>
  <si>
    <t>Ninhco 66</t>
  </si>
  <si>
    <t>0h00 ngày 04/06 
Bến 2</t>
  </si>
  <si>
    <t>2000001018 - TÂY NAM (2.00x1212)
2000000992 - TÂY NAM (2.30x1212) (Cân Tải)</t>
  </si>
  <si>
    <t>Thắng Lợi 89</t>
  </si>
  <si>
    <t>02h00 ngày 04/06 
Bến 1</t>
  </si>
  <si>
    <t>2200001069 - OTHY</t>
  </si>
  <si>
    <t>Minh Khánh 86</t>
  </si>
  <si>
    <t>04h30 ngày 04/06
 Bến 3</t>
  </si>
  <si>
    <t>2200001068 - OTBD không xuất hàng trên list thông tin nhanh</t>
  </si>
  <si>
    <t>Phương Nam 88</t>
  </si>
  <si>
    <t>14h00 ngày 04/06
Bến 2</t>
  </si>
  <si>
    <t>2200001071 - NCMN 2325T
2200001069 - OTHY cân tải</t>
  </si>
  <si>
    <t>PHƯƠNG NAM 145</t>
  </si>
  <si>
    <t>16h30 ngày 04/06 
Bến 1</t>
  </si>
  <si>
    <t>2200001069 - OTHY 2400T
2200001060 - THP 2200MT</t>
  </si>
  <si>
    <t>An Bình 99</t>
  </si>
  <si>
    <t>13h20 ngày 05/06
Bến 2</t>
  </si>
  <si>
    <t>2200001069 - OTHY (Hết mapping)
2200001060 - THP Cân tải</t>
  </si>
  <si>
    <t>Thành Đạt 28</t>
  </si>
  <si>
    <t>22h50 ngày 05/06 
Bến 1</t>
  </si>
  <si>
    <t>2000000997 - HSNH 3200MT</t>
  </si>
  <si>
    <t>tàu này quay lại lấy hàng HRC, ưu tiên xuất nhé 
Hàng hóa ok rồi ấy. Tàu vô thì đẩy làm luôn đi</t>
  </si>
  <si>
    <t>20h45 ngày 05/06 
Bến 5</t>
  </si>
  <si>
    <t>2200001060 - THP 4300MT</t>
  </si>
  <si>
    <t>1K hàng  ngày ca 2 ngày 03/06
1K hàng  ca 1 ngày 04/06</t>
  </si>
  <si>
    <t>Duy Hoàng 99</t>
  </si>
  <si>
    <t>13h30 ngày 06/06 
Bến 2</t>
  </si>
  <si>
    <t>Hàng hóa okay. Tàu đến cho vô làm hàng</t>
  </si>
  <si>
    <t>Bình Sơn 79</t>
  </si>
  <si>
    <t>21h15 ngày 06/06 
Bến 1</t>
  </si>
  <si>
    <t>Đạt Anh 27</t>
  </si>
  <si>
    <t>04h30 ngày 08/06 
Bến 1</t>
  </si>
  <si>
    <t>Hải An 36</t>
  </si>
  <si>
    <t>04h30 ngày 09/06
Bến 3</t>
  </si>
  <si>
    <t>Hải Long 27</t>
  </si>
  <si>
    <t>13h00 ngày 10/06
Bến 1</t>
  </si>
  <si>
    <t>2400000008 - GS Global 1926mt
2000001003 - Nam Hưng 2800mt</t>
  </si>
  <si>
    <t>Hàng đơn XK cắt trước, đơn Nam Hưng cắt sau</t>
  </si>
  <si>
    <t>09h00 ngày 10/06
Bến3</t>
  </si>
  <si>
    <t>2200001060 - THP 1731mt
2000001019 - IPC 1000MT
2200001073 - 800mt
2200001017 - OTHY 1200MT cân tải nhé HUY</t>
  </si>
  <si>
    <t>Cần chuyển 1 ít hàng của 20*1013 sang 20*1019</t>
  </si>
  <si>
    <t>12h30 ngày 11/06 
Bến 1</t>
  </si>
  <si>
    <t>2000000992 - TÂY NAM (900T) 
2000000989 - VINAONE ( 500T)
2000000990 - TÂY NAM (1000T) 
2000001020 - METAL ONE (300T) 
2000001018 - cân tải</t>
  </si>
  <si>
    <t>TÀU NÀY GẤP
ĐÃ HẾT HÀNG KHÔNG MAP THÊM ĐƯỢC, BẮT TÀU ĐI THÔI</t>
  </si>
  <si>
    <t>11h50 ngày 11/6 
Bến 3</t>
  </si>
  <si>
    <t xml:space="preserve">2000001024 - TMN 2300 (cân tải) 
2000001016 - KKVN 1000mt </t>
  </si>
  <si>
    <t>có thể cho vào làm trước hàng của minh ngọc 
KKVN chắc chắn chiều nay có LC</t>
  </si>
  <si>
    <t>Minh Tiến 99</t>
  </si>
  <si>
    <t>04h15 ngày 12/06 
Bến 1</t>
  </si>
  <si>
    <t>2000001024 - TMN 3600mt</t>
  </si>
  <si>
    <t>Lệnh này đã NK  thì có 5K4 đi trên con Thành Đạt 2K3 thì còn lại 3K1 hàng ngày 09/06 trở về trước và chờ sáng mai Nk thêm 500T hàng ca 1 ngày 10/06 nữa là đủ tải.</t>
  </si>
  <si>
    <t>HOẢNG BẢO 68</t>
  </si>
  <si>
    <t>08h40 ngày 12/06 
Bến 3</t>
  </si>
  <si>
    <t>2000001025 - TCĐ 1900MT</t>
  </si>
  <si>
    <t>Hàng hóa/ lệnh ok rồi ấy đẩy vô làm</t>
  </si>
  <si>
    <t>Minh Khánh 79</t>
  </si>
  <si>
    <t>19h00 ngày 12/06 
Bến 3</t>
  </si>
  <si>
    <t xml:space="preserve">2000001027 - Nam Kim </t>
  </si>
  <si>
    <t>Hải Hà 268</t>
  </si>
  <si>
    <t>9h10 ngày 13/06 Bến 1</t>
  </si>
  <si>
    <t>2000001024 - TMN 3150MT</t>
  </si>
  <si>
    <t>Á Châu 16</t>
  </si>
  <si>
    <t>10h20 ngày 13/06 
Bến 3</t>
  </si>
  <si>
    <t>2000001017 - Việt Thành 2950mt
2000000982 - Indeco - 500mt - Duyệt Lệnh
2200001068 - OTBD 300MT - đi hàng 2.95 -3.00</t>
  </si>
  <si>
    <t>1068: XUẤT 2.95-3.00MM ~ 300MT</t>
  </si>
  <si>
    <t>Thành Đạt 128</t>
  </si>
  <si>
    <t>19h30 ngày 13/06 
Bến 3</t>
  </si>
  <si>
    <t>2000001025 - TCĐ 1600mt
2000001012 - TVĐ 1500MT</t>
  </si>
  <si>
    <t>mn cho vào làm đi ạ 
Hàng/ Lệnh ok</t>
  </si>
  <si>
    <t>03h00 ngày 15/06 
Bến 3</t>
  </si>
  <si>
    <t>2000001015 - SUNCO (KH này claim nhiều)
2000001028 - KỲ ĐỒNG (1000T) 
2000001030 - NGUYỄN MINH (1000T) 
2000001029 - SAKAI (300T) - chưa duyệt
2000001042 - CTC 200MT 
2000001040 - kỳ Đồng  - chỉ xuất khi cần cân tải</t>
  </si>
  <si>
    <t>05h00 ngày 15/06
Bến 3</t>
  </si>
  <si>
    <t xml:space="preserve">2000001040 - kỳ Đồng 
2000001044 - kỳ đồng - TỔNG 2 LỆNH TẦM 1350
2000001002 - Tiến Lên 1900 </t>
  </si>
  <si>
    <t>Hàng hóa/ Lệnh ok
Có 1K hàng ca 1 ngày 12/06 thôi cho vào làm đi</t>
  </si>
  <si>
    <t>Minh Tiến 26</t>
  </si>
  <si>
    <t>17h10 ngày 15/06
Bến 1</t>
  </si>
  <si>
    <t>2000001013 - OTVĐ 2900MT
2000001012 - TVĐ 1500MT</t>
  </si>
  <si>
    <t xml:space="preserve">Hàng hóa ok + Lệnh ok </t>
  </si>
  <si>
    <t>Thành Đạt 328</t>
  </si>
  <si>
    <t>03h00 ngày 16/06 
Bến 3</t>
  </si>
  <si>
    <t>2000001024 - TMN 950mt
2000001032 - hùng nguyên (950t)
2000001034- Amecc 850mt - sáng16/6 duyệt lệnh
2200001045 - OTHY cân tải</t>
  </si>
  <si>
    <t>Hàng hóa ok
Lệnh 2*1034 Note sáng duyệt thì cho tàu vô làm dần được rồi</t>
  </si>
  <si>
    <t>13h00 ngày 16/06
Bến 3</t>
  </si>
  <si>
    <t>2000001026 - TCĐ  1450mt
2000001045 - Nhật Quang 1000mt 
2000001036 - NIPPON (225t) 
2000001048 - NIPPON (100t)</t>
  </si>
  <si>
    <t>Hàng hóa ok / Lệnh ok</t>
  </si>
  <si>
    <t>Hoàng Bách 01</t>
  </si>
  <si>
    <t>2000001031 - Marubeni (NAP) 1000MT - Lệnh ok
2200001045 - OTHY 440T
2200001075 - THP cân tải</t>
  </si>
  <si>
    <t>ITASCO 25</t>
  </si>
  <si>
    <t>20h00 ngày 16/06
Bến 5</t>
  </si>
  <si>
    <t>Mipec</t>
  </si>
  <si>
    <t>2000001014 - OT190 (900MT)
2000001046 - CITICOM 200MT - chỉ xuất hàng 7.8 và 9.8
2200001045 - OTHY 700MT
2000000948 - KKBV (2960mt) - đang bên kế toán rồi</t>
  </si>
  <si>
    <t xml:space="preserve">Cầu bến trống cho tàu vào làm hàng đi
Làm kế hoạch gấp giúp em ạ. </t>
  </si>
  <si>
    <t>QN 6378</t>
  </si>
  <si>
    <t>Tàu dỡ đá tối nay mới SS nhận hàng</t>
  </si>
  <si>
    <t>2000001035 - Minh Phú 1900T
2000001053 - Minh Phú 1100T
2200001075 - THP cân tải</t>
  </si>
  <si>
    <t>Lệnh 20*1053 có 600T ca 1 ngày 15/06 còn lại  hàng hóa ok hết 
Duyệt lệnh Huy ơi Huy</t>
  </si>
  <si>
    <t>Đợi đến 20.6 vì có đơn chậm</t>
  </si>
  <si>
    <t>2000001006 - Nội thất The One 580mt xuất hết mapping
2000000987 - SMCCK cân tải (chiều muộn mới duyệt đc lệnh)</t>
  </si>
  <si>
    <t xml:space="preserve">Tàu chấp nhận đợi </t>
  </si>
  <si>
    <t>Hùng Khánh 10</t>
  </si>
  <si>
    <t>Bến 3</t>
  </si>
  <si>
    <t>2200001080 - OTHY 4900mt</t>
  </si>
  <si>
    <t>An Trung 46</t>
  </si>
  <si>
    <t>2200001080 - OTHY 2950mt</t>
  </si>
  <si>
    <t>Vinh Hiển 68</t>
  </si>
  <si>
    <t>14h00 ngày 26/06
Bến 3</t>
  </si>
  <si>
    <t xml:space="preserve">2200001074 - OTHY
2200001083 - OTBD </t>
  </si>
  <si>
    <t>Hàng hóa ok - cho tàu vào</t>
  </si>
  <si>
    <t>23h00 ngày 26/06 
Bến 2</t>
  </si>
  <si>
    <t>2200001081 - NMCN 2950mt</t>
  </si>
  <si>
    <t>Lệnh/Hàng ok - Cho tàu vào</t>
  </si>
  <si>
    <t>Minh Quang 06</t>
  </si>
  <si>
    <t>07h15 ngày 27/06 
Bến 3</t>
  </si>
  <si>
    <t>2200001082 - OTBD</t>
  </si>
  <si>
    <t>04h20 - 28.06.22 
Lot Bến 2</t>
  </si>
  <si>
    <t>2200001081 - NMCN 4500mt</t>
  </si>
  <si>
    <t>00h45 - 28.06.22
Bến 3</t>
  </si>
  <si>
    <t>2200001050 - OTHP 3050MT (cân tải) - lệnh ok</t>
  </si>
  <si>
    <t>05h00 ngày 29/06 
Bến 1</t>
  </si>
  <si>
    <t>2200001081 - NMCN 3050mt</t>
  </si>
  <si>
    <t>06h30 ngày 29/06 
Bến 2</t>
  </si>
  <si>
    <t>2200001081 - NMCN 1750mt (hết mapping)
2200001080 - OTHY 90T
2200001050 - OTHY (cân tải) - lệnh ok</t>
  </si>
  <si>
    <t xml:space="preserve">
Hàng hóa ok / Cho tàu vô làm</t>
  </si>
  <si>
    <t>21h15 ngày 29/06
Bến 2</t>
  </si>
  <si>
    <t>16h00 ngày 30/06
Bến 1</t>
  </si>
  <si>
    <r>
      <rPr>
        <b/>
        <sz val="14"/>
        <color rgb="FF000000"/>
        <rFont val="Times New Roman"/>
        <family val="1"/>
      </rPr>
      <t xml:space="preserve">2000001064 - Lê phan gia - 1600
2000001070 - kỳ đồng - 550
2200001070 - OTHY 550T 
</t>
    </r>
    <r>
      <rPr>
        <b/>
        <sz val="14"/>
        <color rgb="FFFF0000"/>
        <rFont val="Times New Roman"/>
        <family val="1"/>
      </rPr>
      <t>2200001046 - OTBD 250T
2200001068 - OTBD Cân tải</t>
    </r>
  </si>
  <si>
    <t xml:space="preserve"> Minh Tiến 26</t>
  </si>
  <si>
    <t>12h30 ngày 01/07
Bến 3</t>
  </si>
  <si>
    <t>2000001043 - Nam Phát 1000mt - Lệnh hàng ok
2000001052 - Tấn Phát 400mt - Lệnh hàng ok
2000001069 - HÙNG NGUYÊN (600T) - Lệnh chưa duyệt / Hải Anh
2200001050 - THP 2900MT (cân tải) okay</t>
  </si>
  <si>
    <t>Hùng Nguyên vẫn chưa duyệt nha. Cho thời gian luôn Hải Anh - chiều nay duyệt</t>
  </si>
  <si>
    <t>12h00 ngày 01/07
Bến 2</t>
  </si>
  <si>
    <t>2000001047 - TLPM  - Lệnh/Hàng ok</t>
  </si>
  <si>
    <t>2000000966 - Quang Mười - 1060  (hủy)</t>
  </si>
  <si>
    <t>Kế Hoạch Tàu Tháng 07 đình trệ hết rồi hả mn!
Phản hồi đi mn ơi!</t>
  </si>
  <si>
    <t>Trường An 126</t>
  </si>
  <si>
    <t>hủy</t>
  </si>
  <si>
    <t>02.06.2022</t>
  </si>
  <si>
    <t>đổi sang Minh Tân</t>
  </si>
  <si>
    <t>Công Thành 09</t>
  </si>
  <si>
    <t>05.06.2</t>
  </si>
  <si>
    <t>Vinh Hiển 69</t>
  </si>
  <si>
    <t>HỦY</t>
  </si>
  <si>
    <t>Hủy</t>
  </si>
  <si>
    <t>CẬP NHẬT TÌNH HÌNH XUẤT HÀNG HRC THÁNG 10/2022</t>
  </si>
  <si>
    <t>Việt Thuận 169</t>
  </si>
  <si>
    <t xml:space="preserve">09h00 ngày 29/09 
Bến 05 </t>
  </si>
  <si>
    <t>2000001326 - Phú Nam 1500MT
2000001304 - Hùng Nguyên - 1700t
2000001290 - Vinas - 900t - T2 DUYỆT 
2000001337 - vinas - 100t - T2 DUYỆT 
2200001128 - OTHY 800mt
2200001141 - NMCN 600MT
2000001335 - PVX 2270MT (xuất hết mapping)
2200001142 - OTHY 4000T
2200001143 - THP 2400T
2200001134 - OTHY cân tải</t>
  </si>
  <si>
    <t>làm hàng nhanh nhất có thể để về HP trả hàng gấp
làm chậm sẽ bị vướng gió mùa, tàu ko về đc HP</t>
  </si>
  <si>
    <t>13h05 ngày 30/09
Bến 06</t>
  </si>
  <si>
    <r>
      <rPr>
        <sz val="14"/>
        <color rgb="FF000000"/>
        <rFont val="Times New Roman"/>
        <family val="1"/>
      </rPr>
      <t xml:space="preserve">2000001171 - KKBV 2000MT (ko giao vượt lượng)
2000001355 - KKBV 1400MT - </t>
    </r>
    <r>
      <rPr>
        <sz val="14"/>
        <color rgb="FFFF0000"/>
        <rFont val="Times New Roman"/>
        <family val="1"/>
      </rPr>
      <t xml:space="preserve">Đang sản xuất chưa đủ
</t>
    </r>
    <r>
      <rPr>
        <sz val="14"/>
        <color rgb="FF000000"/>
        <rFont val="Times New Roman"/>
        <family val="1"/>
      </rPr>
      <t>2000001353 - OTTP 2000MT
2200001134 - OTHY 3300T
2200001146 - NMCN 7000T</t>
    </r>
  </si>
  <si>
    <t>00h00 ngày 30/09
Bến 05</t>
  </si>
  <si>
    <t>Tân Thuận + 
Phú Mỹ</t>
  </si>
  <si>
    <t>2000001110 - SMCCK 2975MT gấp - phú mỹ
2000001277 - Tấm Lá 1000MT - phú mỹ - gấp
2000001349 - Tấm Lá 1000MT - phú mỹ - gấp
2000001347 - QH PLUS - 3000t - tân thuận                                              2000001321 - VISA - 1000T - tân thuận
2200001118 - OTBD 650MT (cấp hết lệnh hàng cũ mác SPAH) - tân thuận
2200001140 - OTBD Cân tải - tân thuận</t>
  </si>
  <si>
    <t>Lashing chú ý để tàu đi 2 cảng k cần lashing lại tại POD</t>
  </si>
  <si>
    <t>05h00 ngày 03/10
Bến 01</t>
  </si>
  <si>
    <t>Thiên Lộc Thành
&amp; Cẩm Nguyên</t>
  </si>
  <si>
    <t>2000001330  - vts (vinaone) - Lệnh hàng okay
2000001340 - TVP 1300mt</t>
  </si>
  <si>
    <t>11h30 ngày 03/10
Bến 06</t>
  </si>
  <si>
    <t>2000001255 - TCĐ 3000 MT
2200001139 - THP cân tải (tháng 10 mới đc cắt hàng) đi hàng 2.45 =&gt; 2.00x1212</t>
  </si>
  <si>
    <t>TAY SON 4</t>
  </si>
  <si>
    <t>10h15 ngày 03/10
Bến 05</t>
  </si>
  <si>
    <t>2400000020 - Arcelor Mittal (xuất 235 cuộn)</t>
  </si>
  <si>
    <t>LASHING XUẤT KHẨU NHÉ HẢI ANH</t>
  </si>
  <si>
    <t>Việt Thuận 168</t>
  </si>
  <si>
    <t>11h00 ngày 04/10
Bến 05</t>
  </si>
  <si>
    <r>
      <rPr>
        <sz val="13"/>
        <color rgb="FF000000"/>
        <rFont val="Times New Roman"/>
        <family val="1"/>
      </rPr>
      <t>2000001354 - MINH PHÚ 1200mt
2000001243 - TVD 3000MT</t>
    </r>
    <r>
      <rPr>
        <b/>
        <sz val="13"/>
        <color rgb="FF000000"/>
        <rFont val="Times New Roman"/>
        <family val="1"/>
      </rPr>
      <t xml:space="preserve"> 
</t>
    </r>
    <r>
      <rPr>
        <sz val="13"/>
        <color rgb="FF000000"/>
        <rFont val="Times New Roman"/>
        <family val="1"/>
      </rPr>
      <t>2000001244 - OTVD 2500MT 
2000001356 - Nhật Quang 1000MT 
2000001311 - Trường Thành 1000MT 
2000001275 - Phúc Tiến 500MT
2000001371 - NAM PHÁT - 100T 
2200001139 - THP cân tải - cắt hết lệnh này ở trên VT168 trc
2000001309 - NIPPON 300T - Mai Duyệt - xuất đúng mapping</t>
    </r>
  </si>
  <si>
    <t>Vinacomin Cẩm Phả</t>
  </si>
  <si>
    <t>11h30 ngày 06/10 
Bến 05</t>
  </si>
  <si>
    <t>2200001149 - OTHY 2300MT (lệnh cân tải)
2000001344 - THACO - 800MT - ko xuất vượt tổng lệnh
2200001139 - THP (nếu còn thì cắt lệnh này)
2000001364 - MI (Việt Nhật) - 1800mt đã duyệt
2000001366 - MI (VN) - 1000mt (chiều muộn ngày 07.10 duyệt)
2000001367 - Minh Phú (1000mt)</t>
  </si>
  <si>
    <t>lại phải làm hàng nhanh để tránh gió mùa</t>
  </si>
  <si>
    <t>13h00 ngày 08/10
Bến 2</t>
  </si>
  <si>
    <t>Phú Mỹ/Long Bình</t>
  </si>
  <si>
    <t>2000001246 - SMCCK 3000MT
2200001140 - OTBD 680T
2200001147 - OTBD Cân tải</t>
  </si>
  <si>
    <t>22h10 ngày 10/10
Bến 1</t>
  </si>
  <si>
    <t>2000001382 - MOV
2000001381 - MOV
2000001387 - TN
2000001388 - TN - Cân Tải</t>
  </si>
  <si>
    <t>12h00 ngày 08/10 
Bến 05</t>
  </si>
  <si>
    <r>
      <rPr>
        <sz val="14"/>
        <color rgb="FF000000"/>
        <rFont val="Times New Roman"/>
        <family val="1"/>
      </rPr>
      <t xml:space="preserve">2000001237 - NAM KIM - 1950 
2000001372 - NAM KIM T10 - 4900 
2000001359 - ĐÔNG Á - 2450 - </t>
    </r>
    <r>
      <rPr>
        <sz val="14"/>
        <color rgb="FFFF0000"/>
        <rFont val="Times New Roman"/>
        <family val="1"/>
      </rPr>
      <t xml:space="preserve">1K5 đang sản xuất mùng 10 mới NK
</t>
    </r>
    <r>
      <rPr>
        <sz val="14"/>
        <color rgb="FF000000"/>
        <rFont val="Times New Roman"/>
        <family val="1"/>
      </rPr>
      <t xml:space="preserve">2000001361 - NGUYỄN MINH - 1950
2000001297 - Sunsco 300mt (ra hóa đơn ngày 10/10, trước 16h)
2000001374 - đông á (4450t) </t>
    </r>
  </si>
  <si>
    <t>GIAO ÂM CÁC LỆNH, ĐẢM BẢO LÊN ĐỦ DUNG SAI CÁC MÁC</t>
  </si>
  <si>
    <t>Việt Thuận 215-05</t>
  </si>
  <si>
    <t>16h00 ngày 09/10
Bến 05</t>
  </si>
  <si>
    <t>2000001316 - VINAS 3000MT - 10.10 duyệt 
2000001365 - MI 3200MT (Việt Nhật) - 10.10 duyệt lệnh
2200001150 - OTHY 2800T
2000001360 - TCĐ 5000T
2000001357 - Trường Thành 300MT
2200001149 - OTHY 70T
2000001377 - TMP 1900T cân tải</t>
  </si>
  <si>
    <t>Thiếu tải bố sung lệnh đi mn</t>
  </si>
  <si>
    <t>19h55 ngày 12/10 
Bến 05</t>
  </si>
  <si>
    <r>
      <rPr>
        <sz val="14"/>
        <color rgb="FF000000"/>
        <rFont val="Times New Roman"/>
        <family val="1"/>
      </rPr>
      <t xml:space="preserve">2400000018 - GS 1642MT - phú mỹ
2400000019 - GS 218MT - phú mỹ
2000001287 - THEONE 480T - phú mỹ
2000001318 - citicom 300mt (10/10 duyệt lệnh) - tân thuận
2000001384 - ĐÔNG Á 3800MT - </t>
    </r>
    <r>
      <rPr>
        <sz val="14"/>
        <color rgb="FFFF0000"/>
        <rFont val="Times New Roman"/>
        <family val="1"/>
      </rPr>
      <t xml:space="preserve">đi đủ dung sai các mác </t>
    </r>
    <r>
      <rPr>
        <sz val="14"/>
        <color rgb="FF000000"/>
        <rFont val="Times New Roman"/>
        <family val="1"/>
      </rPr>
      <t xml:space="preserve">- 12.10 duyệt - tân thuận
2000001385 - JFE - 3000t - 12.10 duyệt - tân thuận
2200001147 - OTBD -cân tải - tân thuận  </t>
    </r>
    <r>
      <rPr>
        <sz val="14"/>
        <color rgb="FFFF0000"/>
        <rFont val="Times New Roman"/>
        <family val="1"/>
      </rPr>
      <t>không xuất hàng 2.00x1250 và 2.75x1234</t>
    </r>
  </si>
  <si>
    <t>05h00 ngày 16/10
Bến 1</t>
  </si>
  <si>
    <t>22000001147 - OTBD đi hết hàng 2.00x1250, 2.75x1234</t>
  </si>
  <si>
    <t>Việt Thuận HN - 01</t>
  </si>
  <si>
    <t>19h00 ngày 15/10
Bến 3</t>
  </si>
  <si>
    <t>2000001410 - VNO 
2000001338 - VNO
2000001414 - VNO 
2000001388 - TN - 3600t - cân tải hàng 2.00</t>
  </si>
  <si>
    <t>KHÔNG XUẤT VƯỢT LỆNH</t>
  </si>
  <si>
    <t>Việt Thuận 235-02</t>
  </si>
  <si>
    <t>23h10 ngày 16/10
Bén 05</t>
  </si>
  <si>
    <r>
      <rPr>
        <sz val="14"/>
        <color rgb="FFFF0000"/>
        <rFont val="Times New Roman"/>
        <family val="1"/>
      </rPr>
      <t xml:space="preserve">1600T hàng gửi kho OTHY - Theo List hàng đã gửi Anh Danh
</t>
    </r>
    <r>
      <rPr>
        <sz val="14"/>
        <color rgb="FF000000"/>
        <rFont val="Times New Roman"/>
        <family val="1"/>
      </rPr>
      <t>2200001151 - OTHY 1300T
2200001152 - THP 320T
2000001378 - TMP 2000T
2000001379 - TMP 400T
2000001377 - TMP chắc còn khoảng 300mt (đi hết mapping)
2200001154 - OTHY 1800T
2200001155 - NMCN 1000T
2200001156 - OTHY 3000T
2200001162 - NMCN 48T
2000001413 - KN 2000mt
2000001405 - CTC 1400MT
2200001164 - OTHY 540T
2200001169 - OTHY cân tải</t>
    </r>
  </si>
  <si>
    <t>21h00 ngày 20/10 
Bến 1</t>
  </si>
  <si>
    <t>2200001153 - OTBD 
2200001157 - OTBD cân tải</t>
  </si>
  <si>
    <t>09h00-20/10/2022 
Bến 05</t>
  </si>
  <si>
    <t xml:space="preserve">2000001383 - Tiến Lên 2000MT
2000001312 - SEAH - 2462MT - eteket phải đúng tên SEAH
2000001396 - QUANG MƯỜI -1000T - trong kho ưu tiên xuất cho rộng
2200001157 - OTBD - cân tải </t>
  </si>
  <si>
    <t>Điền lệnh đi mn check hàng cái</t>
  </si>
  <si>
    <t>TAY SON 1</t>
  </si>
  <si>
    <t>13h45 ngày 20/10
Bến 5</t>
  </si>
  <si>
    <t>2400000021 - AMI 10KT</t>
  </si>
  <si>
    <t>10h00 ngày 23/10
Bến 05</t>
  </si>
  <si>
    <t>2000001388 - TÂY NAM - 650t  
2000001339 - VINANONE (189A)
2000001427 - VNO (189D)
2000001412 - VNO (189D)
2000001411 - VNO (189D)
2000001428 - VNO (303B)
2000001380 - VNO (232C)
2000001429 - TÂY NAM - CÂN TẢI</t>
  </si>
  <si>
    <t>KHÔNG VƯỢT LỆNH</t>
  </si>
  <si>
    <t>20h30 ngày 22/10
Bến 06</t>
  </si>
  <si>
    <r>
      <rPr>
        <sz val="14"/>
        <color rgb="FF000000"/>
        <rFont val="Times New Roman"/>
        <family val="1"/>
      </rPr>
      <t xml:space="preserve">2000001394 - HÙNG NGUYÊN - 3KT - 24/10 -  Chưa Duyệt
2000001416 - MỸ VIỆT - 2KT - HÀNG 2.00 - </t>
    </r>
    <r>
      <rPr>
        <sz val="14"/>
        <color rgb="FFFF0000"/>
        <rFont val="Times New Roman"/>
        <family val="1"/>
      </rPr>
      <t xml:space="preserve">ưu tiên đi trước
</t>
    </r>
    <r>
      <rPr>
        <sz val="14"/>
        <color rgb="FF000000"/>
        <rFont val="Times New Roman"/>
        <family val="1"/>
      </rPr>
      <t xml:space="preserve">2000001368 - TVD 3000MT
2000001369 - OTVD 2500MT
2000001409 - Tấn Phát 1300MT </t>
    </r>
    <r>
      <rPr>
        <sz val="14"/>
        <color rgb="FFFF0000"/>
        <rFont val="Times New Roman"/>
        <family val="1"/>
      </rPr>
      <t xml:space="preserve"> - ưu tiên đi trước
</t>
    </r>
    <r>
      <rPr>
        <sz val="14"/>
        <color rgb="FF000000"/>
        <rFont val="Times New Roman"/>
        <family val="1"/>
      </rPr>
      <t>2000001425- Trường Thành 300MT 
2200001169 - OTHY 900MT
2000001421 - Thép Minh Phú 2000mt 24/10 duyệt 
2000001431 - VINAS (HÀNG 5.8 VÀ 7.8 BỎ LẠI 1 CỤC)</t>
    </r>
  </si>
  <si>
    <t>18h00 ngày 26/10 
Bến 05</t>
  </si>
  <si>
    <t>CẨM NGUYÊN</t>
  </si>
  <si>
    <t>2000001424 - Indeco 150 MT
2000001350 - Indeco - 1550MT
2000001395 - Toàn Thắng 1000 MT - 18/10 duyệt 
2200001161 - OTBD - 350mt (cân tải)</t>
  </si>
  <si>
    <t>ĐẨY NHANH HẾT TỐC CHO CON NÀY GIẢI THOÁT VỚI</t>
  </si>
  <si>
    <t>21h00 ngày 25/10 
Bến 06</t>
  </si>
  <si>
    <r>
      <rPr>
        <sz val="14"/>
        <color rgb="FF000000"/>
        <rFont val="Times New Roman"/>
        <family val="1"/>
      </rPr>
      <t xml:space="preserve">2000001420 - TMP 1000T - </t>
    </r>
    <r>
      <rPr>
        <sz val="14"/>
        <color rgb="FFFF0000"/>
        <rFont val="Times New Roman"/>
        <family val="1"/>
      </rPr>
      <t xml:space="preserve">lên trước
</t>
    </r>
    <r>
      <rPr>
        <sz val="14"/>
        <color rgb="FF000000"/>
        <rFont val="Times New Roman"/>
        <family val="1"/>
      </rPr>
      <t>2000001422 - TMP 2000T -</t>
    </r>
    <r>
      <rPr>
        <sz val="14"/>
        <color rgb="FFFF0000"/>
        <rFont val="Times New Roman"/>
        <family val="1"/>
      </rPr>
      <t xml:space="preserve"> lên trước
</t>
    </r>
    <r>
      <rPr>
        <sz val="14"/>
        <color rgb="FF000000"/>
        <rFont val="Times New Roman"/>
        <family val="1"/>
      </rPr>
      <t xml:space="preserve">2200001173 - OTHY 1150T
2200001174 - OTHY 2700T
2200001177 - NMCN 4500T
</t>
    </r>
    <r>
      <rPr>
        <sz val="14"/>
        <color rgb="FFFF0000"/>
        <rFont val="Times New Roman"/>
        <family val="1"/>
      </rPr>
      <t xml:space="preserve">2000001438 - Trường Thành 100MT hàng 3.2
</t>
    </r>
    <r>
      <rPr>
        <sz val="14"/>
        <color rgb="FF000000"/>
        <rFont val="Times New Roman"/>
        <family val="1"/>
      </rPr>
      <t xml:space="preserve">2200001170 - THP cân tải chỉ đi hàng 1212 </t>
    </r>
    <r>
      <rPr>
        <sz val="14"/>
        <color rgb="FFFF0000"/>
        <rFont val="Times New Roman"/>
        <family val="1"/>
      </rPr>
      <t>(2.15-&gt; 2.45 -&gt;2.25-&gt; 2.00)</t>
    </r>
  </si>
  <si>
    <t>Cho làm hàng</t>
  </si>
  <si>
    <t>20h50 ngày 26/10
Bến 03</t>
  </si>
  <si>
    <t>Sáng 30/10</t>
  </si>
  <si>
    <t>2000001285 - SMCCK 4950MT
2000001404 - PVX 950MT 26/10 duyệt
2200001157 - OTBD - 1330T
2200001161 - OTBD 430-450mt (hết mapping)
2200001160 - OTBD cân tải</t>
  </si>
  <si>
    <t>Trả hàng Phú Mỹ trước =&gt; Tân Thuận
Nên
Xếp hàng OTBD trước</t>
  </si>
  <si>
    <t>RẤT GẤP</t>
  </si>
  <si>
    <t>17h00 ngày 27/10 
Bến 1</t>
  </si>
  <si>
    <t>2200001168 - OTBD 1500T
2200001165 - OTBD 200T
2200001176 - OTBD 
2200001160 - OTBD cân tải</t>
  </si>
  <si>
    <t>15h40 ngày 29/10
Bến 06</t>
  </si>
  <si>
    <t>Sáng 31/10</t>
  </si>
  <si>
    <r>
      <rPr>
        <sz val="14"/>
        <color rgb="FF000000"/>
        <rFont val="Times New Roman"/>
        <family val="1"/>
      </rPr>
      <t xml:space="preserve">2000001386 - ĐÔNG Á - 3300t - </t>
    </r>
    <r>
      <rPr>
        <sz val="14"/>
        <color rgb="FFFF0000"/>
        <rFont val="Times New Roman"/>
        <family val="1"/>
      </rPr>
      <t xml:space="preserve">giữ nguyên mapping thay đổi khối lượng phải báo PKD
</t>
    </r>
    <r>
      <rPr>
        <sz val="14"/>
        <color rgb="FF000000"/>
        <rFont val="Times New Roman"/>
        <family val="1"/>
      </rPr>
      <t>2000001435 - TĐA (1234 - 400T)
2000001436 - JFE (1234, 1264 - 2000T) - ra hóa đơn T11
2000001437 - JFE (1214 - 1000T) - ra hóa đơn T11, có thể xuất vượt cân tải</t>
    </r>
  </si>
  <si>
    <t>GẤP - XONG HÀNG 1/11 LÀ OKE</t>
  </si>
  <si>
    <t>Chiều 2/11/2022</t>
  </si>
  <si>
    <t>10h00 ngày 02/11</t>
  </si>
  <si>
    <t xml:space="preserve">2000001158-VNO
2000001123-VNO
2000001439-VNO
2000001429 - TÂY NAM </t>
  </si>
  <si>
    <t>29-30/10/2022</t>
  </si>
  <si>
    <t>Dự kiến vào cầu 3 chiều 01/11</t>
  </si>
  <si>
    <t>Tàu này ngày 1/11 cho vào làm hàng</t>
  </si>
  <si>
    <t>31/10</t>
  </si>
  <si>
    <r>
      <rPr>
        <sz val="14"/>
        <color rgb="FF000000"/>
        <rFont val="Times New Roman"/>
        <family val="1"/>
      </rPr>
      <t xml:space="preserve">2000001430 - TMP 1900T
2000001455 - TMP 600T
2200001172 - NMCN 1500T
2200001171 - NMCN 2700T
VINAS - 800T - Lên cuối để dỡ đầu tiên tại Cảng dỡ
2200001170 - THP cân tải </t>
    </r>
    <r>
      <rPr>
        <sz val="14"/>
        <color rgb="FFFF0000"/>
        <rFont val="Times New Roman"/>
        <family val="1"/>
      </rPr>
      <t>(đi hết 2.45x1212, Không xuất 1052,1106)</t>
    </r>
  </si>
  <si>
    <t>Làm chậm</t>
  </si>
  <si>
    <t>2000001429 - TÂY NAM - CÂN TẢI ĐỦ DUNG SAI</t>
  </si>
  <si>
    <t>ĐÔNG Á  - 2000t</t>
  </si>
  <si>
    <t>Sunsco 300mt - 07/11 thanh toán</t>
  </si>
  <si>
    <t>CẬP NHẬT TÌNH HÌNH XUẤT HÀNG HRC THÁNG 07/2022</t>
  </si>
  <si>
    <t>Việt Thuận 11-01</t>
  </si>
  <si>
    <t>08h00 ngày 10/07
Bến 3</t>
  </si>
  <si>
    <t>2000001008 - JFE =&gt; ANH TÂN ĐỔI CUỘN TỪ LỆNH 2*1062 SANG
2000001103 - ĐÔNG Á
2000001102 - ĐÔNG Á</t>
  </si>
  <si>
    <t>Chỉ xuất cwt ≤ 22,65mt</t>
  </si>
  <si>
    <t>Nam Phát 02</t>
  </si>
  <si>
    <t>14-15h ngày 10/07
Xe chuyển ra đà nẵng</t>
  </si>
  <si>
    <t>2000001106 - OT190 500mt (xuất hàng khổ 1500mm)
2000001107 - KKBV 300mt 
2000001074 - Minh Ngọc (cân tải)</t>
  </si>
  <si>
    <t>Vận chuyển đường bộ ra Đà Nẵng</t>
  </si>
  <si>
    <t>Victoria 19</t>
  </si>
  <si>
    <t>09h00 ngày 13/07
Bến 3</t>
  </si>
  <si>
    <t>2000001041 - SMCPM 600 MT (ko xuất vượt tổng KL)
2000001105 - NAM HƯNG - 1000MT
2000001047 - TẤM LÁ - 277MT hàng 2.3 và 2.5
2000001068 - THE ONE 900T
2000001063 - SMCCK 2070mt</t>
  </si>
  <si>
    <t>13h50 ngày 13/07
Bến 05/10</t>
  </si>
  <si>
    <t xml:space="preserve">2000001080 - Nam Kim 5000mt (209 coils) - Rel 3 duyệt Lệnh
2200001087 - OTHY đi Tân Thuận 515mt (22 coils)
2000001084 - Minh Phú đi Tân Thuận 983mt (43 coils)
2200001068 - OTBD 535mt (23 coils)
2200001084 - OTBD 1520mt (69 coils) bóc tem mapping
2000000966 - QUANG MƯỜI 1000MT (44c) - Rel 3 duyệt lệnh
2000001007 - ĐÔNG Á 3000t (130c) - Lệnh chưa Duyệt-mai duyệt
2200001082 - OTBD cân tải 300t  (ưu tiên đi những coil KL &gt;23mt)
</t>
  </si>
  <si>
    <t>CWT Max 25mt
Theo sổ tay đc xếp 512 coils
12.800 mt max</t>
  </si>
  <si>
    <t>Nam Phát 01</t>
  </si>
  <si>
    <t>Cảng đà nẵng</t>
  </si>
  <si>
    <t>2000001071 - TẤN PHÁT 600MT
2200001050 - OTHY cân tải</t>
  </si>
  <si>
    <t>Hải Nam 39</t>
  </si>
  <si>
    <t>14h30 ngày 15/07 
Bến 6</t>
  </si>
  <si>
    <r>
      <rPr>
        <sz val="14"/>
        <color rgb="FF000000"/>
        <rFont val="Times New Roman"/>
        <family val="1"/>
      </rPr>
      <t xml:space="preserve">2000001076 - TVĐ 3000MT Đ
2000001077 - OTVĐ 2000MT Đ
2000001046 - CTC 280MT Đ
2000001113 - CTC T7 - 800mt </t>
    </r>
    <r>
      <rPr>
        <b/>
        <sz val="14"/>
        <color rgb="FFFF0000"/>
        <rFont val="Times New Roman"/>
        <family val="1"/>
      </rPr>
      <t xml:space="preserve">(có YC size cụ thể bên cạnh) Đ
</t>
    </r>
    <r>
      <rPr>
        <sz val="14"/>
        <color rgb="FF000000"/>
        <rFont val="Times New Roman"/>
        <family val="1"/>
      </rPr>
      <t>2000001136 - Metal One (Việt Nhật) - giữ nguyên list 1000mt Đ
2000001073 - Chính Đại 3000mt
2000001074 - Minh Ngọc 2800mt Đ
2000001131 - NIPPON 
2000001086 - NIPPON
2000001093 - VINAS 1200t
2200001077 - THP 284T
2000001124 - TMP - 2000T Đ
2000001085 - TMP - 2003T Đ
2200001088 - THP 2337T
2000001106 - OT190 (285MT) Đ
2000001109 - Nhật Quang 986mt 44 coils
2200001089 - OTHY 6347T (xuất hết)
2200001090 - NMCN</t>
    </r>
  </si>
  <si>
    <t>Cam kết load rate nên mn chú ý =&gt;điền lệnh sớm để kiểm tra hàng hóa ntn mọi người ơi
CẢNG VỤ SẼ KIỂM TRA RẤT KỸ PHẦN LASHING, MỌI NGƯỜI ĐẶC BIỆT CHÚ Ý Ạ</t>
  </si>
  <si>
    <t>Tân Bình
ĐLT S&amp;A</t>
  </si>
  <si>
    <t>Các size hàng + KL đi lệnh 20*1113
2.25x1250 = 200mt
2.40x1250 = 100mt
2.75x1500 = 200mt
3.70x1500 = 100mt
3.80x1500 = 100mt
4.30x1500 = 200mt
4.80x1500 = 100mt</t>
  </si>
  <si>
    <t>Thái Anh 06</t>
  </si>
  <si>
    <t>2000001061 - posco (có thể sẽ đổi số lệnh)</t>
  </si>
  <si>
    <t>Chuyển ra Đà Nẵng xuất hàng
VC đường bộ</t>
  </si>
  <si>
    <t>Tân Bình 134</t>
  </si>
  <si>
    <t>Sau khi tính toán lại chỉ vận chuyển đc 20,3kt đấy
mn cân đối nhé</t>
  </si>
  <si>
    <t>2000001127 - ĐÔNG Á - 900T 
2000001104 - ĐÔNG Á - 1600T
2000001128 - ĐÔNG Á - 7400T
2000001134 - Seah 1000mt 
2000001116 - SAKAI - 100T 
2000001117 - NGUYỄN MINH - 1000T 
2000001049 - Tiến Lên - 100MT (19/7 duyệt)
2000001101 - Mitsui (TLH) - 1900MT (18/7 duyệt)
2000001087 - TOÀN THẮNG - 100T (XUẤT HÀNG 3.10 - LÊN SAU CÙNG ĐỂ DỠ TRƯỚC) - sản xuất 3.10 đi Được ơi
2200001082 - OTBD (cân tải) ~ 6200mt (xuất cuộn KL lớn lên tàu này, đặc biệt cuộn &gt;23,7mt)</t>
  </si>
  <si>
    <r>
      <rPr>
        <b/>
        <sz val="14"/>
        <color rgb="FFFF0000"/>
        <rFont val="Times New Roman"/>
        <family val="1"/>
      </rPr>
      <t xml:space="preserve">Cam kết load rate nên mn chú ý =&gt;điền lệnh sớm để kiểm tra hàng hóa ntn mọi người ơi
CẢNG VỤ SẼ KIỂM TRA RẤT KỸ PHẦN LASHING, MỌI NGƯỜI ĐẶC BIỆT CHÚ Ý Ạ
</t>
    </r>
    <r>
      <rPr>
        <b/>
        <sz val="14"/>
        <color rgb="FF0070C0"/>
        <rFont val="Times New Roman"/>
        <family val="1"/>
      </rPr>
      <t>HÀNG CỦA MITSUI CHO XẾP CUỐI CÙNG VÀ RA CHỈ 1 HOÁ ĐƠN CÙNG NGÀY VỚI NGÀY CHỐT TÀU</t>
    </r>
  </si>
  <si>
    <t>2000001059 - TSUSHO 1000MT 44coils ko xuất vượt tổng KL
2200001082 - OTBD (cân tải) (XUẤT cuộn &lt;23,7mt, ƯU TIÊN XUẤT CUỘN TỪ LỚN ĐẾN BÉ)</t>
  </si>
  <si>
    <t>2000001143 - Khôi Nguyên 525MT
2000001144 - Khôi Nguyên 550MT
2000001145 - Khôi Nguyên 525MT
2000001054 - Khôi Nguyên 500MT
2000001119 - NAM PHÁT - 1800T
2200001050 - OTHY 816T
2200001089 - OTHY 228T
2200001090 - NMCN 4060T
2200001092 - OTHY cân tải</t>
  </si>
  <si>
    <t>Trung Nguyên 18</t>
  </si>
  <si>
    <t>23/07/2022</t>
  </si>
  <si>
    <t>700MT lệnh 2000001061 (đã xuất cho tàu Thái Anh 06)
2000001142 - Posco cân tải (sáng nay duyệt)</t>
  </si>
  <si>
    <t>24/07/2022</t>
  </si>
  <si>
    <t>2400000009 - GS 1229 MT
2400000012 - GS 169MT
2400000011 - GS 2048MT
2000001063 - SMC 750MT
2000001091 - TLPM CÂN TẢI - chỉ đi hàng 1262 (25/7 duyệt lệnh)</t>
  </si>
  <si>
    <t>Tàu làm xong chưa giao chứng từ, chờ thông tin từ PKD ạ.</t>
  </si>
  <si>
    <t>10h00 - 27/07
Bến 3</t>
  </si>
  <si>
    <t>2200001098 - Tôn HP 4018MT
2200001092 - OTHY 136MT
2200001093 - OTHY Cân tải 3159MT</t>
  </si>
  <si>
    <t>23.745 tấn/1 cuộn</t>
  </si>
  <si>
    <t>Vinaship Gold</t>
  </si>
  <si>
    <t>30.07.22</t>
  </si>
  <si>
    <t>2000001153 - HÙNG NGUYÊN 750T  - hôm nay duyệt lệnh
2200001093 - OTHY 3721
2000001140 - Phú Nam 1000MT - đi 44 cuộn, bỏ lại 1 cuộn 7.8
2200001094 - NMCN 7600mt -CÂN TẢI</t>
  </si>
  <si>
    <t>28.07.22</t>
  </si>
  <si>
    <t xml:space="preserve">2000001062 - JFE SHOJI - 6260t - không xuất vượt lệnh, cố gắng theo lượng trên lệnh 
2200001096 - OTBD  cân tải (đi hết các cuộn to trước) </t>
  </si>
  <si>
    <t>max 25000</t>
  </si>
  <si>
    <t>Việt Thuận 235</t>
  </si>
  <si>
    <t>31.07.22</t>
  </si>
  <si>
    <t>2200001082 - OTBD 4451T
2200001091 - OTBD 5230T
2000001166 - metal one - không vượt lệnh
2000001167 - metal one - không vượt lệnh
2000001165 - metal one - không vượt lệnh
2200001096 - OTBD  cân tải (đi hết các cuộn to trước)</t>
  </si>
  <si>
    <t>MAX 29 TẤN/COIL
Đang làm lại sổ để điều chỉnh khối lượng</t>
  </si>
  <si>
    <t>02.08.22</t>
  </si>
  <si>
    <t>2200001099-THP đi trước hàng 1230</t>
  </si>
  <si>
    <t>Minh Trường 18</t>
  </si>
  <si>
    <t>03.08.22</t>
  </si>
  <si>
    <t>không xuất vượt lệnh</t>
  </si>
  <si>
    <t>02.08.2022</t>
  </si>
  <si>
    <t>Tân thuận</t>
  </si>
  <si>
    <t>2000001088 - vinas
2000001089 - nam phát</t>
  </si>
  <si>
    <t>xuất lô hạ bãi tân thuận</t>
  </si>
  <si>
    <t>TÁCH FILE THÁNG 8 RA MN ƠI</t>
  </si>
  <si>
    <t>Phúc Tiến 1000MT</t>
  </si>
  <si>
    <t>2000001094 - QH PLUS (500T) 22 coils
2000001082 - QUANG MƯỜI 1KT 42 coils</t>
  </si>
  <si>
    <t>Tấm Lá 2500MT
CSVC 234 mt
SMCCK 5000mt</t>
  </si>
  <si>
    <t>Bao giờ e giao đc 2 đơn này thế Lan Anh?
1 tuần nữa ạ</t>
  </si>
  <si>
    <t>CẬP NHẬT TÌNH HÌNH XUẤT HÀNG HRC THÁNG 09/2022</t>
  </si>
  <si>
    <t>Dự Kiến 13h00 ngày 05/09 
Bến 5</t>
  </si>
  <si>
    <t>2000001227 - ĐÔNG Á - 200t
2000001253 - ĐÔNG Á - 500T
2000001258 - ĐÔNG Á - 2500T
2000001259 - KỲ ĐỒNG - 1200T
2000001225 - KỲ ĐỒNG - 2300 (xem ghi chú)</t>
  </si>
  <si>
    <r>
      <rPr>
        <sz val="14"/>
        <color rgb="FF000000"/>
        <rFont val="Times New Roman"/>
        <family val="1"/>
      </rPr>
      <t xml:space="preserve">Lệnh 2*1225 lên như sau: 
2.8-700t / 5.7 - 150t
3.7-200t / 7.7 - 100t
4.7-150t /  9.7-500t / 11.7-500t
</t>
    </r>
    <r>
      <rPr>
        <sz val="14"/>
        <color rgb="FFFF0000"/>
        <rFont val="Times New Roman"/>
        <family val="1"/>
      </rPr>
      <t xml:space="preserve">LỆNH KỲ ĐỒNG CẦN DÁN TEM PHỤ (BẮT BUỘC)
</t>
    </r>
    <r>
      <rPr>
        <sz val="14"/>
        <color rgb="FF000000"/>
        <rFont val="Times New Roman"/>
        <family val="1"/>
      </rPr>
      <t xml:space="preserve">
</t>
    </r>
  </si>
  <si>
    <t>18h30 ngày 06/09
Bến 6</t>
  </si>
  <si>
    <t>2000001229 - TOÀN HƯNG 1000MT
2200001111 - THP 9521T cân tải - lệnh hàng okay
2200001113 - THP 875T
2000001251 - TMN 5000T đi hết</t>
  </si>
  <si>
    <t>Làm kế hoạch đi mn ơi để lấy tàu về làm.</t>
  </si>
  <si>
    <t>17h00 ngày 07/09
Bến 5/10</t>
  </si>
  <si>
    <t>2000001225 - KỲ ĐỒNG - 2150
2000001279 - KỲ ĐỒNG - 1450T 
2000001235 - NAM KIM - 2000
2000001280 - KỲ ĐỒNG - 750T
2000001282 - QUANG MƯỜI - 1000T
2000001230 - Việt kim- 3000T</t>
  </si>
  <si>
    <t>10h00 ngày 11/09
Bến 06</t>
  </si>
  <si>
    <t>2000001299 - OTTP 1000MT
2000001300 - OTTP 1000MT
2000001252 - TCĐ 2840T
2000001294 - TMN 7030T
2200001114 - THP 550T - Hàng đang sản xuất tầm ngày 13/09 Nhập Kho cho lệnh làm sau nhé mn!
2200001120 - OTHY (tổng lệnh 9100T) cân tải 3880mt</t>
  </si>
  <si>
    <t>Viễn Đông 09</t>
  </si>
  <si>
    <t>14h00 ngày 12/09
Bến 06</t>
  </si>
  <si>
    <t>2200001122 - NMCN (tổng lệnh 10.900mt) cân tải 6250mt</t>
  </si>
  <si>
    <t>Hàng hóa / Lệnh okay</t>
  </si>
  <si>
    <t>11h00 ngày 13/09 
Bến 6</t>
  </si>
  <si>
    <t>2200001119 - NMCN</t>
  </si>
  <si>
    <t>07h30 ngày 13/09
Bến 05./10</t>
  </si>
  <si>
    <r>
      <t>2000001284 - Chu Lai 500mt</t>
    </r>
    <r>
      <rPr>
        <sz val="14"/>
        <color rgb="FFFF0000"/>
        <rFont val="Times New Roman"/>
        <family val="1"/>
      </rPr>
      <t xml:space="preserve"> (lên hàng trước, chốt số sớm) 
</t>
    </r>
    <r>
      <rPr>
        <sz val="14"/>
        <color rgb="FF000000"/>
        <rFont val="Times New Roman"/>
        <family val="1"/>
      </rPr>
      <t xml:space="preserve">2000001226 - KỲ ĐỒNG - 1790T
2000001279  -  KỲ ĐỒNG - 730T 
2000001292 - KỲ ĐỒNG - 200T
2000001302 - KỲ ĐỒNG - 360T
2000001271 - NGUYỄN MINH - 3000T duyệt rồi
</t>
    </r>
    <r>
      <rPr>
        <sz val="14"/>
        <color rgb="FFFF0000"/>
        <rFont val="Times New Roman"/>
        <family val="1"/>
      </rPr>
      <t xml:space="preserve">2000001245 - Sunsco 300mt </t>
    </r>
  </si>
  <si>
    <t>Lệnh Kỳ Đồng Dán nhãn phụ nha mn!</t>
  </si>
  <si>
    <t>Việt Thuận 189</t>
  </si>
  <si>
    <t>18h05 ngày 12/09 
Bến 3</t>
  </si>
  <si>
    <r>
      <t xml:space="preserve">2000001274 - Nhật Quang 1000mt - cuối ngày 12.09 duyệt 
2000001298 - Tấn Phát 1500mt - cuối ngày 12.09 duyệt 
2200001120 - OTHY 5220mt hết
2000001270 - HÙNG NGUYÊN 2500T
2000001269 - VINAS - 880T
2000001303 - Vinas - 45t 
2000001238 - NIPPON - 300T 
</t>
    </r>
    <r>
      <rPr>
        <sz val="14"/>
        <color rgb="FFFF0000"/>
        <rFont val="Times New Roman"/>
        <family val="1"/>
      </rPr>
      <t xml:space="preserve">2000001313 - PVX 860MT (chiều 14.09 duyệt)
</t>
    </r>
    <r>
      <rPr>
        <sz val="14"/>
        <color rgb="FF000000"/>
        <rFont val="Times New Roman"/>
        <family val="1"/>
      </rPr>
      <t>2200001122 - NMCN (tổng lệnh 10900) cân tải 1320mt</t>
    </r>
  </si>
  <si>
    <t xml:space="preserve">Lệnh 22*1122 NMCN chỉ còn 2470mt thôi
</t>
  </si>
  <si>
    <t>10h30 ngày 15/09 
Bến 5</t>
  </si>
  <si>
    <t>2000001208 - Citicom 400mt  (lên hàng trước, chốt số sớm)
2000001281 - TIẾN LÊN - 2000MT ko xuất vượt
2000001293 - ĐÔNG Á - 5000T
2000001308 - ĐÔNG Á - 2000T
2000001289 - Minh Phú Tân Thuận 3000mt bóc tem phụ - chiều duyệt
2000001288 - Minh Phú Tân Thuận 2000mt bóc tem phụ - chiều duyệt
2000001156 - QUANG MƯỜI - 1000T 
2200001118 - OTBD (ĐI HÀNG THEO GHI CHÚ)</t>
  </si>
  <si>
    <t>2200001118 - ĐI CÁC HÀNG: 3.80X1500, 3.90X1500, 4.90X1500, 5.00X1500, (2.45X1219- đi hết luôn)</t>
  </si>
  <si>
    <t>06h40 ngày 16/09
Bến 05/10</t>
  </si>
  <si>
    <r>
      <rPr>
        <sz val="14"/>
        <color rgb="FF000000"/>
        <rFont val="Times New Roman"/>
        <family val="1"/>
      </rPr>
      <t>2000001231 - TVD 2100MT
2000001232 - OTVD 1200MT
2000001307 - THACO 500MT
2000001301 - TMP 2500MT chiều duyệt
2000001322 - TMP 2500MT (có 1500mt SS400 đợi chiều 17.09 mới NK -</t>
    </r>
    <r>
      <rPr>
        <sz val="14"/>
        <color rgb="FFFF0000"/>
        <rFont val="Times New Roman"/>
        <family val="1"/>
      </rPr>
      <t xml:space="preserve"> hàng sản xuất ngày 15/09</t>
    </r>
    <r>
      <rPr>
        <sz val="14"/>
        <color rgb="FF000000"/>
        <rFont val="Times New Roman"/>
        <family val="1"/>
      </rPr>
      <t xml:space="preserve">), chiều duyệt
2200001108 - NMCN 150mt (cắt hết mapping đi)
2200001119 - NMCN 960MT (cắt hết mapping đi)
</t>
    </r>
    <r>
      <rPr>
        <sz val="14"/>
        <color rgb="FFFF0000"/>
        <rFont val="Times New Roman"/>
        <family val="1"/>
      </rPr>
      <t>2200001122 - NMCN (cân tải)</t>
    </r>
    <r>
      <rPr>
        <sz val="14"/>
        <color theme="1"/>
        <rFont val="Times New Roman"/>
        <family val="1"/>
      </rPr>
      <t xml:space="preserve"> 300mt</t>
    </r>
  </si>
  <si>
    <t>Diền đủ lệnh check hàng luôn mn</t>
  </si>
  <si>
    <t>09h45 ngày 18/09
Bến 5</t>
  </si>
  <si>
    <t>2000001319 - Citicom 3200mt 
2200001123 - OTHY 970MT
2000001306 - Tấn Phát 3200mt
2200001111 - THP 430MT
2200001122 - NMCN 3500mt xuất hết lệnh này đi ạ
2000001256 - TMN (Cân tải)</t>
  </si>
  <si>
    <t>Bổ sung lệnh đi mn. tàu gần làm xong mấy lệnh kia rồi</t>
  </si>
  <si>
    <t>18h00 21.09.22
Bến 05</t>
  </si>
  <si>
    <t>2000001324 - Tôn Đông Á
2000001328 - Tôn Đông Á
2000001325 - Tôn Đông Á - 1550t hàng 2.00x1214</t>
  </si>
  <si>
    <t>cần làm hàng nhanh để quay đầu đi phú mỹ
Duyệt xong hết lệnh rồi</t>
  </si>
  <si>
    <t>10h00 22.09.22
Bến 1</t>
  </si>
  <si>
    <t>2000001110 - SMCCK 3400MT
2000001346 - PVX T10 (PM) 800MT</t>
  </si>
  <si>
    <t>06h50 23.09.22
Bến 6</t>
  </si>
  <si>
    <r>
      <rPr>
        <sz val="14"/>
        <color rgb="FF000000"/>
        <rFont val="Times New Roman"/>
        <family val="1"/>
      </rPr>
      <t>2000001340 - TVP T7 625mt 
2000001341 - TVP T10 4900mt
2000001310 - Toàn Thắng 475mt (</t>
    </r>
    <r>
      <rPr>
        <sz val="14"/>
        <color rgb="FFFF0000"/>
        <rFont val="Times New Roman"/>
        <family val="1"/>
      </rPr>
      <t>bỏ lại 1 cục 2.80</t>
    </r>
    <r>
      <rPr>
        <sz val="14"/>
        <color rgb="FF000000"/>
        <rFont val="Times New Roman"/>
        <family val="1"/>
      </rPr>
      <t xml:space="preserve">) </t>
    </r>
  </si>
  <si>
    <r>
      <rPr>
        <sz val="14"/>
        <color rgb="FF000000"/>
        <rFont val="Times New Roman"/>
        <family val="1"/>
      </rPr>
      <t xml:space="preserve">2000001323 - Tôn Đông Á - đi hết
2000001336 - JFE - 3250t - </t>
    </r>
    <r>
      <rPr>
        <sz val="14"/>
        <color rgb="FFFF0000"/>
        <rFont val="Times New Roman"/>
        <family val="1"/>
      </rPr>
      <t xml:space="preserve"> đi đủ dung sai các mác
</t>
    </r>
    <r>
      <rPr>
        <sz val="14"/>
        <color rgb="FF000000"/>
        <rFont val="Times New Roman"/>
        <family val="1"/>
      </rPr>
      <t xml:space="preserve">2000001321 - VISA 2000MT, mỗi mã xuất ~ 2/3 lượng, </t>
    </r>
    <r>
      <rPr>
        <sz val="14"/>
        <color rgb="FFFF0000"/>
        <rFont val="Times New Roman"/>
        <family val="1"/>
      </rPr>
      <t>cắt lệnh chốt số trước giúp em ạ</t>
    </r>
  </si>
  <si>
    <t>VISA: 2.00x1250: 11cuộn
2.00x1230: 17cuộn
2.30x1230: 20cuộn
2.50x1230: 18cuộn
2.75x1260: 11cuộn
3.00x1200: 6cuộn
3.00x1250: 5cuộn</t>
  </si>
  <si>
    <t xml:space="preserve"> Việt Thuận 215-06</t>
  </si>
  <si>
    <t>14h45 ngày 24/09
Bến 06</t>
  </si>
  <si>
    <t>2200001129 - NMCN 2160T
2200001132 - THP 1400T
2200001133 - THP 1600T
2000001256 - TMN 3870T
2000001342 - Minh Phú 2000mt - ưu tiên đi trước
2000001343 - Minh Phú 2000mt - ưu tiên đi trước
2200001128 - OTHY cân tải 3000mt</t>
  </si>
  <si>
    <t>08h00 ngày 29/09 
Bến 05</t>
  </si>
  <si>
    <t>2000001327 - Nam Phát  
2000001315 - Nam Phát 
2000001229 -Toàn Hưng 1976MT cấp hết lệnh này trc giúp e</t>
  </si>
  <si>
    <t>Gấp - làm hàng nhanh nhất có thể</t>
  </si>
  <si>
    <t>CHUYỂN SANG SHEET THÁNG 10 / Okay ạ</t>
  </si>
  <si>
    <r>
      <rPr>
        <sz val="14"/>
        <color rgb="FF000000"/>
        <rFont val="Times New Roman"/>
        <family val="1"/>
      </rPr>
      <t xml:space="preserve">2000001171 - KKBV 2000MT (ko giao vượt lượng)
2000001355 - KKBV 1400MT - </t>
    </r>
    <r>
      <rPr>
        <sz val="14"/>
        <color rgb="FFFF0000"/>
        <rFont val="Times New Roman"/>
        <family val="1"/>
      </rPr>
      <t xml:space="preserve">Đang sản xuất chưa đủ
</t>
    </r>
    <r>
      <rPr>
        <sz val="14"/>
        <color rgb="FF000000"/>
        <rFont val="Times New Roman"/>
        <family val="1"/>
      </rPr>
      <t>2000001353 - OTTP 2000MT
2000001311 - Trường Thành 1000MT
2200001134 - OTHY 3300T
2200001146 - NMCN 7000T</t>
    </r>
  </si>
  <si>
    <t>2000001110 - SMCCK 2975MT gấp - phú mỹ
2000001277 - Tấm Lá 1000MT - phú mỹ (chiều nay/sáng mai duyệt)
2000001349 - Tấm Lá 1000MT - phú mỹ (chiều nay/sáng mai duyệt)
2000001347 - QH PLUS - 3000t - tân thuận 
2000001321 - VISA - 1000T - tân thuận
2200001118 - OTBD 650MT (cấp hết lệnh hàng cũ mác SPAH) - tân thuận
2200001140 - OTBD Cân tải - tân thuận</t>
  </si>
  <si>
    <t>1.10.22</t>
  </si>
  <si>
    <t>2200001139 - THP cân tải (tháng 10 mới đc cắt hàng) đi hàng 2.45 =&gt; 2.00x1212
2000001255 - TCĐ 3000 MT</t>
  </si>
  <si>
    <t>16h00 30.09.22</t>
  </si>
  <si>
    <t>Khả năng 01/10 mới có bến</t>
  </si>
  <si>
    <t>2000001354 - MINH PHÚ 1200mt
2000001243 - TVD 3000MT (03.10 duyệt)
2000001244 - OTVD 2500MT (03.10 duyệt)
2000001356 - Nhật Quang 1000MT đang sx, 3/10 duyệt lệnh
2200001139 - THP cân tải</t>
  </si>
  <si>
    <t>02.10.22</t>
  </si>
  <si>
    <t>HRC</t>
  </si>
  <si>
    <t>SEAH - 2500MT sau 10/10</t>
  </si>
  <si>
    <t>2000001309 - NIPPON 300T</t>
  </si>
  <si>
    <t xml:space="preserve">
2000001338 - vinaone - Duyệt Lệnh
2000001339 - vinaone - Duyệt Lệnh</t>
  </si>
  <si>
    <t>Sunsco 300mt - giữa tháng 10 lấy hàng</t>
  </si>
  <si>
    <t>SMCCK 3000MT (ngày 30/08 thanh toán)</t>
  </si>
  <si>
    <t>CẬP NHẬT TÌNH HÌNH XUẤT HÀNG HRC THÁNG 04/2022</t>
  </si>
  <si>
    <t>ĐÃ CHỐT LỆNH ĐẾN VINACOMIN</t>
  </si>
  <si>
    <t>17h00 ngày 30/04 - Bến 2</t>
  </si>
  <si>
    <t>2200001043 - OTHY 1150MT</t>
  </si>
  <si>
    <t>11h00 ngày 01/05 - Bến 2</t>
  </si>
  <si>
    <t>2200001044 - NMCN 2300MT
2200001043 - OTHY 600MT</t>
  </si>
  <si>
    <t>LỆNH + HÀNG OK</t>
  </si>
  <si>
    <t>Gia Lĩnh 68</t>
  </si>
  <si>
    <t>8h15 ngày 02/05 - Bến 2</t>
  </si>
  <si>
    <t>2000000847 - TÂY NAM (XUẤT ÂM)
2000000937 - TÂY NAM 
2000000936 - TÂY NAM (CÂN TẢI)</t>
  </si>
  <si>
    <t>Công Thành 189</t>
  </si>
  <si>
    <t>9h30 ngày 04/05 - Bến 2</t>
  </si>
  <si>
    <t>đoạn xá</t>
  </si>
  <si>
    <t>2200001017 - OTHY CÂN TẢI 4520</t>
  </si>
  <si>
    <t>cứ cho vào làm luôn nhé</t>
  </si>
  <si>
    <t>Minh Tiến 88</t>
  </si>
  <si>
    <t>21h30 ngày 04/05 - Bến 1</t>
  </si>
  <si>
    <t>2200001037 - NMCN 140MT
2200001009 - THP 380MT
2200001010 - THP 1600MT
2200001043 - OTHY cân tải 1430 mt</t>
  </si>
  <si>
    <t>21h40 ngày 05/05 cập cầu 2 làm hàng</t>
  </si>
  <si>
    <t>2200001010 - THP 1600MT
2200001011 - OTHY 360T
2000000894 - VINAS 1000MT
2200001043 - OTHY cân tải</t>
  </si>
  <si>
    <t>23h00 ngày 05/05 - Bến 1</t>
  </si>
  <si>
    <t>2000000957 - Indeco 350 MT - chiều 5/5 duyệt lệnh
2000000944 - TVP 2000MT 
2200001040 - OTHY 570MT (đi cẩm nguyên) cân tải</t>
  </si>
  <si>
    <t>Hải An 68</t>
  </si>
  <si>
    <t>15h00 ngày 06/05 - Bến 1</t>
  </si>
  <si>
    <t>LONG BÌNH/ ĐỒNG NAI</t>
  </si>
  <si>
    <t>2200001042 - OTBD 4500MT</t>
  </si>
  <si>
    <t>VINACOMIN HÀ NỘI</t>
  </si>
  <si>
    <t>8h00-07.05-B5</t>
  </si>
  <si>
    <t>TÂN THUẬN</t>
  </si>
  <si>
    <t>2000000933 - ĐÔNG Á - 730
2000000941 - ĐÔNG Á - 1900
2000000922 - JFE - 1390
2000000925 - ĐÔNG Á - 1500
2000000912 - QUANG MƯỜI (2000T - CÂN TẢI)</t>
  </si>
  <si>
    <t>16h50 ngày 07/05 - Bến 1</t>
  </si>
  <si>
    <t>2200001040 - 2700T
2000000963- TOÀN THẮNG - 750 TẤN</t>
  </si>
  <si>
    <t>Minh Hằng 882</t>
  </si>
  <si>
    <t>12h00 - ngày 07/05 - Bến 1</t>
  </si>
  <si>
    <t>TÂN CẢNG</t>
  </si>
  <si>
    <t>2200001039 - OTHY 300MT
2000000873 - PHÚ NAM 950MT
2000000955 - PHÚC TIẾN 1000MT
2200001017 - OTHY 2000mt - hết
2200001043 - OTHY 400mt cân tải</t>
  </si>
  <si>
    <t>15h50-08.05-B3</t>
  </si>
  <si>
    <t>2000000958 - Minh Ngọc CÂN TẢI</t>
  </si>
  <si>
    <t>Hải Thịnh 16</t>
  </si>
  <si>
    <t>12h15 ngày 09/05 - Bến 1</t>
  </si>
  <si>
    <t>2200001043 - OTHY cân tải
2000000961 - THIÊN TRƯỜNG - 1000mt</t>
  </si>
  <si>
    <t>23h30-09.05-B1</t>
  </si>
  <si>
    <t xml:space="preserve">2000000975 - MARU (NAM PHÁT) - 4000MT </t>
  </si>
  <si>
    <t>Minh Đoàn 18</t>
  </si>
  <si>
    <t>18h00-09.05-B6</t>
  </si>
  <si>
    <t>2200001054 - OTBD CÂN TẢI</t>
  </si>
  <si>
    <t>(tối nay vào làm hàng đc luôn)</t>
  </si>
  <si>
    <t>Hải An 18</t>
  </si>
  <si>
    <t>11h30-09.05-B3</t>
  </si>
  <si>
    <t>2200001042 - OTBD (hết)</t>
  </si>
  <si>
    <t>Hàng hầu hết nằm Ngoài bãi. Có bến nào chạy xe trống thì đẩy vô làm luôn Tiến ơi</t>
  </si>
  <si>
    <t>MINH QUANG</t>
  </si>
  <si>
    <t>20h30-10.05-B1</t>
  </si>
  <si>
    <t>2000000970 - TCĐ 700T
2000000967 - IPC 1000MT - ngày 09/5 duyệt
2000000953 - NHẬT QUANG 1000MT
2200001043 - OTHY 1375MT đi hết
2200001052 - NMCN 1425T cân tải</t>
  </si>
  <si>
    <t>04h40-11.05-B2</t>
  </si>
  <si>
    <t>2200001010 - THP 250T
2200001051 - OTHY 1200T
2200001052 - NMCN hết
2200001055 - OTHY 1400mt</t>
  </si>
  <si>
    <t>14h-11.05-B1</t>
  </si>
  <si>
    <t>2200001055 - OTHY 2400mt (cắt hết)
2200001056 - NMCN 3100mt</t>
  </si>
  <si>
    <t>Thái Sơn 16</t>
  </si>
  <si>
    <t>02h-13.05-B2</t>
  </si>
  <si>
    <t>Hoàng Diệu</t>
  </si>
  <si>
    <t xml:space="preserve">2000000945 - TVĐ </t>
  </si>
  <si>
    <t>14h30-13.05-B2</t>
  </si>
  <si>
    <t>2000000912 - QUANG MƯỜI (800T)
2000000950 - SMCTT 1100MT 
2000000943 - TTK 600MT
2000000962 - TÂY NAM STEEL (1000T)
2000000965 - QH PLUS - 1000T CÂN TẢI</t>
  </si>
  <si>
    <t>Mạnh Dũng 79</t>
  </si>
  <si>
    <t>20h00 - bến 3</t>
  </si>
  <si>
    <t>2200001054 - OTBD - 765MT
2200001059 - OTBD - 2235 MT</t>
  </si>
  <si>
    <t xml:space="preserve">có thể làm hàng
</t>
  </si>
  <si>
    <t>02h30-14/05 - Bến 1</t>
  </si>
  <si>
    <t xml:space="preserve">2000000971 - NAM KIM </t>
  </si>
  <si>
    <t>hàng đã đủ, 
Hàng nóng nhất sx ca 2 ngày 11/5</t>
  </si>
  <si>
    <t>Tú Cường 368</t>
  </si>
  <si>
    <t>Bến 2 -14/05</t>
  </si>
  <si>
    <t>2000000946 - OTVĐ 2500MT
2000000958 - TMN 3750MT (cân tải)</t>
  </si>
  <si>
    <t>tình hình hàng nóng
Minh Ngọc: 1500mt hàng sx ca 2 ngày 11/5
Minh Ngọc: 800mt hàng sx ca 1 ngày 12/5</t>
  </si>
  <si>
    <t>Triệu Phú 56</t>
  </si>
  <si>
    <t>Bến 1 - 14/05</t>
  </si>
  <si>
    <t xml:space="preserve">2000000965 - QH PLUS - 900T
2000000956 - Metal One (Tiến Lên) 1900MT </t>
  </si>
  <si>
    <t>QH nguội
Metal One: 300MT hàng nóng nhất sx ca 2 ngày 12/5</t>
  </si>
  <si>
    <t>2000000980 - Đông Á - 200T
2000000942 - ĐÔNG Á - 3079MT (nguội)
2000000978 - TTK 400MT - nguội</t>
  </si>
  <si>
    <t xml:space="preserve">15.05 ĐỦ HÀNG =&gt; có thể cho vào làm trc đợi 200mt cũng đc nhé Tiến
chỉ có 200mt hàng nóng thôi =&gt; 15.05 cứ cho làm nhé, sáng 16 là nhập kho đủ </t>
  </si>
  <si>
    <t>2000000960 - HÙNG NGUYÊN 1500MT
2000000958 - TMN 3750MT (cân tải) 3500mt</t>
  </si>
  <si>
    <t>2000000977 - Việt Thành 3000mt - ngày 12/5 duyệt lệnh</t>
  </si>
  <si>
    <t xml:space="preserve">Đủ hàng, cần làm xong gấp! </t>
  </si>
  <si>
    <t>2000000983 - Metal One 2470MT - ngày 13/5 duyệt
2000000903 - NIPPON 315MT</t>
  </si>
  <si>
    <t>Metal One sx ngày 13-14/5
Có 1000mt hàng nguội</t>
  </si>
  <si>
    <t>Minh Quang 05</t>
  </si>
  <si>
    <t>2000000947 - OTH190 3000MT - ngày 16/5 duyệt lệnh
2000000976 - Minh Phú 3000mt 
2200001060 - THP 1150MT - ngày 16/5 duyệt</t>
  </si>
  <si>
    <t>Hàng nguội
Tàu này làm KH trưa ngày 16/5 vào làm hàng đc nhé</t>
  </si>
  <si>
    <t>Á Đông 28</t>
  </si>
  <si>
    <t>2200001060 - THP 1050MT
2200001061 - THP 146MT
2200001045 - OTHY 500T
2200001056 - NMCN 250T</t>
  </si>
  <si>
    <t>Có thể cho tàu này vào làm hàng</t>
  </si>
  <si>
    <t>10h50 ngày 21-05
Bến 1</t>
  </si>
  <si>
    <t xml:space="preserve">200000952-Citicom 500mt 20.5 duyệt                                                                                                                                                                                                             
200000968-THACO 500 MT 20.5 duyệt
220001060-THP (cân tải) ưu tiên cấp hàng 1270 và 3.95x1262
</t>
  </si>
  <si>
    <t xml:space="preserve">Hàng hóa đủ. 
</t>
  </si>
  <si>
    <t>18h30 ngày 21-05 
Bến 1</t>
  </si>
  <si>
    <t xml:space="preserve">2000000936 - TÂY NAM 
2000000939 - VINAONE 
2000000991 - TÂY NAM </t>
  </si>
  <si>
    <t>GIAO ĐỦ DUNG SAI CÁC LỆNH, CÁC MÁC</t>
  </si>
  <si>
    <t>Hoàng Bảo 68</t>
  </si>
  <si>
    <t>20h30 ngày 22-05 
Bến 1</t>
  </si>
  <si>
    <t>2200001060 - THP (cân tải)</t>
  </si>
  <si>
    <t>Hàng hóa ok</t>
  </si>
  <si>
    <t>Sinh Đôi 102</t>
  </si>
  <si>
    <t>00h10 ngày 23-05
Bến 2</t>
  </si>
  <si>
    <t>Đi chung lệnh nên chiều nay NK đủ 
Hàng ngày 20/05 trở về trước</t>
  </si>
  <si>
    <t>12h15 ngày 23/05 
Bến 1</t>
  </si>
  <si>
    <t>2000000997 - HSNH 1875 MT
2000000998 - HSNH 1726 MT</t>
  </si>
  <si>
    <t>20*997 xuất hết các hàng 1260 rồi mới đến 1212</t>
  </si>
  <si>
    <t>Mai Linh 36</t>
  </si>
  <si>
    <t>08h50 ngày 24/05 
Bến 2</t>
  </si>
  <si>
    <t>2000000949 - NAM HƯNG - 1200mt
2000000973 - SMC 600MT
2000000981 - TLPM 1800MT không xuất vượt</t>
  </si>
  <si>
    <t>LÊN HÀNG XONG CHƯA GIAO CHỨNG TỪ CHO TÀU, ĐỢI THÔNG BÁO TỪ PKD</t>
  </si>
  <si>
    <t>Trường Giang 86</t>
  </si>
  <si>
    <t>02h15 ngày 25/05
Bến 1</t>
  </si>
  <si>
    <t>2000000995 - KỲ ĐỒNG
2000000974 - CTC 470mt</t>
  </si>
  <si>
    <t>2*995 chiều nay NK tầm 250T là đủ
Lệnh ok rồi tàu tới cho vô làm liền đi</t>
  </si>
  <si>
    <t>20h20 ngày 25/05
Bến 1</t>
  </si>
  <si>
    <t>2000000984 - TVP 2830MT
2000001005 - MITSUI (Toàn Thắng) 720mt - chỉ ra 1 hóa đơn</t>
  </si>
  <si>
    <t>THÁI HÀ 18</t>
  </si>
  <si>
    <t>Bến 3 Fishing qua bến 1 thế lot Minh Khánh 86</t>
  </si>
  <si>
    <t>2000001004 - VINAS 500t
2000001009 - TPHN 1000mt (hàng nguội)
2000001000 - VINAS 1500MT</t>
  </si>
  <si>
    <t>Hoàng Lương 03</t>
  </si>
  <si>
    <t>04h10 ngày 27/05 
Bến 1</t>
  </si>
  <si>
    <t>2200001063 - OTHY</t>
  </si>
  <si>
    <t>Hàng hóa ok đẩy vô làm đi</t>
  </si>
  <si>
    <t>18h00 ngày 27/05 
Bến 2</t>
  </si>
  <si>
    <t>2200001063 - OTHY 460T
2000001011 - PVX 1400MT</t>
  </si>
  <si>
    <t>Vinacomin Hà Nội</t>
  </si>
  <si>
    <t>17h00 ngày 26/05 
Cảng HH</t>
  </si>
  <si>
    <t>2000001010 - Quang Mười 1000mt - HẢI ANH
2000000985 - Toyota Tsusho 1000m - BÍCH
2200001049 - OTHY 1624T xuất hết mapping - HUY
2000000979 - Tôn Đông Á - cân tải 4100mt - HẢI ANH</t>
  </si>
  <si>
    <t>Mạnh Thắng 28</t>
  </si>
  <si>
    <t>11h30 ngày 28/05 Bến 1</t>
  </si>
  <si>
    <t>2200001059 - OTBD 2730MT (đi hết map)
2200001046 - OTBD 1315MT (đi hết map)
2200001066 - OTBD 330mt (cân tải)</t>
  </si>
  <si>
    <t>Mạnh Thắng 36</t>
  </si>
  <si>
    <t>0h30 Ngày 29/05
Bến 2</t>
  </si>
  <si>
    <t>2000001001 - VINAONE
2000000991 - TÂY NAM (2.00x1232)
2000000988 - METAL ONE (2.30x1264)</t>
  </si>
  <si>
    <t>NGÀY 27/5 ĐỦ HÀNG, CÓ THỂ CHO VÔ TRƯỚC
Lệnh 2*991 thấy đã sản xuất chiều 28/05 NK đủ</t>
  </si>
  <si>
    <t>Minh Khánh 28</t>
  </si>
  <si>
    <t>13h45 ngày 29/05 
Bến 1</t>
  </si>
  <si>
    <t>2000000996 - ĐÔNG Á - NGÀY 30/5 DUYỆT LỆNH</t>
  </si>
  <si>
    <t>cho tàu vào làm trc
nhưng ko ra hóa đơn, đợi thông báo của PKD</t>
  </si>
  <si>
    <t>05h00 ngày 30/05
Bến 1</t>
  </si>
  <si>
    <t>2200001045 - OTHY 850MT
2200001060 - THP cân tải (2650mt) ưu tiên 2.25, 2.30 x1232</t>
  </si>
  <si>
    <t>22h00 ngày 30/05
Bến 1</t>
  </si>
  <si>
    <t xml:space="preserve">2000000972 - LÊ PHAN GIA 
2000000999- QH (1000T) </t>
  </si>
  <si>
    <t>ƯU TIÊN NHÉ 
Hàng hóa + Lệnh ok đẩy vô làm thôi</t>
  </si>
  <si>
    <t>22.05.22</t>
  </si>
  <si>
    <t>PCN báo tối ngày 24/05 mới NK được</t>
  </si>
  <si>
    <t>S95</t>
  </si>
  <si>
    <t>17-18.05.22</t>
  </si>
  <si>
    <t>tàu này chuyển sang lấy S95</t>
  </si>
  <si>
    <t>20.05.22</t>
  </si>
  <si>
    <t>Trường An 08</t>
  </si>
  <si>
    <t>sự cố</t>
  </si>
  <si>
    <t>LASHING</t>
  </si>
  <si>
    <t>2200000962 - OTHY 1000T Dán màu xanh
2200000963 - OTHY 370T Dán màu đỏ
2200000965 - OTHY 900T Dán màu vàng
2200000966 - OTHY 1400T bỏ lại những cuộn gửi trên nhóm
2200001001 - OTBD cân tải</t>
  </si>
  <si>
    <t>CHÚ Ý LỆNH 966 KHÔNG XUẤT 4 CUỘN TRÊN NHÓM THÔNG TIN NHANH</t>
  </si>
  <si>
    <t>04.04.22</t>
  </si>
  <si>
    <t>HÀNG CỦA OTHP  + CÁN NGUỘI</t>
  </si>
  <si>
    <t>B3</t>
  </si>
  <si>
    <t>2000000871 - VNO (960T) 
2000000876 - VNO (1000t)
2000000864 - MOV (980T)
2000000848 - TN - (940T)
2000000847 - TN (CÂN TẢI HÀNG 1212)</t>
  </si>
  <si>
    <t>ITASCO 35</t>
  </si>
  <si>
    <t>11h20-05.04-B5</t>
  </si>
  <si>
    <t>2000000779 - HOA SEN (2500mt)
2000000878 - HOA SEN T4 (550mt)</t>
  </si>
  <si>
    <t>Phúc Tình 26</t>
  </si>
  <si>
    <t>17h-05.04-B2</t>
  </si>
  <si>
    <t>2000000851 - VNO (1850T) --&gt; LỆNH CHƯA DUYỆT
2000000875 - MOV (480T) 
2000000852 - VNO (950T) --&gt; LỆNH CHƯA DUYỆT</t>
  </si>
  <si>
    <t xml:space="preserve">THỨ 3 DUYỆT
LÊN ĐỦ DUNG SAI </t>
  </si>
  <si>
    <t>18h-05.03-B3</t>
  </si>
  <si>
    <t>2200000982 - THP chỉ xuất hàng 2.25, 2.45x1212</t>
  </si>
  <si>
    <t>10h40-05.04-B5</t>
  </si>
  <si>
    <t>2200001000 - NMCN 2300T
2200001002 - NMCN cân tải</t>
  </si>
  <si>
    <t>Nam báo KH sáng mai 8h30 vào làm nhé mn</t>
  </si>
  <si>
    <t>Gia Bảo 36</t>
  </si>
  <si>
    <t>18h-06.04-B5</t>
  </si>
  <si>
    <t>2000000869 - TMN 1400T
2000000879 - TMN cân tải</t>
  </si>
  <si>
    <t>Minh Quang</t>
  </si>
  <si>
    <t>17h-07.04-B5</t>
  </si>
  <si>
    <t>2000000868 - TCĐ 4732 MT
2000000881 - THIÊN TRƯỜNG (600T hết map)
2200000994 - OTHY 300mt (cân tải)</t>
  </si>
  <si>
    <t>07.04.22</t>
  </si>
  <si>
    <t>2200000992 - OTBD 110T
2200001001 - OTBD 360T
2200001004 - OTBD cân tải</t>
  </si>
  <si>
    <t>10h-08.04-B5</t>
  </si>
  <si>
    <t>2000000883 - CTC 2550MT
2200000958 - OTHY 1000T</t>
  </si>
  <si>
    <t>Phương Nam 145</t>
  </si>
  <si>
    <t>14h-08.04-B5</t>
  </si>
  <si>
    <t>2200000982 - THP 2700MT 
2200001002 - NMCN 900T
2000000873 - Phú Nam 1050MT HÀNG 7.8 &amp; 9.8</t>
  </si>
  <si>
    <t>17h-08.04-B5</t>
  </si>
  <si>
    <t>2200000982 - THP 5000
2000000816 - Phúc Tiến 500mt</t>
  </si>
  <si>
    <t>Khánh Linh 666</t>
  </si>
  <si>
    <t>20h-09.04-B1</t>
  </si>
  <si>
    <t>2000000877 - TSUSHO (950)
2000000862 - TÔN ĐÔNG Á (2850)
2000000892 - TÔN ĐÔNG Á (1000T)</t>
  </si>
  <si>
    <t>TRƯỜNG AN 19</t>
  </si>
  <si>
    <t>15h-09.4-B3</t>
  </si>
  <si>
    <t>2000000781 - HOA SEN 2950 MT
2000000795 - TLPM (1750MT)</t>
  </si>
  <si>
    <t>Đức Việt 568</t>
  </si>
  <si>
    <t>5h-10.04-B3</t>
  </si>
  <si>
    <t>2200001007 - NMCN 2200T
2200001020 - NMCN 1200T Cân tải</t>
  </si>
  <si>
    <t>6h30-11.04-B2</t>
  </si>
  <si>
    <t>2200001020 - NMCN 1000T
2200001023 - OTHY 1300T
2200001024 - OTHY cân tải</t>
  </si>
  <si>
    <t>VIPMACO</t>
  </si>
  <si>
    <t>6h30-11.04-B5</t>
  </si>
  <si>
    <t>2000000880 - TMP 2000T
2200000982 - THP cân tải</t>
  </si>
  <si>
    <t>Phương Nam 45</t>
  </si>
  <si>
    <t>12h30-11.04-B3</t>
  </si>
  <si>
    <t>2000000886 - Việt Nhật 1400mt - 
2000000887 - Metal One 1100mt - LỆNH CHƯA DUYỆT
2200000982 - THP 1800MT (CÂN TẢI)</t>
  </si>
  <si>
    <t>11h30-12.04-B3</t>
  </si>
  <si>
    <t>2000000893 - TIẾN LỢI (500T) 
2000000900 - NAM PHÁT (1080T) - 12/4 16h duyệt lệnh
2200000990 - THP 250MT
2200000982 - THP 950MT (cân tải)</t>
  </si>
  <si>
    <t>17h30-12.04-B2</t>
  </si>
  <si>
    <t>2000000891 - ĐÔNG Á</t>
  </si>
  <si>
    <t>Hà Dương 06</t>
  </si>
  <si>
    <t>2h30-12.04-B2</t>
  </si>
  <si>
    <t>2000000896 - TOÀN THẮNG - 700T
2000000842 - NAM HƯNG - 1650T</t>
  </si>
  <si>
    <t>ƯU TIÊN VÀO LÀM TRƯỚC KHÔNG HẾT HẠN LC</t>
  </si>
  <si>
    <t>B1</t>
  </si>
  <si>
    <t>2000000883 - CTC 1000MT
2000000881 - THIÊN TRƯỜNG (400t)
2200001007 - NMCN 2250MT (cân tải)</t>
  </si>
  <si>
    <t>B5</t>
  </si>
  <si>
    <t>2000000867 - Indeco 950MT
2000000895 - MOV (TOÀN THẮNG) - 700T 
2000000885 - VIỆT THÀNH - 2900T - thứ 4 duyệt</t>
  </si>
  <si>
    <t>LÊN HÀNG XONG CHƯA GIAO CHỨNG TỪ CHO TÀU, ĐỢI CÓ THÔNG BÁO TỪ PKD MỚI GIAO</t>
  </si>
  <si>
    <t>Thuận Phong 18</t>
  </si>
  <si>
    <t>15h30-13.04-B3</t>
  </si>
  <si>
    <t>Đồng Nai</t>
  </si>
  <si>
    <t>2200001004 - OTBD 470T
2200001008 - OTBD 3070T
2200001019 - OTBD 2000T
2200000966 - OTHY 90T
2200001022 - OTBD cân tải</t>
  </si>
  <si>
    <t>15h30-15.04-B3</t>
  </si>
  <si>
    <t>2200000982 - THP 880T
2000000874 - Thép Hình 500MT
2200001026 - NMCN cân tải</t>
  </si>
  <si>
    <t>20h-16.04-B1</t>
  </si>
  <si>
    <t>2000000865 - NAM HƯNG  2000MT
2200001028 - OTBD 2.00 400T, 2.95 400T, 2.50 200T</t>
  </si>
  <si>
    <t>11h-16/04/2022</t>
  </si>
  <si>
    <t>mipec</t>
  </si>
  <si>
    <t>2200001012  - OTHY CÂN TẢI
2200001024 - OTHY 800T
2200001025 - OTHY 500T
2000000889 - Amecc 1000MT</t>
  </si>
  <si>
    <t>Hàng hóa + Lệnh ok đẩy vô làm thôi</t>
  </si>
  <si>
    <t>20h-17.04-B1</t>
  </si>
  <si>
    <t>2000000865 - NAM HƯNG - 3000 - ĐI ĐỦ DUNG SAI CÁC MÃ
2000000842 - NAM HƯNG - đi nốt hàng 2.00x1260 - CẦN CHỐT NGÀY 17/4 LUÔN Ạ 
2200001028 - OTBD 2.00 400T, 2.95 400T, 2.50 200T (170T, XEM CÒN HÀNG NÀY KHÔNG THÌ ĐI, KHÔNG THÌ LÀ HẾT HÀNG)</t>
  </si>
  <si>
    <t>Hàng hóa + Lệnh ok đẩy vô làm thôi
CẦN ĐẨY NHANH TÀU NÀY</t>
  </si>
  <si>
    <t xml:space="preserve"> Phú Thành</t>
  </si>
  <si>
    <t>6h-14.04-B5</t>
  </si>
  <si>
    <t>2000000905 - KỲ ĐỒNG (3000) - 13/4 duyệt
2000000909 - SMCTT 2400MT - ngày 15/4 duyệt
2000000882 - TÂY NAM STEEL (1000)
2000000897 - QH PLUS (2000) - 13/4 duyệt
2000000901 - Maru (Nam Phát) 3900mt - 12/4 duyệt
2000000884 - CTC 390mt
2000000906 - TTK 473MT
2000000907 - TTK 474MT
2000000866 - Metal One (TLH) 2000MT
2200001013 - OTHY đi Tân Thuận (huy)  1600mt
2200001015 - OTHY đi Tân Thuận (huy)  900mt</t>
  </si>
  <si>
    <t>HUY check kỹ 1013 +1015 nhé. 
1013+1015 sản xuất ngày 15-17/04/2022</t>
  </si>
  <si>
    <t>12h-18.04-B1</t>
  </si>
  <si>
    <t>2000000899 - LÊ PHAN GIA (2500) 
2200001022 - OTBD cân tải</t>
  </si>
  <si>
    <t>Tân Cảng 128</t>
  </si>
  <si>
    <t>2000000860 - Việt Đức 3000mt
2200001007 - NMCN cân tải</t>
  </si>
  <si>
    <t>21h30-18.04-B3</t>
  </si>
  <si>
    <t>2200000994 - OTHY 412T
2200001006 - OTHY 95T
2000000913 - NHẬT QUANG 1000MT
2200001007 - NMCN (cân tải)</t>
  </si>
  <si>
    <t>03h-19.04-B1</t>
  </si>
  <si>
    <t>2000000915 - PVX 980mt 
2000000916 - PVX 980mt
2000000870 - Phú Thái 200mt
2000000902 - NIPPON (250)
2000000894 - VINAS (970T)
2200001007 - NMCN 1350MT</t>
  </si>
  <si>
    <t>cố gắng cân hết hàng của lệnh 22*1007 =&gt; ko để dư.</t>
  </si>
  <si>
    <t>B2</t>
  </si>
  <si>
    <t>2200001032 - NMCN cân tải
2200001026 - NMCN 1030mt 
250mt THÉP CUỘN (liên hệ chị Nguyên)</t>
  </si>
  <si>
    <t>Phương Nam 126</t>
  </si>
  <si>
    <t>11h30-19.04-B5</t>
  </si>
  <si>
    <t>2000000914 - Tấn Phát 1000MT
2200001030 - OTHY 1400T
2200001031 - OTHY 2030T
2200001032 - NMCN 800mt</t>
  </si>
  <si>
    <t>Trường An 125</t>
  </si>
  <si>
    <t>12h-19.04-B3</t>
  </si>
  <si>
    <t>2000000861 - OTVĐ 3000MT
2200000998 - OTHY 1210T
2200001002 - NMCN 220MT
2200001032 - NMCN cân tải</t>
  </si>
  <si>
    <t xml:space="preserve">Phú Minh 99 </t>
  </si>
  <si>
    <t>16h30-20.04-B2</t>
  </si>
  <si>
    <t xml:space="preserve">2000000908 - SMCCK 2350MT
2000000910 - SMCCK 600MT </t>
  </si>
  <si>
    <t>Bến 2</t>
  </si>
  <si>
    <t>2200001012 - NMCN 941MT
2000000904 - Chính Đại 3280mt
250mt THÉP CUỘN (liên hệ chị Nguyên)
22*1010 - THP (cân tải)</t>
  </si>
  <si>
    <t>11h45-21.04-B3</t>
  </si>
  <si>
    <t>2000000910 - SMCCK 1200MT
2000000921 - JFE ĐÔNG Á (2000T) - 21/4 DUYỆT</t>
  </si>
  <si>
    <t>lệnh 2*921 đang thiếu 2K hàng đang sản xuất (SÁNG 21/04 NHẬP KHO ĐỦ)</t>
  </si>
  <si>
    <t>Bến 3 - 20h00 ngày 22/04</t>
  </si>
  <si>
    <t>2200001036 - OTHY 2900T
2200001038 - NMCN 1150T cân tải</t>
  </si>
  <si>
    <t>Hiền Anh 777</t>
  </si>
  <si>
    <t>2000000931 - LÊ PHAN GIA
2000000934 - LÊ PHAN GIA
2200001035 - OTBD cân tải ưu tiên đi 3.00x1250 và 2.15-2.5
2200001028 - OTBD</t>
  </si>
  <si>
    <t>Ưu tiên gì lệnh 22*1035 tồn có 2,032T mấy còn thiếu 65T mới đủ tải kìa - thế thì đi hết ạ</t>
  </si>
  <si>
    <t>PHÚC THÀNH 89</t>
  </si>
  <si>
    <t>2200001010 - THP xuất hàng 1212
2200001032 - NMCN 725 MT
2200001038 - NMCN 500T
2200001037 - NMCN 1800T</t>
  </si>
  <si>
    <t>Thanh Phong 28</t>
  </si>
  <si>
    <t>2000000927 - HOA SEN</t>
  </si>
  <si>
    <t>2000000923 - JFE ĐÔNG Á (1500T) 
2000000924 - TẤM LÁ (1350T) cân tải
2200001009 - THP (500T)</t>
  </si>
  <si>
    <t>Lệnh + hàng ok</t>
  </si>
  <si>
    <t>MINH ĐOÀN 18</t>
  </si>
  <si>
    <t>5h-27.04-B2</t>
  </si>
  <si>
    <t>2200001022 - OTBD 800T
2200001034 - OTBD cân tải</t>
  </si>
  <si>
    <t>19h30-26.04-B1</t>
  </si>
  <si>
    <t>2200001010 - THP</t>
  </si>
  <si>
    <t>OK</t>
  </si>
  <si>
    <t>11h00 - 25/04 Bến 3</t>
  </si>
  <si>
    <t xml:space="preserve">2200001014 - OTHY 1600T xuất âm 8% lượng còn lại đi tàu khác không gỡ mapping(dán tem màu)
2200001016 - OTHY 900T xuất âm 8% lượng còn lại đi tàu khác không gỡ mapping(dán tem màu)
2000000932 - TÔN ĐÔNG Á ĐI TÂN THUẬN
2000000930 - TÔN ĐÔNG Á ĐI TÂN THUẬN  </t>
  </si>
  <si>
    <t>LAN ANH THỨ 2 DUYỆT HỘ LỆNH ĐÔNG Á
Cần tầm 400T để đủ tải có lệnh cho lên luôn mn =&gt; HÔM NAY MAPPING THÊM - đã map thêm rồi</t>
  </si>
  <si>
    <t>12h-27.04-B2</t>
  </si>
  <si>
    <t>Đã đủ hàng</t>
  </si>
  <si>
    <t>14h-27.04-B1</t>
  </si>
  <si>
    <t>2000000924 &amp; 2000000929: TLPM - 2000 MT - chiều 27/4 duyệt lệnh
2000000917 - THE ONE 800T chờ nhập kho
2200001027 - ĐLHP 100T</t>
  </si>
  <si>
    <t xml:space="preserve">
</t>
  </si>
  <si>
    <t>28.04 - bến 2</t>
  </si>
  <si>
    <t>2200001010 - THP CÂN TẢI (cố nốt) 2580mt
2200001017 - OTHY 1775MT</t>
  </si>
  <si>
    <t>Chiều 28/4 nhập kho đủ, cân đối vào làm dần
Làm KH luôn cũng đc 
-Hiện Lệnh 22*1010 tồn chỉ còn 1K8 Chiều nay NK max thì chỉ có 1K3, Ngày mai mới NK xong</t>
  </si>
  <si>
    <t>Thiên Phúc 17</t>
  </si>
  <si>
    <t>Bên 1</t>
  </si>
  <si>
    <t>2200001044 - NMCN 1830MT</t>
  </si>
  <si>
    <t>THUẬN PHONG 18</t>
  </si>
  <si>
    <t>28.04 - bến 3</t>
  </si>
  <si>
    <t>ĐỒNG NAI</t>
  </si>
  <si>
    <t>2200001028 - OTBD 
2200001034 - OTBD cân tải</t>
  </si>
  <si>
    <t>Tùng Linh 01</t>
  </si>
  <si>
    <t>2200001044 - NMCN 3150MT</t>
  </si>
  <si>
    <t>7h30 ngày 29-04 (Bến 1)</t>
  </si>
  <si>
    <t>2200001044 - NMCN 4650MT</t>
  </si>
  <si>
    <t>Thành Công 168</t>
  </si>
  <si>
    <t>Ngày 30/04 - Bến 1</t>
  </si>
  <si>
    <t>2200001013 - OTHY đi Long Bình - 95mt
2200001042 - OTBD 3050 MT</t>
  </si>
  <si>
    <t>Phúc An 26</t>
  </si>
  <si>
    <t>02h50 ngày 30-04 (Bến 2)</t>
  </si>
  <si>
    <t>2000000904 - TCĐ 1140T
2000000954 - TCĐ 800T
2200001011 - OTHY cân tải</t>
  </si>
  <si>
    <t>14h00 -ngày 30/04 - Bến 3</t>
  </si>
  <si>
    <t xml:space="preserve">2000000928 - Hoa Sen </t>
  </si>
  <si>
    <t>Lệnh+ Hàng OK rồi nhé
Làm KH bình thường, làm vắt tháng cũng đc</t>
  </si>
  <si>
    <t>Bảo Long 03</t>
  </si>
  <si>
    <t>23.04.22</t>
  </si>
  <si>
    <t xml:space="preserve">2000000923 - JFE ĐÔNG Á (1500T) - 22/4
2000000924 - TẤM LÁ (1350T) 
2200001009 - THP 500T đi hết </t>
  </si>
  <si>
    <t>10.04.22</t>
  </si>
  <si>
    <t>Minh Khai 88</t>
  </si>
  <si>
    <t>CẬP NHẬT TÌNH HÌNH XUẤT HÀNG HRC THÁNG 03/2022</t>
  </si>
  <si>
    <t>NG PT</t>
  </si>
  <si>
    <t>01.03.22</t>
  </si>
  <si>
    <t>2000000787 - Nam Phát</t>
  </si>
  <si>
    <t>Hồng Dương 18</t>
  </si>
  <si>
    <t>28.02.22</t>
  </si>
  <si>
    <t>2200000950 - THP
2000000761 - Phúc Tiến 500mt</t>
  </si>
  <si>
    <t>Trường An 19</t>
  </si>
  <si>
    <t>2200000956 - NMCN
2200000950 - THP cân tải</t>
  </si>
  <si>
    <t>2000000786- TMP 4000T
2200000950 - THP Cân tải</t>
  </si>
  <si>
    <t>Phương Nam 136</t>
  </si>
  <si>
    <t>2200000957 - OTHY 1900T
2200000954 - THP 1500T
2200000950 - THP cân tải</t>
  </si>
  <si>
    <t>Trường Nguyên 68</t>
  </si>
  <si>
    <t>PHÔI</t>
  </si>
  <si>
    <t>ĐỔI KẾ HOẠCH LẤY PHÔI</t>
  </si>
  <si>
    <t>16h.02.03.22 bến 3/5</t>
  </si>
  <si>
    <t xml:space="preserve">Phú Mỹ </t>
  </si>
  <si>
    <t>2000000789 - ĐÔNG Á 
2000000777 - ĐÔNG Á (1600T)</t>
  </si>
  <si>
    <t>LÊN HÀNG  2,20 x 1264  SAU CÙNG =&gt; ĐỂ DỠ HÀNG TRƯỚC</t>
  </si>
  <si>
    <t>02.03.22</t>
  </si>
  <si>
    <t>2000000762 - Thuận Phát 2000mt
2000000760 - Phú Nam 1000mt
2200000950 - THP 750MT</t>
  </si>
  <si>
    <t>Lần sau mn cẩn thận k xóa gì hết nhé!!!</t>
  </si>
  <si>
    <t>Cao Phát 89</t>
  </si>
  <si>
    <t>20h30.02.03 bến 2</t>
  </si>
  <si>
    <t xml:space="preserve">CẨM NGUYÊN </t>
  </si>
  <si>
    <t>2000000725 - NAM HƯNG 3KT
220000952 - OTBD 3.80x1500, 3.90x1234, 3.90x1234 II, 3.90x1262, 3.90x1262 II, 3.90x1500 II, 4.90x1214, 4.90x1214 II</t>
  </si>
  <si>
    <t>CON NÀY NÀY 26-27/2 =&gt; ĐỂ ĐI CẨM NGUYÊN KỊP SẢN XUẤT BỔ SUNG CHO NAM HƯNG LUÔN</t>
  </si>
  <si>
    <t>2200000950 - THP 3900 MT</t>
  </si>
  <si>
    <t>Đại Lộc Phát 368</t>
  </si>
  <si>
    <t>Hủy vì cảng vụ k cho xếp</t>
  </si>
  <si>
    <t>05.03.22</t>
  </si>
  <si>
    <t>03.03.22</t>
  </si>
  <si>
    <t>2200000942 OTBD - 500T
2200000944 OTBD - 2700T
2200000952 OTBD - 5000T 
2000000788 - JFE - 2400T - chiều 4/3 duyệt
2000000792 - JFE - 500T - chiều 4/3 duyệt
2000000769 - ĐÔNG Á - 1700T - chiều 4/3 duyệt
2000000791 - ĐÔNG Á - 1000T - chiều 4/3 duyệt
2000000722 - CTC 400MT - sx ngày 02/3
2000000775 - TSUSHO 1000MT ngày 04/3 duyệt lệnh
2000000796 - CTC 800mt
2200000969</t>
  </si>
  <si>
    <t>VTT82</t>
  </si>
  <si>
    <t>2200000955 - OTHY 3400 MT
2000000721 - CTC 400MT (đi hết mapping)
2200000951 - THP (đi hết mapping)</t>
  </si>
  <si>
    <t>Đã làm việc đc với cảng vụ
Load hàng bth</t>
  </si>
  <si>
    <t>Quang Hưng 368</t>
  </si>
  <si>
    <t>05-06.03.2022</t>
  </si>
  <si>
    <t>2200000950 - THP 550MT
2200000974 - OTHY 2470</t>
  </si>
  <si>
    <t>Hoàng Anh 36</t>
  </si>
  <si>
    <t>2000000765 - Tấn Phát 1000mt
2200000971 - NMCN 2000MT</t>
  </si>
  <si>
    <t>Hoàng Anh 88</t>
  </si>
  <si>
    <t>2000000766 - Việt Thành 2950mt 
2000000797 - TVP 1050MT</t>
  </si>
  <si>
    <t>766 để lại hàng 2.00x1219</t>
  </si>
  <si>
    <t>06.03.22</t>
  </si>
  <si>
    <t>Cho về Mipec giúp t nhé HAnh</t>
  </si>
  <si>
    <t>2000000734 - KKBV 1650 MT 
2200000950 - THP 2800 MT</t>
  </si>
  <si>
    <t>Hùng Khánh 226</t>
  </si>
  <si>
    <t>2000000797 - TVP 1950MT
2000000798 - TVP 2900MT</t>
  </si>
  <si>
    <t>08.03.22</t>
  </si>
  <si>
    <t>THIÊN LỘC THÀNH</t>
  </si>
  <si>
    <t>2000000773 - VINAONE (2100t - KO LÊN HẾT MAP)
2000000754 - VINAONE (1000T)
2000000756 - TÂY NAM - 300T (CHỈ LÊN HÀNG 2.30x1232 ĐỦ DUNG SAI, KHÔNG LÊN HẾT MAP)</t>
  </si>
  <si>
    <t>ANH DANH CÓ ĐỒ GÌ LÊN ĐÂY NÀO</t>
  </si>
  <si>
    <t>2200000969 - OTBD 3000T
2200000976 - OTBD 500T cân tải</t>
  </si>
  <si>
    <t>Hà Dương 27</t>
  </si>
  <si>
    <t>2200000974 - OTHY 440T
2200000975 - OTHY 570T
2200000971 - NMCN 900T
2200000950 - THP xuất hết mapping</t>
  </si>
  <si>
    <t>Hoàng Sa 268</t>
  </si>
  <si>
    <t>2200000971 - NMCN 6000MT
2200000973 - OTHY 910MT
2200000979 - NMCN can tai</t>
  </si>
  <si>
    <t>07.03.22</t>
  </si>
  <si>
    <t>2200000950 - THP 4700 MT</t>
  </si>
  <si>
    <t>08.03.222</t>
  </si>
  <si>
    <t>2000000757 - VINAONE - 1000T
2000000802 - VINAONE - 1000T
2000000771 - VINAONE - 1250T CÂN TẢI</t>
  </si>
  <si>
    <t>09.03.22</t>
  </si>
  <si>
    <t>2200000979 - NMCN 2300mt
2200000980 - OTHY 1300MT
2200000981 - OTHY 1900MT</t>
  </si>
  <si>
    <t>MINH HẰNG 262</t>
  </si>
  <si>
    <t>10.03.22</t>
  </si>
  <si>
    <t>2200000979 - NMCN 4250MT</t>
  </si>
  <si>
    <t>9.03.22</t>
  </si>
  <si>
    <t xml:space="preserve">ĐỒNG NAI </t>
  </si>
  <si>
    <t xml:space="preserve">2200000978 OTBD cân tải
2000000800 - LÊ PHAN GIA - 2KT </t>
  </si>
  <si>
    <t>Mt Hà Nội</t>
  </si>
  <si>
    <t>2000000790 - TMP 1900MT chờ LC duyệt lệnh
2200000979 - NMCN 200 mt
2200000959 - NMCN 374T
2000000818 - HÙNG NGUYÊN THÁNG 2
2000000817 - HÙNG NGUYÊN THÁNG 3</t>
  </si>
  <si>
    <t xml:space="preserve">VIPMACO </t>
  </si>
  <si>
    <t>11.03.22</t>
  </si>
  <si>
    <t>2000000803 - TOÀN THẮNG - 1000T
2000000738 - INDECO - 600MTS
2000000713 - NAM HƯNG - CÂN TẢI (2500T)</t>
  </si>
  <si>
    <t>Khánh Linh 68</t>
  </si>
  <si>
    <t>Neo DQ</t>
  </si>
  <si>
    <t>2000000806 - CTC 2300MT</t>
  </si>
  <si>
    <t>Hàng hơi nóng</t>
  </si>
  <si>
    <t>2000000732 - TVĐ 2400MT ko ra hóa đơn
2000000785 - OTVĐ 800MT ko ra hóa đơn</t>
  </si>
  <si>
    <t>Hàng nguội
20*732 cân đối xuất 2400mt thôi ạ. Cần đủ dung sai các mã vật tư</t>
  </si>
  <si>
    <t>Mạnh Thắng 69</t>
  </si>
  <si>
    <t>15.03.22</t>
  </si>
  <si>
    <t>2000000795 - TLPM cân tải
2000000784 - SMCCK 1963MT</t>
  </si>
  <si>
    <t>2000000740 - TIẾN LÊN - 1.000MTS SAE1006
2000000801 - TRUNG TÍN KIM - 500T 
2000000796 - CTC - 520T
2000000820  - NIPPON (QH PLUS) - 3000T</t>
  </si>
  <si>
    <t>Cần xong trong ngày 15/3</t>
  </si>
  <si>
    <t>Mipec nha HAnh</t>
  </si>
  <si>
    <t>2000000804 - KKBV 2100MT
2000000734 - KKBV 1400MT</t>
  </si>
  <si>
    <t>2000000819 - KỲ ĐỒNG (2700T)
2000000821 - QUANG MƯỜI (1500)
2000000794 - TẤM LÁ PHÚ MỸ (300)</t>
  </si>
  <si>
    <t>lệnh 819 để lại hàng 7.70x1500</t>
  </si>
  <si>
    <t>2000000785 - TVĐ 2620MT
2000000805 - OT190 910mt</t>
  </si>
  <si>
    <t>2000000747 - Amecc 550 MT
2000000807 - Amecc 1000 MT
2000000809 - Thanh Phú 1000MT 
2200000986 - OTHY 710mt
2200000987 - cân tải 650mt</t>
  </si>
  <si>
    <t>Việt Trung 135</t>
  </si>
  <si>
    <t>2000000825 - TCĐ 2000T
2000000823 - VINAS 1900MT
2000000813 - Thép Hình 1000MT
2000000814 - Phú Nam 1500MT
2200000986 - OTHY 250mt</t>
  </si>
  <si>
    <t>2000000771 - VNO  (400T)
2000000772 - VNO  (1500T)
2000000824 - VNO -  1700T
2000000774 - TN - 900T HÀNG 2.00x1232</t>
  </si>
  <si>
    <t>Gia Bảo 268</t>
  </si>
  <si>
    <t>2000000799 - NIPPON 250T - NGÀY 17/3 DUYỆT LỆNH
2000000833-TIẾN LỢI - 500T
2200000985 - OTHY 2000mt</t>
  </si>
  <si>
    <t>2200000985 - OTHY 4000MT</t>
  </si>
  <si>
    <t>17.03.22</t>
  </si>
  <si>
    <t>2000000793 - ĐÔNG Á - 3500
2000000832 - TTK 550T
2000000783 - SMCTT - 1800 (CÂN TẢI)</t>
  </si>
  <si>
    <t>783 ngày 18 duyệt lệnh</t>
  </si>
  <si>
    <t>2000000713 - NAM HƯNG (2500)
2200000984,978 - OTBD 300T hàng 2.00, 200T hàng 2.45-2.50, 268T hàng 2.95-3.00</t>
  </si>
  <si>
    <t>2000000810 - NHẬT QUANG 1000MT
2200000979- NMCN 330MT
2200000987 - NMCN 2081MT</t>
  </si>
  <si>
    <t>2000000822 - MARU (NAM PHÁT)
2000000815 - Phúc Tiến 500mt
2200000988 - THP 880MT
2200000982 - THP 770MT</t>
  </si>
  <si>
    <t>HÙNG KHÁNH 10</t>
  </si>
  <si>
    <t>2000000828 - MINH PHÚ 3345MT
2000000836 - MINH PHÚ thiếu tải thì bỏ lại hàng 3.45</t>
  </si>
  <si>
    <t>HUY CÂN NỐT 1600MT
Sáng 18/03 chốt lệnh</t>
  </si>
  <si>
    <t>Minh Tân 18</t>
  </si>
  <si>
    <t>22h bến 3</t>
  </si>
  <si>
    <t>2200000958 - OTHY 2150MT
2200000982 - THP 1500</t>
  </si>
  <si>
    <t>1hh bến 3
20.03</t>
  </si>
  <si>
    <t>2200000968 - OTHY 3000MT (hàng sx 16-17/2022)
2200000982 - THP 1350MT</t>
  </si>
  <si>
    <t>18h 21.3-B5</t>
  </si>
  <si>
    <t xml:space="preserve">2000000783 - SMCTT - 1200T
2000000826 - QUANG MƯỜI - 1500T (21/3 DUYỆT LỆNH)
2200000978 - OTBD 600 TẤN CÂN TẢI </t>
  </si>
  <si>
    <t>17h 21.3-B3</t>
  </si>
  <si>
    <t>2200000978 - OTBD 1200T
2200000984 - OTBD cân tải</t>
  </si>
  <si>
    <t>Hùng Khánh 123</t>
  </si>
  <si>
    <t>23.02-B5</t>
  </si>
  <si>
    <t>2200000993 - OTHY 4400</t>
  </si>
  <si>
    <t>23.02.22-B3</t>
  </si>
  <si>
    <t>2200000984 - OTBD 400T
2200000967 - OTBD cân tải</t>
  </si>
  <si>
    <t>Hiền Anh 555</t>
  </si>
  <si>
    <t>17h-24.02-B2</t>
  </si>
  <si>
    <t xml:space="preserve">2000000839 - JFE - 3000T 
2200000972 - OTHY 588T
2200000989 - ĐLHP 200T
2000000834 - THE ONE </t>
  </si>
  <si>
    <t>Lệnh 22-972 không đi 02 cuộn trên nhóm Thông tin nhanh</t>
  </si>
  <si>
    <t>21h 24.03-B3</t>
  </si>
  <si>
    <t>2000000859 - TMN 2300MT</t>
  </si>
  <si>
    <t>Lượng Minh Ngọc mn cân đủ cho 2 tàu Khánh Linh và Minh Khánh
Cố gắng cân luôn cả OTHY 986</t>
  </si>
  <si>
    <t>23h-23.02-B4/6</t>
  </si>
  <si>
    <t>2000000835 - TTK 945mt
2000000837 - ĐÔNG Á 3000T xuất trước - giao âm đủ dung sai
2000000841- NAM KIM - 3KT - giao âm, đủ dung sai
2200000964 - OTHY 1000MT
Không xuất những cuộn trong Note bên cạnh</t>
  </si>
  <si>
    <t xml:space="preserve">Lệnh 22-964 không đi mấy cuộn trên nhóm Thông Tin Nhanh.
THIẾU TẢI THÌ LÊN THÊM HÀNG  CỦA ĐÔNG Á </t>
  </si>
  <si>
    <t>HOÀNG BẢO 668</t>
  </si>
  <si>
    <t>18h-24.03-B3</t>
  </si>
  <si>
    <t>2000000842 - NAM HƯNG - 3000T
2200000992 - OTBD cân tải xuất hàng 3.80x1500, 3.90x1264, 3.90x1420, 3.90x1500, 4.90x1500</t>
  </si>
  <si>
    <t>6h30-26.03-B3</t>
  </si>
  <si>
    <t>2200000992 - OTBD 2300T
2200000963 - OTHY 21T xuất theo list hàng PKD gửi
2200000964 - OTHY 100T xuất theo list hàng PKD gửi
2200000965 - OTHY 100T xuất theo list hàng PKD gửi
2200000972 - OTHY 43T xuất theo list hàng PKD gửi
2200000967 - OTBD 1100T</t>
  </si>
  <si>
    <t>Việt Thuận 18</t>
  </si>
  <si>
    <t>8h30-26.03-B4/6</t>
  </si>
  <si>
    <t>2000000806 - Citicom 400mt
2000000870 - Phú Thái 965mt (khôi nguyên)
2200000982 - THP 2500mt xuất 3.95x1262</t>
  </si>
  <si>
    <t>Citicom xuất theo mapping.</t>
  </si>
  <si>
    <t>17h30-26.03-B3</t>
  </si>
  <si>
    <t xml:space="preserve">2000000757 - TN 
2000000824 - TN 
2000000774 - TN
2000000853 - VNO 
2000000850 - MOV </t>
  </si>
  <si>
    <t>13h30h-27/3-B3</t>
  </si>
  <si>
    <t>2000000854 - Tấn Phát 1000mt
2200000994 - OTHY cân tải
2000000863 - IPC (1000T)</t>
  </si>
  <si>
    <t>22h-26/3-B6</t>
  </si>
  <si>
    <t>2000000840 -  JFE - 2000T
2000000838 -  TDA - 3000T</t>
  </si>
  <si>
    <t xml:space="preserve"> Minh Khánh 86</t>
  </si>
  <si>
    <t>16h30-27/3-B3</t>
  </si>
  <si>
    <t xml:space="preserve">2000000859 - TMN 3400MT
2200000986 - OTHY 112MT
2200000982 cân tải </t>
  </si>
  <si>
    <t>28/3</t>
  </si>
  <si>
    <t>2200000995 - OTHY 1100MT\
2200000994 - OTHY 2100mt cân tải</t>
  </si>
  <si>
    <t>PHƯƠNG NAM 88</t>
  </si>
  <si>
    <t>18h-29.03-B1</t>
  </si>
  <si>
    <t>2000000831 - OT190 2910-2950MT (29/3 duyệt lệnh)
2200000993 - NMCN 190MT
2200000959 - NMCN 1400MT cân tải</t>
  </si>
  <si>
    <t>20h-29.03-B3</t>
  </si>
  <si>
    <t>2000000830 - KKBV</t>
  </si>
  <si>
    <t>Kiểm tra lại mẫu</t>
  </si>
  <si>
    <t>30/3 PM</t>
  </si>
  <si>
    <t>31.03.22</t>
  </si>
  <si>
    <t>Vắt tháng 3-4
hàng TLPM mới sản xuất (ngày 29/03)</t>
  </si>
  <si>
    <t>THÁNG 4</t>
  </si>
  <si>
    <t>01.04.22</t>
  </si>
  <si>
    <t>SANG THÁNG 4</t>
  </si>
  <si>
    <t>28.03.22</t>
  </si>
  <si>
    <t>17-18.03.22</t>
  </si>
  <si>
    <t>Đại Phúc 18</t>
  </si>
  <si>
    <t>Hủy vì cảng vụ</t>
  </si>
  <si>
    <t>XUÂN ĐỨC 68</t>
  </si>
  <si>
    <t>22.03.22</t>
  </si>
  <si>
    <t>CẬP NHẬT TÌNH HÌNH XUẤT HÀNG HRC THÁNG 02/2022</t>
  </si>
  <si>
    <t xml:space="preserve">TÊN TÀU </t>
  </si>
  <si>
    <t xml:space="preserve">Alpha </t>
  </si>
  <si>
    <t>04.02.22</t>
  </si>
  <si>
    <t>2200000921,927 OTHY (1300mt) xuất đủ không được bỏ lại
2000000714 - Tôn Đông Á 2000mt
2000000700 - TLPM - 2000 MTS (ĐƠN THÁNG 1)
2000000704 - TLPM - 2.000 MTS (ĐƠN THÁNG 2)</t>
  </si>
  <si>
    <t>AN TRUNG 46</t>
  </si>
  <si>
    <t>06-07.02.22</t>
  </si>
  <si>
    <t xml:space="preserve">2000000716 - NAM HƯNG </t>
  </si>
  <si>
    <t>LÊN HÀNG 2.00 VÀ 2.30</t>
  </si>
  <si>
    <t>07-08.02.22</t>
  </si>
  <si>
    <t>2200000917 - THP</t>
  </si>
  <si>
    <t xml:space="preserve">ĐẠI DƯƠNG 68 </t>
  </si>
  <si>
    <t>08.02.22</t>
  </si>
  <si>
    <t>2200000917 - THP
2200000932 - THP</t>
  </si>
  <si>
    <t>04H NGÀY 08.02 CÓ MẶT</t>
  </si>
  <si>
    <t>09.02.22</t>
  </si>
  <si>
    <t>2000000708 - TVĐ 2300MT
2000000709 - OTVĐ 2000MT</t>
  </si>
  <si>
    <t>0. 0zaf+|ư\</t>
  </si>
  <si>
    <t xml:space="preserve">AN </t>
  </si>
  <si>
    <t>Gia Long 333</t>
  </si>
  <si>
    <t>14h 09.02.22</t>
  </si>
  <si>
    <t xml:space="preserve">TÂN THUẬN </t>
  </si>
  <si>
    <t>2200000933 - OTHP
2000000720 - ĐÔNG Á</t>
  </si>
  <si>
    <t>2*720: LÊN 1000 tấn hàng 2.20x1217, còn lại là hàng 2.00x1217</t>
  </si>
  <si>
    <t>2000000677 - KKBV 875MT
2000000678 - OT190 200MT
2000000719 - Phúc Tiến 1000MT
2200000947 - OTHY 1300MT</t>
  </si>
  <si>
    <t>chiều 09/2 vào làm - Huy bổ sung nốt 1300mt còn lại</t>
  </si>
  <si>
    <t>08.02 ETA dỡ quặng</t>
  </si>
  <si>
    <t>2000000710 - Khôi Nguyên 1000mt
2200000943 - THP 860MT
2200000947 - OTHY 1100MT</t>
  </si>
  <si>
    <t>Tuấn Cường 88</t>
  </si>
  <si>
    <t>2200000943 - THP 3000MT</t>
  </si>
  <si>
    <t>HÀNG TỒN NGUỘI</t>
  </si>
  <si>
    <t>Đại Lộc Phát 388</t>
  </si>
  <si>
    <t>15h 09.02.22</t>
  </si>
  <si>
    <t>2000000716 - NAM HƯNG (2KT)
2000000715 - TOÀN THẮNG (1KT)</t>
  </si>
  <si>
    <t>715 khả năng cao chiều 11 mới đủ hàng</t>
  </si>
  <si>
    <t>Xuân Đào 45</t>
  </si>
  <si>
    <t>10.02.22</t>
  </si>
  <si>
    <t>Phú Thành</t>
  </si>
  <si>
    <t>12.02.22</t>
  </si>
  <si>
    <t>VTT 82</t>
  </si>
  <si>
    <t>2200000938 - OTHY 2150 MT
2200000947 - OTHY 500MT
2000000728 - THÉP HÌNH - 550mt
2000000718 - PHÚ NAM - 1000T</t>
  </si>
  <si>
    <t>2000000721 - Citicom - 1450mt
2000000717 - HÙNG NGUYÊN (200T)
2000000730 - TMP 3000T
2200000947 - OTHY cân tải</t>
  </si>
  <si>
    <t>721 cần đợi nhập kho hàng 2.75x1250 SS400
Đi đủ 1500mt nhé mn</t>
  </si>
  <si>
    <t>Minh Khánh 888</t>
  </si>
  <si>
    <t>2000000694 - TIẾN LÊN - 2.000MTS (đơn tháng 1) - xuất hết map nhé mọi người, lệnh duyệt hết rồi
2000000681 TSUSHO (1000T)
2000000722 - CTC (700T)
2000000691 - JFE (4900) - đang sản xuất</t>
  </si>
  <si>
    <t>HÀNG ĐANG SẢN XUẤT CHẮC LÀ 13 MỚI ĐỦ HÀNG 
Nhưng vẫn cần xong trước 15/2</t>
  </si>
  <si>
    <t>14.02.22</t>
  </si>
  <si>
    <t>2200000923 - OTHY cân tải ưu tiên xuất trước hàng 3.80
2200000917 - THP
2000000708 - TVĐ 200MT
2000000709 - OTVĐ 500MT</t>
  </si>
  <si>
    <t>Tàu này phải xong trước 15/2 - hàng Việt Đức ra hóa đơn muộn nhất ngày 15/2</t>
  </si>
  <si>
    <t>09.02.22
Đợi dỡ hàng quá lâu</t>
  </si>
  <si>
    <t>2000000693 - LÊ PHAN GIA T12 2000MT
2200000944 - OTBD cân tải 1950MT</t>
  </si>
  <si>
    <t>LPG ngày 11 duyệt lệnh
Tàu này cần xong hàng trước 15/2</t>
  </si>
  <si>
    <t>15.02.22</t>
  </si>
  <si>
    <t>2000000711 - NAM KIM - 3000T
2200000944 - OTBD (CÂN TẢI)</t>
  </si>
  <si>
    <t>16.02.22</t>
  </si>
  <si>
    <t>2000000697 - ĐÔNG Á SS400 (2000T) 
2000000751 - QH PLUS - 1000T
2200000944 - OTBD (CÂN TẢI)</t>
  </si>
  <si>
    <t>2000000742 - TCĐ 2000T
2000000731 - NHẬT QUANG - 1.000 MTS (đã đủ hàng)
2000000744 - VINAS (2000T)
2000000746- IPC (1000T)
2000000745 - NIPPON (300T)
2200000946 - NMCN</t>
  </si>
  <si>
    <t>Tàu này ưu tiên làm sớm Chính Đại 19/02 hết hạn giao hàng LC</t>
  </si>
  <si>
    <t>2000000741 - THIÊN TRƯỜNG - 500 MTS (đã đủ hàng)</t>
  </si>
  <si>
    <t>TÀU GHÉP HÀNG HRC+PHÔI</t>
  </si>
  <si>
    <t>Transvina</t>
  </si>
  <si>
    <t>2200000950 - THP</t>
  </si>
  <si>
    <t>ĐỨC MINH 555</t>
  </si>
  <si>
    <t>17.02.22</t>
  </si>
  <si>
    <t>HOÀNG DIỆU</t>
  </si>
  <si>
    <t>2200000947 OTHY
1200000066 - LỆNH PHÔI VIỆT ĐỨC - 1000T</t>
  </si>
  <si>
    <t>Ghép phôi</t>
  </si>
  <si>
    <t>19h30 18.02.22</t>
  </si>
  <si>
    <t>2000000755 - MOV - 500T
2000000618 - TÂY NAM - 1000T
2000000615 - TÂY NAM - 2000T
2000000702 - TÂY NAM - 500T (CÂN TẢI)</t>
  </si>
  <si>
    <t xml:space="preserve"> HOÀNG BẢO 668</t>
  </si>
  <si>
    <t>19.02.22</t>
  </si>
  <si>
    <t>2200000942 - OTBD 480T
2200000944 - OTBD cân tải</t>
  </si>
  <si>
    <t>16h 18.02.22</t>
  </si>
  <si>
    <t>2200000938 - OTHY - 46MT
2200000922 OTHY 1500T
2200000923 OTHY 1645T
2200000946 NMCN 14540T
2200000947 OTHY 800 mt
2000000764 - MỸ VIỆT - 3000mt
2200000950 THP cân tải</t>
  </si>
  <si>
    <t>Tân Thủy 38</t>
  </si>
  <si>
    <t>20.02.22</t>
  </si>
  <si>
    <t>2000000702 - TÂY NAM - ĐI NỐT MAPPING (300T)
2000000758 - MOV - 1700T
2000000753 - VNO - 1000T
2000000756 - TÂY NAM - 2000T ( CÂN TẢI)</t>
  </si>
  <si>
    <t>Hải Phát 26</t>
  </si>
  <si>
    <t>2000000735 -TVP 3000MT                                           20000000725 - NAM HƯNG -2KT(1000T 2.3X1260 và 1000t 2.5x1260)</t>
  </si>
  <si>
    <t>2000000752 - MINH NGỌC - 5000MT
220000947 OTHY 10.000mt
2200000948 - OTHY 2136 MT
2200000949 - OTHY
2200000950 - THP cân tải cho đi hết hàng 1212</t>
  </si>
  <si>
    <t>2000000705 - SMCCK 2000MT
2000000706 - SMCCK 3000MT
2000000698 - NT The One 181T
2000000763 - NAM HƯNG 3000MT
2000000776 - ĐÔNG Á - 800T - cân tải</t>
  </si>
  <si>
    <t>24.02.22</t>
  </si>
  <si>
    <t>2200000932 - THP - 1670mt
2200000943 - THP - 28mt
2200000950 - THP (cân tải) 1800mt</t>
  </si>
  <si>
    <t>Ưu tiên xuất hàng khổ 1212 trước</t>
  </si>
  <si>
    <t>23.02.22</t>
  </si>
  <si>
    <t>26.02.22</t>
  </si>
  <si>
    <t>2000000723 - Hoa Sen
2000000779 - Hoa Sen</t>
  </si>
  <si>
    <t>Xuất theo mapping</t>
  </si>
  <si>
    <t>VENTURE GRACE</t>
  </si>
  <si>
    <t>22.02.22</t>
  </si>
  <si>
    <t>1600000668 - xuất đúng và đủ theo mapping</t>
  </si>
  <si>
    <t>Nếu có đổi coil hay có bất kỳ thay đổi nào cần báo lại PKD vì cần chuẩn KL
Tàu cần xong muộn nhất ngày 27/2</t>
  </si>
  <si>
    <t>Viễn Dương</t>
  </si>
  <si>
    <t>220000956 - NMCN</t>
  </si>
  <si>
    <t>2000000712 - LÊ PHAN GIA - 2KT 
2000000739 - TIẾN LÊN - 1.000 MTS SS400 
2000000748 - QUANG MƯỜI - 2kt 
2000000768 - Nam Kim - 2000mt 
2000000778 - TTK 50MT
2000000749 - TTK 350MT
2200000944 - OTBD xuất hết hàng 3.00 còn lại lấy hàng 2.15, 2.20, 2.25, 2.30, 2.45</t>
  </si>
  <si>
    <t>2000000736 - TVP 3000MT
2200000944 - OTBD 300MT 2.9x1250 II, 2.95x1020, 2.95x1055, 2.95x1212 II, 2.95x1262 II
2200000952 - OTBD 750T 3.80x1500</t>
  </si>
  <si>
    <t>Hàng của TVP cần qua cân ra hóa đơn xong hết muộn nhất ngày 01/3</t>
  </si>
  <si>
    <t>CHUYỂN SANG SHEET 03.2022</t>
  </si>
  <si>
    <t>ĐÔNG Á - 5000T</t>
  </si>
  <si>
    <t>2000000762 - Thuận Phát - 2000mt</t>
  </si>
  <si>
    <t>2000000738 - INDECO - 600MTS
TLPM - 300MTS SS400
2000000740 - TIẾN LÊN - 1.000MTS SAE1006</t>
  </si>
  <si>
    <t>TÀU ĐẦU THÁNG 3</t>
  </si>
  <si>
    <t>Victoria 08</t>
  </si>
  <si>
    <t>Đổi tàu</t>
  </si>
  <si>
    <t>Tàu hết đăng kiểm</t>
  </si>
  <si>
    <t>Nam Khánh 88</t>
  </si>
  <si>
    <t>25-26.02.22</t>
  </si>
  <si>
    <t>CHÚ Ý:
TẤT CẢ CÁC LỆNH XUẤT HÀNG KHI KHÔNG XUẤT HÀNG TRONG MAPPING CẦN BÁO KCS BỎ MAPPING COIL GIÚP EM Ạ!!!</t>
  </si>
  <si>
    <t>2000000712 - LÊ PHAN GIA T1</t>
  </si>
  <si>
    <t>Hải Phương 619</t>
  </si>
  <si>
    <t>THUYỀN VIÊN BỊ COVID</t>
  </si>
  <si>
    <t>CẬP NHẬT TÌNH HÌNH XUẤT HÀNG HRC THÁNG 11/2021</t>
  </si>
  <si>
    <t xml:space="preserve"> Mạnh Thắng 07</t>
  </si>
  <si>
    <t>1.11- bến 3 10h</t>
  </si>
  <si>
    <t>2200000809 - THP</t>
  </si>
  <si>
    <t>1.11 12h-bến 2</t>
  </si>
  <si>
    <t>2200000809 - THP 
2200000799 - OTHY (đi hết lệnh)</t>
  </si>
  <si>
    <t>BỘ PHẬN CẢNG LÀM KẾ HOẠCH TÀU NÀY SỚM GIÚP NHÉ, T THẤY NÓ VỪA DỠ XONG HÀNG RỒI</t>
  </si>
  <si>
    <t>2.11 9h bến 2</t>
  </si>
  <si>
    <t xml:space="preserve">Long Bình </t>
  </si>
  <si>
    <t>2200000800,801 OTBD
2000000461 - LPG 2kT</t>
  </si>
  <si>
    <t>Đổi tàu Mạnh Thắng 8 =&gt; MT Hà Nội 39</t>
  </si>
  <si>
    <t>HUY
HA</t>
  </si>
  <si>
    <t xml:space="preserve"> Minh Khai 88</t>
  </si>
  <si>
    <t>3,11 3h-bến 3</t>
  </si>
  <si>
    <t>2200000812 - THP (đi trước hàng 2.00,2.45x1290)
2000000483 - KKBV - 3500 MT</t>
  </si>
  <si>
    <t>CON NÀY VỀ MIPEC HẢI ANH NHÉ</t>
  </si>
  <si>
    <t>HUY
BÍCH</t>
  </si>
  <si>
    <t>Quang Hải 26</t>
  </si>
  <si>
    <t>3.11- 12h bến 3</t>
  </si>
  <si>
    <t>2200000797 - OTBD
2200000824 - OTBD</t>
  </si>
  <si>
    <t>3.11 -22h B4</t>
  </si>
  <si>
    <t>2000000479 - Hoa Sen</t>
  </si>
  <si>
    <t>Tiến Phát 25</t>
  </si>
  <si>
    <t>4.11 14h B6</t>
  </si>
  <si>
    <t>2200000824 OTBD
2200000816 OTBD</t>
  </si>
  <si>
    <t>Cần làm nhanh để vào lấy phế cho PVT
Oke- làm 2 máng sáng 5/11 xong</t>
  </si>
  <si>
    <t>4.11-12h B3</t>
  </si>
  <si>
    <t>2000000493 - VINAS 
2000000482 - VINAS
2200000826 - OTHY 76T
2200000815 - OTHY 180T
2200000820 - NMCN 74T</t>
  </si>
  <si>
    <t>ĐI HÀNG MAP CỦA LỆNH 2000000482</t>
  </si>
  <si>
    <t>HA</t>
  </si>
  <si>
    <t>Minh Khánh 06</t>
  </si>
  <si>
    <t>5.11 15h B3</t>
  </si>
  <si>
    <t>06.11 18h B3</t>
  </si>
  <si>
    <t>2000000481 - Hoa Sen</t>
  </si>
  <si>
    <t>BÍCH</t>
  </si>
  <si>
    <t>Nam Việt 18</t>
  </si>
  <si>
    <t>06.11.21</t>
  </si>
  <si>
    <t>6.11-B3</t>
  </si>
  <si>
    <t>TÀU NAY HỦY/ĐỔI TÀU</t>
  </si>
  <si>
    <t>BÍC</t>
  </si>
  <si>
    <t>06.11 16h B2</t>
  </si>
  <si>
    <t>2000000492 - CTC (160MT)
2000000486 - CTC (500MT)
2000000475 - TNK (1850MT)
2000000478 - QH Plus ( cân tải)</t>
  </si>
  <si>
    <t>486 hàng sản xuất ngày 04,05/11
Cắt các lệnh đủ dung sai hàng 4.80 và 5.80 đợi NK</t>
  </si>
  <si>
    <t>BÍCH + HA</t>
  </si>
  <si>
    <t>TRƯỜNG GIANG 168</t>
  </si>
  <si>
    <t>7.11 11h B4</t>
  </si>
  <si>
    <t xml:space="preserve">Cẩm Nguyên </t>
  </si>
  <si>
    <t xml:space="preserve">2000000477 - NAM HƯNG </t>
  </si>
  <si>
    <t>LÊN HÀNG 2.0 x 1214 (1000t) và 2.3 x 1260 (2k)
CẦN GẤP</t>
  </si>
  <si>
    <t>VIỆT THUẬN 235-02</t>
  </si>
  <si>
    <t>4.11.2021</t>
  </si>
  <si>
    <t>2200000809 - THP (6200MT) - cân tải
2200000812 - THP (4000MT)
2200000806 - NMCN (2000MT)
2200000813 - THP (4500MT)
2200000814 - THP (140MT)
2200000819 - OTHY (300MT)
2200000821- THP (700MT)
2200000827 - OTHY (52MT)
2200000830 - NMCN (4300MT)
2200000831 - NMCN (2400MT)</t>
  </si>
  <si>
    <t>TUẤN CƯỜNG 88</t>
  </si>
  <si>
    <t>07.11 pm</t>
  </si>
  <si>
    <t>2000000460 - TCĐ (2100T)
2200000809 - THP</t>
  </si>
  <si>
    <t>SXEP KH CHO TUẤN CƯỜNG LÀM TRƯỚC AN BÌNH PHÁT NẾU ĐC, VÌ AN BÌNH PHÁT PHẢI ĐỢI DUYỆT LỆNH CỦA EP STEEL, DỰ KIẾN NGÀY 08.11</t>
  </si>
  <si>
    <t>Đông Bắc 02</t>
  </si>
  <si>
    <t>2000000477 - NAM HƯNG 
2000000494 - INDECO 625M
2200000817 - OTBD (LÊN CÁC MÁC 2.95x1250, 2.95x1420 I/II, 3.00x1262 II)</t>
  </si>
  <si>
    <t>INDECO CHO LÊN HÀNG TRƯỚC, XONG THÌ CHO TÀU CHỜ ĐẾN KHI NÀO CÓ THÔNG BÁO TỪ PKD/PKT THÌ MỚI XUẤT HÓA ĐƠN VÀ CẤP CHỨNG TỪ CHO TÀU</t>
  </si>
  <si>
    <t>HA
Oanh</t>
  </si>
  <si>
    <t xml:space="preserve">An Bình Phát 68 </t>
  </si>
  <si>
    <t>8.11 20h B3</t>
  </si>
  <si>
    <t>2000000481 - Hoa Sen
1600000482 - EP STEEL</t>
  </si>
  <si>
    <t>482: Dự kiến 08.11 duyệt lệnh</t>
  </si>
  <si>
    <t>MINH TIẾN 99</t>
  </si>
  <si>
    <t>2000000491 - CITICOM (800MT)
2000000457 - CITICOM (500MT)
2000000497 - THÉP HÌNH (1KT)
2000000474 - PHÚC TIẾN (1KT)
HỎI CHỊ NGUYÊN CÓ HÀNG 30MNSI KHÔNG THÌ GHÉP VÀO ĐÂY LUÔN ~200T</t>
  </si>
  <si>
    <t>491: ĐI HÀNG MAPPING THEO LỆNH 20*491 ( Tân ơi mapping đầy đủ cho lệnh 20*491 coi mới mapping có 294T)</t>
  </si>
  <si>
    <t>THÀNH HƯNG 68</t>
  </si>
  <si>
    <t>9.11 23h-B5</t>
  </si>
  <si>
    <t xml:space="preserve">2000000454 - TĐA 4950MT
2000000478 - QH Plus (~300T)
2000000501 - QUANG MƯỜI (CÂN TẢI ~ 2200T)
</t>
  </si>
  <si>
    <t xml:space="preserve">478: LẠI ĐI HẾT MAPPING DUNG SAI 10% NHÉ </t>
  </si>
  <si>
    <t>Nam Phát Queen</t>
  </si>
  <si>
    <t>11.11 13h B3</t>
  </si>
  <si>
    <t>2000000528 - TRUNG TÍN KIM (500T)
2000000501 - QUANG MƯỜI (~ 1760T)
2000000485 - SMC - CÂN TẢI
NẾU MÀ KỊP LC THÌ CÓ 700T CỦA KỲ NAM, KHÔNG PHẢI TÁCH ÔNG NÀO RA CẢ</t>
  </si>
  <si>
    <t>501:  đi 2 coil 4.80x1500 không mapping
528 đi mapping của lệnh 406</t>
  </si>
  <si>
    <t>PHƯƠNG NAM 136</t>
  </si>
  <si>
    <t>11.11 14h- B5</t>
  </si>
  <si>
    <t>2000000459 - TMN (97MT)
2200000834 - OTHY (cân tải)</t>
  </si>
  <si>
    <t>chốt thế này nhé Huy
kệ tôn hòa phát!!!</t>
  </si>
  <si>
    <t>13.11 14h-B1</t>
  </si>
  <si>
    <t>2200000812 -  THP hàng 1240 cân tải
20000*498 - TẤN PHÁT
2000000533 - VINAS (50T)</t>
  </si>
  <si>
    <t>VIỆT THUẬN 169</t>
  </si>
  <si>
    <t>14.11 15h Bến 5</t>
  </si>
  <si>
    <t>2200000834 - OTHP (CÂN TẢI)
2000000502 - THIÊN TRƯỜNG 1000MT
2000000499 - NHẬT QUANG 1000MT
2000000524 - Tiến Lợi 500MTS
2000000517 - Minh Phú 1500 MT
2200000834 - OTHY 5000 MT
2200000812 - THP (2300mt) 
2200000844 - TÔN (5750mt) - cân tải
2000000469 - OT190 (650MT)</t>
  </si>
  <si>
    <t>Nam Phát + KCT: Hải Anh (THỨ 2 CÓ LỆNH)
Thiên Trường + Nhật Quang + Tiến Lợi: Oanh (đã duyệt hết lệnh)
Minh Phú + OTHP + THP: HUY
TIẾN LỢI XUẤT THEO LIST GỬI TRÊN NHÓM THÔNG TIN NHANH
812 xuất hết khổ 1240 rồi đến các khổ rộng khác</t>
  </si>
  <si>
    <t>16.11 8h Bến 1</t>
  </si>
  <si>
    <t xml:space="preserve">Hoàng Diệu </t>
  </si>
  <si>
    <t>2200000812 THP 2000MT 
2200000844 THP (2700 mt)</t>
  </si>
  <si>
    <t>812 xuất hàng 1240 rồi đến các khổ rộng khác</t>
  </si>
  <si>
    <t>Việt Thuận 08</t>
  </si>
  <si>
    <t>17.11 6h - Bến 1</t>
  </si>
  <si>
    <t>2200000844 - TÔN (450mt)
2000000472 - Nam Phát 2000 MT</t>
  </si>
  <si>
    <t>Trường Nguyên 08</t>
  </si>
  <si>
    <t>18.11 20h-B5</t>
  </si>
  <si>
    <t xml:space="preserve">2000000530 - TÂY NAM 
2000000531 - TÂY NAM 
2000000532 - VNO </t>
  </si>
  <si>
    <t>ĐI HÀNG MAP CỦA LỆNH 2000000362
CẦN LÀM GẤP XONG GẤP</t>
  </si>
  <si>
    <t>Tân Thủy 6868</t>
  </si>
  <si>
    <t>19.11 3h-B5</t>
  </si>
  <si>
    <t>2000000534 - KỲ ĐỒNG - 1200T
2000000500 - KỲ NAM - 700T
2000000485 - SMC - 1200T
2000000514 - Hoàn Phúc - 1000mt
2000000505 - ĐÔNG Á -3K1
2200000816 OTBD
2200000824 OTBD</t>
  </si>
  <si>
    <t>505: 
2.00 x 1217
3.90 x 1234
2.80 x 1234</t>
  </si>
  <si>
    <t>Thắng Lợi 36</t>
  </si>
  <si>
    <t>20,11 13h -B3</t>
  </si>
  <si>
    <t>2200000801 - OTBD 200T
2200000817 - OTBD 440T
2200000825 - OTBD 1100T
2200000833 - OTBD 300T
2000000506 - LÊ PHAN GIA (523T)
2200000842 - OTBD cân tải</t>
  </si>
  <si>
    <t>HUY + HA</t>
  </si>
  <si>
    <t>AN BÌNH PHÁT 68</t>
  </si>
  <si>
    <t>Đã xong</t>
  </si>
  <si>
    <t>21.11 17h B2</t>
  </si>
  <si>
    <t>2200000812 - THP 4200T</t>
  </si>
  <si>
    <t xml:space="preserve">Mạnh Thắng 69 </t>
  </si>
  <si>
    <t>21.11 18h- B5</t>
  </si>
  <si>
    <t>2200000806 - NMCN 2160T
2200000807 - OTHY 77T
2200000813 THP 700T
2200000812 THP cân tải</t>
  </si>
  <si>
    <t>22.11- 11h B3</t>
  </si>
  <si>
    <t>2000000473 - THÉP 568 (1000t)
2200000834 - OTHY 900T</t>
  </si>
  <si>
    <t>25.11 18h -B1</t>
  </si>
  <si>
    <t>2200000828 OTHY (400T)
2200000829 OTHY
2000000507 - POSCO (1000t)
2000000548 - ĐÔNG Á (300T)</t>
  </si>
  <si>
    <t xml:space="preserve">ĐÔNG Á HÀNG MỚI SX XONG HÔM QUA. KHẢ NĂNG TÀU ĐỢI ĐẾN MAI MỚI LÊN ĐƯỢC 
THIẾU TẢI NHỜ A TÂN MAP THÊM LỆNH CỦA POSCO </t>
  </si>
  <si>
    <t>Minh Hằng 238</t>
  </si>
  <si>
    <t>28.11-B3</t>
  </si>
  <si>
    <t>Chu Lai</t>
  </si>
  <si>
    <t>2400000000 - Hanwa 200mt (LA)
2400000007 - Nippon/Steelscape (LA - 226t)
2400000006 - Nippon/Optima (LA - 226t)
2400000003 - Mitsui/Flexcometal (MZN - 620T)
2400000004 - Mitsui/Serviacero (MZN - 850-900T)
2400000005 - Mitsui/Ferrecabsa (MZN - 1000T)</t>
  </si>
  <si>
    <t>YÊU CẦU:
24*00+24*07+24*06 trước</t>
  </si>
  <si>
    <t>MINH TIẾN 88</t>
  </si>
  <si>
    <t xml:space="preserve">28.11 PM -B1/2 </t>
  </si>
  <si>
    <t>2000000504 - VINAS (1700T)
2200000812 - THP (đi trước hàng 1212)</t>
  </si>
  <si>
    <t>cấp lệnh 504 nhé</t>
  </si>
  <si>
    <t>VIỆT TRUNG 135</t>
  </si>
  <si>
    <t>27.11 10h-B4</t>
  </si>
  <si>
    <t>2200000834 - OTHY 900T
2200000860 - OTHY 2100T
2200000841 - OTHY 700T
2200000845 - OTHY 1300T 
2200000812 THP cân tải hàng 2.00x1212</t>
  </si>
  <si>
    <t>MINH KHÁNH 888</t>
  </si>
  <si>
    <t>27.11 (AM)- HH</t>
  </si>
  <si>
    <t>2200000858 - NMCN 1000T
2000000476 - MỸ VIỆT - 3KT 
2000000473 - THÉP 568 (CÒN LẠI)
2000000472 - Nam Phát (1000t)
2200000812 - THP (ưu tiên 2.45x1250 =&gt; hàng 2.00x1212 = &gt; 2.15x1212)</t>
  </si>
  <si>
    <t>MẠNH THẮNG</t>
  </si>
  <si>
    <t>26.11.21 (dỡ đá)</t>
  </si>
  <si>
    <t>27.11 15h -B2</t>
  </si>
  <si>
    <t>Đoạn xá</t>
  </si>
  <si>
    <t xml:space="preserve">rõ ghét. không chơi với tàu này nữa 
 Không làm nữa thì xóa tàu này luôn đi cho bỏ ghét :)) </t>
  </si>
  <si>
    <t xml:space="preserve">t chán lắm rồi- TRỜI OWIIIIIIIIIII KHÓCCC
XIN HÃY DÀNH LẠI ĐI :(((( </t>
  </si>
  <si>
    <t>Hoàng Bảo 668</t>
  </si>
  <si>
    <t>29.11 -B3</t>
  </si>
  <si>
    <t>2400000004 - Mitsui/Serviacero (MZN - còn lại)
2400000001 - Yieh  (MZN-827T)
2400000002 - Mitsui/Perfiles/Galsavid (MZN - 2045t)</t>
  </si>
  <si>
    <t>Tú Cường 68</t>
  </si>
  <si>
    <t>29.11 -B5</t>
  </si>
  <si>
    <t>2000000506 - LÊ PHAN GIA 1400MT (HẢI ANH)
2200000846,847,848,849 - OTHY 5000T
2200000842 OTBD 1500T
2200000850 OTBD 1000T
2000000541 -  ĐÔNG Á (1400T)
2200000851 OTBD cân tải</t>
  </si>
  <si>
    <t>30.11-B2</t>
  </si>
  <si>
    <t>2200000840 - THP 1000T
2000000558 - IPC (1KT)
2200000861 - THP 1800T</t>
  </si>
  <si>
    <t>CẬP NHẬT TÌNH HÌNH XUẤT HÀNG HRC THÁNG 10/2021</t>
  </si>
  <si>
    <t>Nguyễn Hải Nam</t>
  </si>
  <si>
    <t>Hoàng Thiên Phú 28</t>
  </si>
  <si>
    <t>2000000397 - Hoa Sen 1900MT</t>
  </si>
  <si>
    <t>2200000769 - THP 3400mt
2200000780 - OTBD
2200000781 - OTHY</t>
  </si>
  <si>
    <t>Có 2600mt hàng nguội
Chiều nay nhập kho đủ
Chỉ có 600mt nhập kho chiều 30/09 =&gt; Sxep KH làm hàng sớm đc.</t>
  </si>
  <si>
    <t>ĐỨC VIỆT 568-18</t>
  </si>
  <si>
    <t>2200000769 - THP PM (1700MT)
2200000774 - OTHY PM (1300MT)</t>
  </si>
  <si>
    <t>Có thể cho vào làm</t>
  </si>
  <si>
    <t>2000000410 - Ngọc Thắng 1000mt
2200000778 - OTHY 
2200000776 -THP
2200000782 - THP</t>
  </si>
  <si>
    <t>lệnh OTHY + THP NGUỘI</t>
  </si>
  <si>
    <t>Đức Minh 888</t>
  </si>
  <si>
    <t xml:space="preserve">2200000755 OTHY 
2200000760 OTHY
2200000759 OTHY 
1600000489 - NIPPON
1600000490 - NIPPON
1600000491 - NIPPON 
1600000492 - NIPPON 
1600000493 - NIPPON 
1600000487 - NIPPON 
1600000488 - NIPPON </t>
  </si>
  <si>
    <t>Tàu tây ETA 05/10 Nghi Sơn
Tàu này cần ưu tiên dỡ đá sớm để kịp lịch ra nghi sơn
LỆNH NIPPON CẦN DÁN THÊM NHÃN - A TRỌNG/ SỸ HỖ TRỢ GIÚP EM Ạ</t>
  </si>
  <si>
    <t>TRANSVINA</t>
  </si>
  <si>
    <t>2200000767 - THP (1200MT) 
2200000747 - THP (2200MT)</t>
  </si>
  <si>
    <t>767 báo KCS mapping full lượng tồn
747 cố gắng xuất tối đa tồn kho hàng khổ 1232</t>
  </si>
  <si>
    <t>Tân Hưng 28</t>
  </si>
  <si>
    <t xml:space="preserve">Tân Cảng 128 </t>
  </si>
  <si>
    <t>2000000388 - Mỹ Việt</t>
  </si>
  <si>
    <t>Phúc An 26</t>
  </si>
  <si>
    <t>2000000420 - VINAS 3100
2200000784 - THP 300MT</t>
  </si>
  <si>
    <t>Vinas hàng SS400 nguội - muộn nhất ngày 05.10 có LXH</t>
  </si>
  <si>
    <t>2200000784 - THP</t>
  </si>
  <si>
    <t>Chiều nay vào làm hàng</t>
  </si>
  <si>
    <t xml:space="preserve">Minh Khánh 06
</t>
  </si>
  <si>
    <t>2200000784 - THP
2000000425 - PVX 500mt</t>
  </si>
  <si>
    <t>An Bình Phát 68</t>
  </si>
  <si>
    <t>2200000784 - THP
380 tấn 30mnsi - LIÊN HỆ CHỊ NGUYÊN</t>
  </si>
  <si>
    <t>Trưa ngày 8/10 làm hàng
Đẩy nhanh tiến độ xong trước ngày 10/10</t>
  </si>
  <si>
    <t>Hải Đăng 19</t>
  </si>
  <si>
    <t>2000000424 - VNO (2KT)
2000000423 - VNO (CÂN TẢI)</t>
  </si>
  <si>
    <t xml:space="preserve">2*424,423: ĐI HẾT MAP CỦA LỆNH 2*381 
</t>
  </si>
  <si>
    <t>2200000784 - THP
2200000785 600mt của OTHY (hàng nguội)</t>
  </si>
  <si>
    <t>Đẩy nhanh tiến độ xong trước ngày 10/10</t>
  </si>
  <si>
    <t>Đẩy nhanh tiến độ xong trước ngày 10/10
Tối nay vào làm hàng (Nam nhắn)</t>
  </si>
  <si>
    <t>Thịnh Hải 02</t>
  </si>
  <si>
    <t xml:space="preserve"> Long Tân 79</t>
  </si>
  <si>
    <t xml:space="preserve">2200000784 - THP (cân tải) ~ 2000mt
2200000790 - NMCN - 2059mt
2000000422 - Minh Phú 1000mt
2200000786 - OTHY - 400mt </t>
  </si>
  <si>
    <t>Phải cắt hết lượng của tất cả các lệnh của Minh Phú, OTHY và NMCN</t>
  </si>
  <si>
    <t>BÍCH+HUY</t>
  </si>
  <si>
    <t>HÀNG ĐỦ OK, 1kt Minh Ngọc cắt sau vị hàng nóng</t>
  </si>
  <si>
    <t>Huyền Trang 02</t>
  </si>
  <si>
    <t xml:space="preserve">2000000405 - CTC 650mt
2000000358- LÊ PHAN GIA 2000MT (ngày 08/10 sản xuất)
400 tấn 30Mnsi - LIÊN HỆ CHỊ NGUYÊN </t>
  </si>
  <si>
    <t>405: xuất hàng 2.8/3.8/4.8/5.8
406: xuất hàng 2.8/3.8/4.8 (4.80 - 100mt)
Thứ 2 ngày 11/10 có thể cho vào làm luôn
Đợi hàng nguội thôi, lệnh sẽ duyệt hết trong ngày hôm nay</t>
  </si>
  <si>
    <t>BÍC + HA</t>
  </si>
  <si>
    <t>Theo ghi chú</t>
  </si>
  <si>
    <t xml:space="preserve"> Việt Thắng 126</t>
  </si>
  <si>
    <t>2200000784 - THP 1500mt
2200000770 - THP 270MT
2200000789 - NMCN 1300 cân tải</t>
  </si>
  <si>
    <t>HÀNG ĐỦ OK</t>
  </si>
  <si>
    <t>2000000418 - HSNH 2500mt (lot 1)</t>
  </si>
  <si>
    <t>Hàng sản xuất ngày 08-10/2021
Tàu này cần làm xong trong ngày mai để chạy trước bão</t>
  </si>
  <si>
    <t xml:space="preserve"> Bình Sơn 76</t>
  </si>
  <si>
    <t>2200000791 - NMCN - 560mt
2200000787 - OTHY - 160 mt
2200000789 - NMCN 700mt
2200000792 - THP</t>
  </si>
  <si>
    <t>Thứ 2 Huy bổ sung lệnh mới nhé
Chắc chắn có lệnh mới đợi huy thôi</t>
  </si>
  <si>
    <t>Mạnh Thắng 07</t>
  </si>
  <si>
    <t>2000000419 - TPHN 3000MT</t>
  </si>
  <si>
    <t>Thiềng Liềng</t>
  </si>
  <si>
    <t>1600000450 - XIAMEN 
1600000451 - XIAMEN
1600000502 - NIPPON (248T)</t>
  </si>
  <si>
    <t>Hàng đã nguội
Cân làm hàng xong sớm ngày 13/10/2021
Tàu chuyển tải xuất khẩu - Tàu tây dự kiến làm hàng 16-17/10/2021</t>
  </si>
  <si>
    <t>BÍCH
HA (Nippon)</t>
  </si>
  <si>
    <t>2000000411 - Quang Mười (1960 MT)
2200000800 - OTBD (chỉ xuất hàng 3.45)</t>
  </si>
  <si>
    <t>HA
HUY</t>
  </si>
  <si>
    <t>Hùng Mạnh 36</t>
  </si>
  <si>
    <t>2000000434 - Khôi nguyên
2000000435 - Khôi Nguyên
2200000796 - OTHY cân tải (200T)</t>
  </si>
  <si>
    <t>Tổng 2 lệnh của khôi nguyên tầm 2715mt
Xuất hết lượng theo mapping, ko cần hỏi lại</t>
  </si>
  <si>
    <t>2200000657 - THP (2400MT)
2000000430 - Việt Nhật (1985mt)</t>
  </si>
  <si>
    <t>2000000438 - CTC (đảo miền Nam =&gt; Bắc)
2000000436 - VINAS (1K9)
2200000657 - THP (CÂN TẢI)</t>
  </si>
  <si>
    <t xml:space="preserve"> Vũ Gia 18</t>
  </si>
  <si>
    <t>2000000408 - HS 
2000000429 - HS</t>
  </si>
  <si>
    <t>XUẤT THEO MAPPING
Hàng nguội</t>
  </si>
  <si>
    <t>Thái Hà 6666</t>
  </si>
  <si>
    <t>1600000515 - MARU (410)
1600000516 - MARU (250)
1600000517 - MARU (300)
1600000501 - NIPPON (1K3)
2200000759
2200000755,760
2200000763
2200000765</t>
  </si>
  <si>
    <t>22*759-755-760-763-765 ( (xuất theo list hàng trên nhóm Thông tin nhanh) Dán nhãn phụ)</t>
  </si>
  <si>
    <t>BÍCH
HA (Nippon)
HUY (OT)</t>
  </si>
  <si>
    <t xml:space="preserve"> Hoàng Anh 88</t>
  </si>
  <si>
    <t>2000000426 - Nam Hưng 2785 MT
2000000433 - Toàn Thắng 977 MT</t>
  </si>
  <si>
    <t>433: đi hàng map của lệnh 4*413</t>
  </si>
  <si>
    <t>2000000418 - HSNH 2500mt (lot 2)</t>
  </si>
  <si>
    <t>Quay đầu lấy nốt hàng
Có thể cho vào làm hàng luôn.</t>
  </si>
  <si>
    <t>XONG</t>
  </si>
  <si>
    <t>2200000800 (xuất theo list hàng trên nhóm Thông tin nhanh)</t>
  </si>
  <si>
    <t>2200000796 - OTHY 1100T
2000000439 - KN 1020
2000000440 - PVX 1050
2000000443 - PHÚ NAM (1KT) - NÓNG THÌ ĐỂ LẠI 
2200000798 - OTHY
2200000805 - NMCN</t>
  </si>
  <si>
    <t xml:space="preserve">HÀNG TỒN KHO RẤT NGUỘI
</t>
  </si>
  <si>
    <t>HUY
HUY
BÍCH
BÍCH</t>
  </si>
  <si>
    <t>2200000657 THP 400T
2000000437 - NGỌC THẮNG 1000MT
2000000428 - NHẬT QUANG 1000MT
2200000805 NMCN (cân tải)</t>
  </si>
  <si>
    <t>HUY
OANH
HUY</t>
  </si>
  <si>
    <t>Vũ Gia 09</t>
  </si>
  <si>
    <t>19-20.10.21</t>
  </si>
  <si>
    <t>Thanh Liêm 08</t>
  </si>
  <si>
    <t>2200000800 - OTBD xuất trước 2.00-2.50
2200000801 - OTBD xuất trước 2.10-2.50</t>
  </si>
  <si>
    <t>HÀNG NGUỘI, xuất lượng theo file trên nhóm thông tin nhanh</t>
  </si>
  <si>
    <t>Việt Phúc 05</t>
  </si>
  <si>
    <t>VỀ CHẬM QUÁ - HỦY</t>
  </si>
  <si>
    <t>2000000447 - KỲ ĐỒNG
2000000445 - KỲ ĐỒNG 
2000000359 - KỲ ĐỒNG
2000000451 - TÂY NAM STEEL - 1000 MT</t>
  </si>
  <si>
    <t>HA
OANH</t>
  </si>
  <si>
    <t xml:space="preserve">GIA BẢO 26 </t>
  </si>
  <si>
    <t xml:space="preserve">2000000441- AMECC (2k4)
2000000456 - VINAS (2KT) </t>
  </si>
  <si>
    <t>Hải Anh</t>
  </si>
  <si>
    <t>PHƯƠNG NAM 57</t>
  </si>
  <si>
    <t>22.10 20h</t>
  </si>
  <si>
    <t>2000000457 - CITICOM (1900)
2000000446 - THÉP HÌNH (1KT)</t>
  </si>
  <si>
    <t>457: XUẤT THEO YÊU CẦU (SẼ GỬI BỔ SUNG SỚM)</t>
  </si>
  <si>
    <t>BÍCH
HA</t>
  </si>
  <si>
    <t>10h 21.10</t>
  </si>
  <si>
    <t xml:space="preserve">2000000453 - ĐÔNG Á </t>
  </si>
  <si>
    <t>Xuất +10% mã 3.50x1262 (lấy 2 cục đã map vào lệnh 2*454 không cần chuyển map vì cùng 1 khách)</t>
  </si>
  <si>
    <t xml:space="preserve">22.10 </t>
  </si>
  <si>
    <t>2000000431 - TLPM - 1000MT
2000000432 - POSCO
2200000761 - THP 150T
2200000794 - ĐLHP
2200000795 - ĐLHP</t>
  </si>
  <si>
    <t>OANH
HA
HUY</t>
  </si>
  <si>
    <t>22.10 16h</t>
  </si>
  <si>
    <t>2000000458 - NGỌC THẮNG - 530 MT
2000000463 - PVX 750MT
2000000442 - HÙNG NGUYÊN (1KT)</t>
  </si>
  <si>
    <t>Oanh
Huy</t>
  </si>
  <si>
    <t>Nhất Long 16</t>
  </si>
  <si>
    <t>23.10.21</t>
  </si>
  <si>
    <t>2000000423 - VINAONE--&gt; CHECK LỆNH NÀY NHÉ 
2000000427 - VINAONE</t>
  </si>
  <si>
    <t xml:space="preserve">ANH DANH GHÉP ĐỒ LÊN TÀU NÀY NHÉ
ĐI MAPPING CỦA LỆNH 2*381 </t>
  </si>
  <si>
    <t xml:space="preserve">Hanh </t>
  </si>
  <si>
    <t>QUANG VINH 27</t>
  </si>
  <si>
    <t>2000000449 - KKBV (2000MT)
2000000450 - OT190 (1000MT)
2200000804 - NMCN (CÂN TẢI)</t>
  </si>
  <si>
    <t>OT190 &amp; KKBV LÊN TÀU NÀY NHÉ 
HẢI EM CHO NÓ VỀ MIPEC GIÚP T NHA</t>
  </si>
  <si>
    <t>24.10</t>
  </si>
  <si>
    <t>2200000804 - NMCN</t>
  </si>
  <si>
    <t>26/10/2021 13:00</t>
  </si>
  <si>
    <t>2200000809 THP
2000000457 - Citicom 1020MT</t>
  </si>
  <si>
    <t>457: không đi hàng 2.8 &amp; 3.8 (đi hết các hàng còn lại)</t>
  </si>
  <si>
    <t>26/10/2021 12:00</t>
  </si>
  <si>
    <t>2200000804 - NMCN
GHÉP 77 TẤN THÉP CỦA CHỊ NGUYÊN</t>
  </si>
  <si>
    <t>2000000448 - TVĐ 2600MT
2000000452 - OTVĐ 1400 MT
2000000459 - Minh Ngọc 7900mt (thiếu 3.00x1500)
2200000800,801 OTBD 4900T xuất theo list hàng gửi trên nhóm Thông tin nhanh
2200000805 - NMCN 1200T
2200000804 - NMCN cân tải</t>
  </si>
  <si>
    <t>448, 452: CUT HÀNG CUỐI CÙNG ĐỂ KHÁCH NGOÀI ĐƯỢC DỠ TRƯỚC
còn lại 8000mt =&gt; Huy cho lệnh của cán nguội + tôn nhé</t>
  </si>
  <si>
    <t>BÍCH
BÍCH
HUY
HUY</t>
  </si>
  <si>
    <t>NINHCO 66</t>
  </si>
  <si>
    <t>25.10.21</t>
  </si>
  <si>
    <t>26.10</t>
  </si>
  <si>
    <t>HỦY ĐI HẢI PHÒNG</t>
  </si>
  <si>
    <t>Thành Trung 36</t>
  </si>
  <si>
    <t>Đang làm</t>
  </si>
  <si>
    <t>2200000809 THP Ưu tiên xuất hàng 2.00x1212</t>
  </si>
  <si>
    <t>Bình Minh 136</t>
  </si>
  <si>
    <t>2000000455 - Toàn Thắng 
2200000800 - OTBD 200T hàng 2.00x1234
2200000797 - OTBD (chỉ xuất 4.55x1385) cân tải</t>
  </si>
  <si>
    <t xml:space="preserve">
CON NÀY CẦN XONG HÀNG GẤP </t>
  </si>
  <si>
    <t>2000000467 - TVP</t>
  </si>
  <si>
    <t>TVP có tầm 1000mt hàng nguội - cần KCS kiểm tra thực tế hàng hóa + mapping giúp em ạ
hàng sản xuất ngày 25-26/10 nhưng cần đi gấp
Hàng sản xuất ngày 26/10, còn nóng làm chậm</t>
  </si>
  <si>
    <t>28/10 22h- Bến 2</t>
  </si>
  <si>
    <t>2200000809 - THP (Đi hết)
2200000810 - OTHY
2200000807 - OTHY</t>
  </si>
  <si>
    <t>29.10 -bến 6</t>
  </si>
  <si>
    <t xml:space="preserve">
Hàng sx ngày 26.10 dự kiến 29.10 mới làm được
Cảng kiểm tình hình thực tế, nếu làm được thì sx để vào làm</t>
  </si>
  <si>
    <t>MINH KHÁNH 28</t>
  </si>
  <si>
    <t>29.10- bến 3</t>
  </si>
  <si>
    <t>2200000804 - NMCN
2000000466 - TMP
2200000806 - NMCN cân tải</t>
  </si>
  <si>
    <t>Hoàng Hải 68</t>
  </si>
  <si>
    <t>30.10 20h- bến 3</t>
  </si>
  <si>
    <t>2000000375 - SMC
2200000761 THP 25T chỉ xuất 1 cuộn
2000000464 NTHP 400T</t>
  </si>
  <si>
    <t>Hàng sx ngày 27.10 dự kiến 30.10 mới làm được
Cảng kiểm tình hình thực tế, nếu làm được thì sx để vào làm; 
30/10 VÀO LÀM NHÉ - GẤP ĐẤY</t>
  </si>
  <si>
    <t>BÍC
HUY
HUY</t>
  </si>
  <si>
    <t>CẬP NHẬT TÌNH HÌNH XUẤT HÀNG HRC THÁNG 9/2021</t>
  </si>
  <si>
    <t>tân cảng 128</t>
  </si>
  <si>
    <t xml:space="preserve">2200000741 - THP 3500 mt (cân tải)
2200000744 - THP 1000 mt
2200000746 - THP 330 mt </t>
  </si>
  <si>
    <t>746 có thể lấy cuộn nhỏ</t>
  </si>
  <si>
    <t xml:space="preserve">2000000366- nam hưng tháng 7  (C) (+10%) </t>
  </si>
  <si>
    <t>XUẤT VƯỢT 10%</t>
  </si>
  <si>
    <t>Hoàng Thiên Phú 88</t>
  </si>
  <si>
    <t xml:space="preserve">2000000361 - nam kim tháng 8 (C) </t>
  </si>
  <si>
    <t>2000000361 - nam kim tháng 8 (C)  (+5%)
1600000453 - GS Global</t>
  </si>
  <si>
    <t>Lệnh 453 hàng 11.8x1219 có 1 cuộn 17.8mt, xuất</t>
  </si>
  <si>
    <t>HA + BÍC</t>
  </si>
  <si>
    <t xml:space="preserve">QUANG VINH 27 </t>
  </si>
  <si>
    <t xml:space="preserve">2000000363 - đông á tháng 8 (SAE: C) </t>
  </si>
  <si>
    <t xml:space="preserve">2000000370 - TCĐ </t>
  </si>
  <si>
    <t>ĐOẠN XÁ</t>
  </si>
  <si>
    <t>2200000747 - THP (cân tải, mapping)</t>
  </si>
  <si>
    <t>2200000741 - THP (576 MT)
2200000744 - THP (150MT)
2200000748 - THP (1500MT)
2200000747 - THP (1200mt)</t>
  </si>
  <si>
    <t>741: lượng mapping còn lại, trừ  3.95x1232
744: lượng mapping còn lại
748: nguội
Tàu này gấp</t>
  </si>
  <si>
    <t>Đại Lộc Phát 358</t>
  </si>
  <si>
    <t>TrANSVINA</t>
  </si>
  <si>
    <t>2200000747 - THP (cân tải, mapping)
2200000754 THP C xuất theo list hàng đã gửi</t>
  </si>
  <si>
    <t>2200000754 THP C xuất theo list hàng đã gửi
2200000747 - THP (cân tải, mapping)</t>
  </si>
  <si>
    <t xml:space="preserve">2200000757 NMCN C chỉ xuất cuộn trên 17T
250t thép cuộn - liên hệ chị Nguyên </t>
  </si>
  <si>
    <t>Hùng Khánh 89</t>
  </si>
  <si>
    <t>2200000756 NMCN 1338T trên 17T
2200000757 NMCN trên 17T
2200000747 THP Cân Tải tàu</t>
  </si>
  <si>
    <t>Trường Sinh 68</t>
  </si>
  <si>
    <t>2200000758 - OTBD C cấp âm đủ tải tàu</t>
  </si>
  <si>
    <t>HÀNG NGUỘI</t>
  </si>
  <si>
    <t>2200000747 - THP</t>
  </si>
  <si>
    <t>Đại Hà 01</t>
  </si>
  <si>
    <t>2200000750 - OTHY - 1700mt (xuất trc)
2200000752 - OTHY - 550mt (xuất trc)
2200000751 - OTHY - 600mt (xuất sau cùng để dỡ trước)</t>
  </si>
  <si>
    <t>Đơn chuyển tải XK, cần xuất hàng gấp, ngay khi tàu đến cảng để kịp chuyển tải</t>
  </si>
  <si>
    <t>2000000360 - NAM HƯNG THÁNG 8 2000mt
2000000367 - Toàn Thắng 1000mt</t>
  </si>
  <si>
    <t>HÀNG NGUỘI, ĐÃ CÓ LỆNH 367, LỆNH 360 CUỐI GIỜ CHIỀU CÓ</t>
  </si>
  <si>
    <t xml:space="preserve">2000000370 - TCĐ
2000000371 - TCĐ
2200000747 - THP 2000mt </t>
  </si>
  <si>
    <t>Đang chờ dỡ đá, dự kiến 13/09 mới xong
Mr. Nam</t>
  </si>
  <si>
    <t>2000000379 - NQ
2000000343 - TMN</t>
  </si>
  <si>
    <t>có thể cho vào làm hàng, hàng nguội</t>
  </si>
  <si>
    <t>BÍC + HUY</t>
  </si>
  <si>
    <t>Trường Thành 26</t>
  </si>
  <si>
    <t>2200000747 - THP 1400mt
2200000762 - THP - 611 MT</t>
  </si>
  <si>
    <t>Có thể cho vào làm hàng, hàng nguội</t>
  </si>
  <si>
    <t>2000000376 - TVĐ  3050MT X</t>
  </si>
  <si>
    <t>Cần xong trong chiều 16/09</t>
  </si>
  <si>
    <t>2000000369 - TLPM
2000000373 - TLPM</t>
  </si>
  <si>
    <t>Nhật Long 16</t>
  </si>
  <si>
    <t>2200000747 - THP 
2000000378 - CTC 600MT</t>
  </si>
  <si>
    <t>378:  chỉ cắt hàng 2.00+3.10+3.40+2.80</t>
  </si>
  <si>
    <t>2000000391 - vinas 
2000000392 - vinas 
2200000747 - THP (CÂN TẢI )</t>
  </si>
  <si>
    <t>2200000747 - THP (cân tải)
2000000387 - PHÚC TIẾN
2200000768 - THP 370T C</t>
  </si>
  <si>
    <t>Chốt lệnh Phúc Tiến trong chiều 16/09</t>
  </si>
  <si>
    <t>HA + HUY</t>
  </si>
  <si>
    <t>2200000747 - THP (CÂN TẢI )
2000000377 - OT190 (3000MT) X</t>
  </si>
  <si>
    <t>Cần xong trong ngày 17/09</t>
  </si>
  <si>
    <t>2200000747 - THP (CÂN TẢI )
2000000384 - HÙNG NGUYÊN 
2000000383 - AMECC</t>
  </si>
  <si>
    <t xml:space="preserve"> Mạnh Thắng 68</t>
  </si>
  <si>
    <t>2000000380 - TMN (4000mt)</t>
  </si>
  <si>
    <t xml:space="preserve"> Gia Bảo 26</t>
  </si>
  <si>
    <t>2200000749 - OTHP XK (3000)
1600000454 - HANWA 311MT
2200000766 - OTHP XK (500MT)</t>
  </si>
  <si>
    <t>Tàu cần có mặt ở Nghi Sơn ngày 22/9
Đã mapping đủ, k bổ sung thêm lệnh nữa
Cần dán nhãn phụ (749)</t>
  </si>
  <si>
    <t>2000000393 - TMN (2400MT)
2000000378 - CTC 800MT X</t>
  </si>
  <si>
    <t>2200000753 - OTHP XK (MAPPING)</t>
  </si>
  <si>
    <t>KHÔNG BỔ SUNG THÊM LỆNH
753: cần dán nhãn phụ</t>
  </si>
  <si>
    <t>2200000747 - THP Cân tải</t>
  </si>
  <si>
    <t>BÌNH SƠN 76</t>
  </si>
  <si>
    <t xml:space="preserve">tân Cảng 128 </t>
  </si>
  <si>
    <t>2200000747 - THP Cân tải
2200000767 - THP</t>
  </si>
  <si>
    <t>747 HÀNG NGUỘI</t>
  </si>
  <si>
    <t>Minh Hằng 222</t>
  </si>
  <si>
    <t>2000000386 - Tôn Đông Á</t>
  </si>
  <si>
    <t>CÓ HÀNG NÓNG</t>
  </si>
  <si>
    <t xml:space="preserve">Tân cảng 128 </t>
  </si>
  <si>
    <t>2000000394 - TMN 3600MT
2200000770 - THP 700MT</t>
  </si>
  <si>
    <t>TÀU NÀY KHÔNG CẦN QUAY LẠI NỮA NHÉ
Lần sau mọi người đừng căt thiếu hàng của KH ngoài
Những lệnh 20*** cần xuất đủ lượng theo mapping</t>
  </si>
  <si>
    <t>2000000394 - TMN 130MT
2000000393 - TMN 1100MT
2200000747 - THP 1300MT
2200000770 - THP 2072 MT</t>
  </si>
  <si>
    <t>Hải Anh+HUY</t>
  </si>
  <si>
    <t>2000000396 - QH 1000MT
2000000368 - CTC 500MT
2000000365 - LPG 1000MT
2000000400 - Nam Kim (700t)</t>
  </si>
  <si>
    <t>tàu này trưa nay sẽ có full lệnh
Lệnh ctc và LPG đã duyệt
2*400: 
100mt hàng 4.0
còn lại là  hàng 4.5</t>
  </si>
  <si>
    <t>Bích+HA</t>
  </si>
  <si>
    <t>Biển Đông 189</t>
  </si>
  <si>
    <t>2000000374 - TVP 4670</t>
  </si>
  <si>
    <t>lệnh đã duyệt, hàng nguội</t>
  </si>
  <si>
    <t>2000000398 - Việt Nhật 2000mt
2200000772 - OTHY 1160MT</t>
  </si>
  <si>
    <t>2000000397 - Hoa Sen 3000MT</t>
  </si>
  <si>
    <t>Hàng nguội, chỉ làm 3000mt</t>
  </si>
  <si>
    <t>27.09.21</t>
  </si>
  <si>
    <t>lệnh đã duyệt, tối nay tàu vào làm (Nam nhắn)</t>
  </si>
  <si>
    <t xml:space="preserve"> Hiền Anh 668</t>
  </si>
  <si>
    <t xml:space="preserve">2000000400 - Nam Kim </t>
  </si>
  <si>
    <t>Đảo Lệnh, hàng oke thì tối nay vào làm (Nam nhắn)
Hàng rất ok, vào làm đc luông</t>
  </si>
  <si>
    <t>2000000385 -  Nam Phát
2000000402 - Thép Nam Phát
2000000401 - Kết cấu 568
2200000773 THP cân tải</t>
  </si>
  <si>
    <t>2200000773 - THP cân tải
2200000767 - THP 540MT</t>
  </si>
  <si>
    <t>Cắt hết lượng của 767 lên minh khánh 28 giúp e</t>
  </si>
  <si>
    <t>Phương Nam 46</t>
  </si>
  <si>
    <t>2000000399 - ĐÔNG Á - 3K5</t>
  </si>
  <si>
    <t>XUẤT HẾT TỒN KHO BAO GỒM CẢ HÀNG ĐÃ MAP VÀO LỆNH 2*386. 
LOẠI I, NHÓM C, &gt;18T</t>
  </si>
  <si>
    <t>4.0: 1200t, 4.5: 1900t</t>
  </si>
  <si>
    <t xml:space="preserve">2200000773 - THP 200MT
2200000747 - THP 300MT
2200000741 - THP 150 MT
2200000744 - THP 100MT
2000000390 - Chính Đại 2000mt 
2000000409 - Tiến lợi 1000mt
2200000778 - OTHY </t>
  </si>
  <si>
    <t xml:space="preserve">HÀNG SS400 NÓNG </t>
  </si>
  <si>
    <t>2200000777 - OTBD</t>
  </si>
  <si>
    <t>Châu Thành Ship 36</t>
  </si>
  <si>
    <t>2000000404 - TLPM 500
2000000403 - SMCTT 1700</t>
  </si>
  <si>
    <t>HĐ SMCTT CẦN CHỐT TRƯỚC 17H NGÀY 30/09
MỌI NGƯỜI KIỂM TRA GIÚP E XEM CÓ ĐÁP ỨNG ĐC HAY KO Ạ</t>
  </si>
  <si>
    <t>CẬP NHẬT TÌNH HÌNH XUẤT HÀNG HRC THÁNG 5/2021</t>
  </si>
  <si>
    <t>KHỐI LƯỢNG THỰC TẾ</t>
  </si>
  <si>
    <t>MINH HẰNG 198</t>
  </si>
  <si>
    <t>Xong 01.06</t>
  </si>
  <si>
    <t>2000000230 - TMP (1300 MT)
2200000425 - THP (1350 MT)
2200000553 - OTHY cân tàu</t>
  </si>
  <si>
    <t>- 230+425,553: nhóm C</t>
  </si>
  <si>
    <t>2200000553 -OTHY CD</t>
  </si>
  <si>
    <t>CD</t>
  </si>
  <si>
    <t>Xong 02.06</t>
  </si>
  <si>
    <t>2200000553 OTHY (1480T) CD
2200000557 OTHY  (720T) ABC
2200000558 OTHY cân tải ABC</t>
  </si>
  <si>
    <t>Xong 03.06</t>
  </si>
  <si>
    <t>2200000425 - THP CD (1500)
2200000550 - NMCN AB (1270)
2200000551 - NMCN AB (625)
2200000554 - OTHY CD (Cân tải)</t>
  </si>
  <si>
    <t>Hoàng Hải 268</t>
  </si>
  <si>
    <t>2200000553 - OTHY CD</t>
  </si>
  <si>
    <t>Minh Hằng 36</t>
  </si>
  <si>
    <t>2200000554 - OTHY CD (900 MT)
2200000555 - THP CD (365 MT)
2200000556 - OTHY AB (190 MT)
2200000425 - THP CD (2200 MT)
2000000230 - TMP</t>
  </si>
  <si>
    <t>425 - hàng nóng, sáng 3/6 nhập kho</t>
  </si>
  <si>
    <t>Xong 05.06</t>
  </si>
  <si>
    <t>2200000567 - THP (2300T) CD
2200000562 - OTHY cân tải AB</t>
  </si>
  <si>
    <t>Chiều 04.06 có lệnh
Chỉ đợi Ống thép chốt thôi</t>
  </si>
  <si>
    <t>HOÀNG ANH 68</t>
  </si>
  <si>
    <t>2000000249 - OT190 (200)
2000000248 - KKBV (300)
2200000562 - OTHY AB
2200000560 - NMCN AB
2200000563 - OTHY CD</t>
  </si>
  <si>
    <t>249+248: chiều 04.06 NK xong
Chiều 04.06 có lệnh</t>
  </si>
  <si>
    <t>BÍCH + HUY</t>
  </si>
  <si>
    <t>Xong 06.06</t>
  </si>
  <si>
    <t>2000000255 - KKVN - 1500 MT
2000000196 - TMN (2500 MT)
2000000193 - TMN (cân tải)</t>
  </si>
  <si>
    <t>HÀNG MINH NGỌC NÓNG</t>
  </si>
  <si>
    <t>Xong 07.06</t>
  </si>
  <si>
    <t>2000000254 - TCĐ (3200 MT)</t>
  </si>
  <si>
    <t>254: chiều 05.06 NK xong</t>
  </si>
  <si>
    <t>Xong 08.06</t>
  </si>
  <si>
    <t>2200000566 - OTHY CD</t>
  </si>
  <si>
    <t>hàng nguội
Không xuất cuộn nhỏ</t>
  </si>
  <si>
    <t>2000000257 - TMN CD</t>
  </si>
  <si>
    <t>- 257: cấp 2.45 và 2.75</t>
  </si>
  <si>
    <t>Minh Hằng 262</t>
  </si>
  <si>
    <t>Xong 09.06</t>
  </si>
  <si>
    <t>2000000193 - TMN (2300 MT)
2000000230 - TMP (1700 MT)
2200000560 - NMCN (AB)
2200000562 - OTHY (AB)</t>
  </si>
  <si>
    <t>- 193 + 230: nhóm C
- 193 chiều 7/6 NK xong
- 230: sáng 8/6 NK xong</t>
  </si>
  <si>
    <t>2000000211 - TMN (2500) CD
2000000257 - TMN CD (cân tải)</t>
  </si>
  <si>
    <t>- 211 Xuất hàng 2.20 và 2.45
- 257: cấp 2.45 và 2.75</t>
  </si>
  <si>
    <t>Xong 10.06</t>
  </si>
  <si>
    <t>2000000258 - TMP CD (3000 MT)
2200000568 - NMCN (CD) - cân tải</t>
  </si>
  <si>
    <r>
      <t xml:space="preserve">- 258: </t>
    </r>
    <r>
      <rPr>
        <b/>
        <sz val="14"/>
        <color theme="1"/>
        <rFont val="Times New Roman"/>
        <family val="1"/>
      </rPr>
      <t>xuất 2.23/2.73</t>
    </r>
  </si>
  <si>
    <t>LÊ PHAN GIA (1500 + 750)
2200000573 - OTBD AB (CÂN TẢI)</t>
  </si>
  <si>
    <t>HIỀN ANH 555</t>
  </si>
  <si>
    <t>2200000566 - OTHY CD (không xuất cuộn nhỏ) ~ 400 MT
2000000241 - SMC (2k)
2000000261 - Nam Kim (2k2)</t>
  </si>
  <si>
    <t xml:space="preserve">- 241: ABC, hàng nguội, ngày 09/6 thanh toán
261: NHÓM C, đi hết tồn các mác 2.40 và 2.75 </t>
  </si>
  <si>
    <t>BÍCH + HẢI ANH</t>
  </si>
  <si>
    <t>Vũ Gia 668</t>
  </si>
  <si>
    <t>Xong 11.06</t>
  </si>
  <si>
    <t>2200000569 - OTBD (CD) (2165MT)
2200000565 - OTBD (CD) (1019 MT)</t>
  </si>
  <si>
    <t>2000000240 - SMC (2000 MT)
2000000259 - TLPM (1000 MT)
200000256 - NTHP (450mt)</t>
  </si>
  <si>
    <t>Đợi ngày 10/6 để đủ 800 MT của TLPM
có trước 2k6</t>
  </si>
  <si>
    <t>2200000574 - OTBD AB (1160 MT)
2200000570 - OTBD (CD) (1160 MT)
2200000573 - OTBD AB (650 MT)</t>
  </si>
  <si>
    <t xml:space="preserve">2200000569 - OTBD (CD) </t>
  </si>
  <si>
    <t>Phương Nam 57</t>
  </si>
  <si>
    <t>Xong 13.06</t>
  </si>
  <si>
    <t>2200000577 - OTHY (CD) - 2730
2200000579 - OTHY (AB) - 200</t>
  </si>
  <si>
    <t>Xong 12.06</t>
  </si>
  <si>
    <t>TÂN CẢNG 128</t>
  </si>
  <si>
    <t>2200000578 - OTHY (CD) - 880
2200000581 - NMCN (AB) - 130
2200000580 - NMCN (AB) - 680
2200000542 - TÔN HP CD (CÂN TẢI)</t>
  </si>
  <si>
    <r>
      <t xml:space="preserve">- 542: NÓNG, SX NGÀY 09/06
</t>
    </r>
    <r>
      <rPr>
        <b/>
        <sz val="16"/>
        <color rgb="FFFF0000"/>
        <rFont val="Times New Roman"/>
        <family val="1"/>
      </rPr>
      <t>542: chỉ xuất max 400MT hàng 2.00x1212</t>
    </r>
  </si>
  <si>
    <t>Chính Quỳnh 99</t>
  </si>
  <si>
    <t>2000000246 - HOA SEN (5K) - NHÓM C</t>
  </si>
  <si>
    <r>
      <t xml:space="preserve">HÀNG SX NGÀY 09/06/21
</t>
    </r>
    <r>
      <rPr>
        <sz val="14"/>
        <color rgb="FFFF0000"/>
        <rFont val="Times New Roman"/>
        <family val="1"/>
      </rPr>
      <t>nhưng cần làm luôn để quay lại lấy nốt hàng, cần hoàn thành trc 15/6 cho cả 2 lượt</t>
    </r>
  </si>
  <si>
    <t>2200000542 - TÔN HP CD (CÂN TẢI)</t>
  </si>
  <si>
    <r>
      <t xml:space="preserve">- 542: NÓNG, SX NGÀY 09-10/06
</t>
    </r>
    <r>
      <rPr>
        <b/>
        <sz val="16"/>
        <color rgb="FFFF0000"/>
        <rFont val="Times New Roman"/>
        <family val="1"/>
      </rPr>
      <t>542: chỉ xuất max 400MT hàng 2.00x1212</t>
    </r>
  </si>
  <si>
    <t>Xong 15.06</t>
  </si>
  <si>
    <t>không xuất 2.00x1212 SAE</t>
  </si>
  <si>
    <t>Xong 16.06</t>
  </si>
  <si>
    <t>2200000582 - OTBD CD 1300 MT
2200000582 - OTBD CD 450 MT
2200000588 - OTBD AB 660 MT
2200000589 - OTBD AB 830 MT</t>
  </si>
  <si>
    <t>12.06 CÓ LỆNH</t>
  </si>
  <si>
    <r>
      <rPr>
        <sz val="14"/>
        <color rgb="FFFF0000"/>
        <rFont val="Times New Roman"/>
        <family val="1"/>
      </rPr>
      <t xml:space="preserve">2000000265 - TÔNG ĐÔNG Á (CD) - </t>
    </r>
    <r>
      <rPr>
        <b/>
        <sz val="14"/>
        <color rgb="FFFF0000"/>
        <rFont val="Times New Roman"/>
        <family val="1"/>
      </rPr>
      <t>1800t</t>
    </r>
    <r>
      <rPr>
        <sz val="14"/>
        <color theme="1"/>
        <rFont val="Times New Roman"/>
        <family val="1"/>
      </rPr>
      <t xml:space="preserve">
2000000261 - NAM KIM (CD) - </t>
    </r>
    <r>
      <rPr>
        <b/>
        <sz val="14"/>
        <color rgb="FFFF0000"/>
        <rFont val="Times New Roman"/>
        <family val="1"/>
      </rPr>
      <t>1460t</t>
    </r>
    <r>
      <rPr>
        <sz val="14"/>
        <color theme="1"/>
        <rFont val="Times New Roman"/>
        <family val="1"/>
      </rPr>
      <t xml:space="preserve">
2200000566 - OTHY HCM (760 MT)</t>
    </r>
  </si>
  <si>
    <r>
      <rPr>
        <sz val="14"/>
        <color rgb="FFFF0000"/>
        <rFont val="Times New Roman"/>
        <family val="1"/>
      </rPr>
      <t>265, 261:</t>
    </r>
    <r>
      <rPr>
        <b/>
        <sz val="14"/>
        <color rgb="FFFF0000"/>
        <rFont val="Times New Roman"/>
        <family val="1"/>
      </rPr>
      <t xml:space="preserve"> 90% KHÔNG VƯỢT </t>
    </r>
    <r>
      <rPr>
        <sz val="14"/>
        <color theme="1"/>
        <rFont val="Times New Roman"/>
        <family val="1"/>
      </rPr>
      <t xml:space="preserve">
</t>
    </r>
    <r>
      <rPr>
        <b/>
        <sz val="14"/>
        <color theme="1"/>
        <rFont val="Times New Roman"/>
        <family val="1"/>
      </rPr>
      <t xml:space="preserve">'CUT LẦN LƯỢT TỪNG MVT 
 </t>
    </r>
  </si>
  <si>
    <r>
      <t xml:space="preserve">2200000598 - OTBD AB - 1000 MT
2200000599 - OTBD CD - 1665 MT
</t>
    </r>
    <r>
      <rPr>
        <sz val="14"/>
        <color rgb="FFFF0000"/>
        <rFont val="Times New Roman"/>
        <family val="1"/>
      </rPr>
      <t xml:space="preserve">2200000600 - OTBD CD - cân tải </t>
    </r>
  </si>
  <si>
    <t>2200000596 - OTHY AB - 577 MT
2200000593 - THP CD - 595 MT</t>
  </si>
  <si>
    <t>LOT 2</t>
  </si>
  <si>
    <t>2200000573 - OTBD AB - 325 MT
2200000582 - OTBD CD - 190 MT
2200000597 - OTBD AB - 1565 MT
2200000598 - OTBD AB - CÂN TẢI (~550)</t>
  </si>
  <si>
    <t>Xong 18.06</t>
  </si>
  <si>
    <t>2000000265 - TÔNG ĐÔNG Á (CD)</t>
  </si>
  <si>
    <t xml:space="preserve">'CUT LẦN LƯỢT TỪNG MVT </t>
  </si>
  <si>
    <t>2000000268 - VIỆT ĐỨC (2K3)
2200000568 - NMCN CD (~317 MT)
2200000594 - THP CD - 192 MT
2200000595 - OTHY AB - 491
2200000542 - Tôn HP (cân tải)</t>
  </si>
  <si>
    <r>
      <t>-</t>
    </r>
    <r>
      <rPr>
        <b/>
        <sz val="14"/>
        <color rgb="FFFF0000"/>
        <rFont val="Times New Roman"/>
        <family val="1"/>
      </rPr>
      <t xml:space="preserve"> 268: Không xuất 2.00 và 4.80
- 542: không xuất 2.00x1212, hàng nóng sản xuất ngày 13-14/05
</t>
    </r>
    <r>
      <rPr>
        <b/>
        <sz val="14"/>
        <color theme="1"/>
        <rFont val="Times New Roman"/>
        <family val="1"/>
      </rPr>
      <t xml:space="preserve">'CUT LẦN LƯỢT TỪNG MVT </t>
    </r>
  </si>
  <si>
    <t>Minh Phát 58</t>
  </si>
  <si>
    <t>2000000213 - TVP (CD) - 2100T
2200000592 - TVP (CÂN TẢI) - gia cầm</t>
  </si>
  <si>
    <t xml:space="preserve">2000000227 - VIANONE (CD) - 260T
2200000591 - VINAONE (CD) </t>
  </si>
  <si>
    <r>
      <rPr>
        <sz val="14"/>
        <color rgb="FFFF0000"/>
        <rFont val="Times New Roman"/>
        <family val="1"/>
      </rPr>
      <t>227: 90%</t>
    </r>
    <r>
      <rPr>
        <sz val="14"/>
        <color theme="1"/>
        <rFont val="Times New Roman"/>
        <family val="1"/>
      </rPr>
      <t xml:space="preserve">
591: CÂN TẢI, ĐI HÀNG </t>
    </r>
    <r>
      <rPr>
        <b/>
        <sz val="14"/>
        <color rgb="FFFF0000"/>
        <rFont val="Times New Roman"/>
        <family val="1"/>
      </rPr>
      <t>1212</t>
    </r>
    <r>
      <rPr>
        <sz val="14"/>
        <color theme="1"/>
        <rFont val="Times New Roman"/>
        <family val="1"/>
      </rPr>
      <t xml:space="preserve"> TRƯỚC
</t>
    </r>
    <r>
      <rPr>
        <b/>
        <sz val="14"/>
        <color theme="1"/>
        <rFont val="Times New Roman"/>
        <family val="1"/>
      </rPr>
      <t xml:space="preserve">'CUT LẦN LƯỢT TỪNG MVT </t>
    </r>
  </si>
  <si>
    <t>Xong 19.06</t>
  </si>
  <si>
    <t>2200000590 - NAM HƯNG (CD)</t>
  </si>
  <si>
    <r>
      <t xml:space="preserve">~ 90% CÁC MÁC
</t>
    </r>
    <r>
      <rPr>
        <b/>
        <sz val="14"/>
        <color theme="1"/>
        <rFont val="Times New Roman"/>
        <family val="1"/>
      </rPr>
      <t xml:space="preserve">'CUT LẦN LƯỢT TỪNG MVT </t>
    </r>
  </si>
  <si>
    <t>Xong 20.06</t>
  </si>
  <si>
    <t>2000000270 - CTC ABC (1500 MT)
2000000267 - THÉP HÌNH (ABC) - 1KT
2200000542 - Tôn HP (cân tải)</t>
  </si>
  <si>
    <t>Hàng SS400 khổ 1500 - có hàng nóng (cũng có hàng nguội nhưng ko đủ hết)
542: xuất 2.45x1232</t>
  </si>
  <si>
    <t>2000000271 -TCĐ (CD) 2000T
2000000219 - HÙNG CƯỜNG (ABC) - 200T
2200000542 - Tôn HP (cân tải)</t>
  </si>
  <si>
    <t>542: xuất 2.45x1232
271: 1000T 2.45 và 1000T 2.75</t>
  </si>
  <si>
    <t>MIPEC</t>
  </si>
  <si>
    <t>2200000610 - THP CD (405 MT)
2200000611 - THP CD (350 MT)
2200000605 - NMCN AB (1130 MT)
2200000606 - NMCN AB (1065 MT)
2200000615 - OTHY CD (510 MT)</t>
  </si>
  <si>
    <t>Phú Đạt 169</t>
  </si>
  <si>
    <t>2000000273 - Kỳ Đồng (~1000 MT)
2200000600 - OTBD CD (550 MT)
2200000608 - OTBD AB (~900 MT)
2200000616 - OTBD CD (1380 MT)
2200000607 - OTBD AB (Cân tải)</t>
  </si>
  <si>
    <t>- 600: không xuất 3.95x1262
- 607: không xuất 2.45x1232 SAE II và 2.95x1230 SAAE II</t>
  </si>
  <si>
    <t>HẢI ANH + HUY</t>
  </si>
  <si>
    <t>Đại Dương 88</t>
  </si>
  <si>
    <t>2000000266 - PHÚC TIẾN (ABC) - 1KT
2200000614 - OTHY CD (~1950)</t>
  </si>
  <si>
    <t>HOÀNG ANH 88</t>
  </si>
  <si>
    <t>Xong 22.06</t>
  </si>
  <si>
    <t>2200000614 - OTHY CD (2000 MT)
2200000542 - Tôn HP CD (cân tải) ~2000 MT</t>
  </si>
  <si>
    <t>- 542: chiều ngày 20/6 Mới nhập kho</t>
  </si>
  <si>
    <t>Gia Hưng 68</t>
  </si>
  <si>
    <t>Xong 23.06</t>
  </si>
  <si>
    <t>2200000592 - TVP (~1200 MT) - gia cầm
2000000272 - Toàn Thắng (1000 mt)
2200000617 - OTBD
2200000600 - OTBD
2200000607 - OTBD (TỔNG 3 LỆNH 900mt)</t>
  </si>
  <si>
    <r>
      <rPr>
        <b/>
        <sz val="14"/>
        <color rgb="FFFF0000"/>
        <rFont val="Times New Roman"/>
        <family val="1"/>
      </rPr>
      <t>-22*600: 3.95x1262 SAE1006 II
- 22*607: 2.45x1232 SAE II và 2.95x1230 SAE II
- 22*617: 3.95x1262 SAE II</t>
    </r>
    <r>
      <rPr>
        <sz val="14"/>
        <color theme="1"/>
        <rFont val="Times New Roman"/>
        <family val="1"/>
      </rPr>
      <t xml:space="preserve">
Đợi sx thêm 60MT cho TVP + OTBD chọn thêm</t>
    </r>
  </si>
  <si>
    <t>2200000542 - Tôn HP CD</t>
  </si>
  <si>
    <t>HẢI HÀ 268</t>
  </si>
  <si>
    <t>2200000622 - OTHY 2700T CD
2200000619 - OTHY 500T AB</t>
  </si>
  <si>
    <t>CFC 03</t>
  </si>
  <si>
    <t>Xong 24.06</t>
  </si>
  <si>
    <t>2000000274 - KKBV (1400 MT)
2000000275 - OT190 (1600 MT)</t>
  </si>
  <si>
    <t>Minh Đức 68</t>
  </si>
  <si>
    <t>Xong 25.06</t>
  </si>
  <si>
    <t xml:space="preserve">THIÊN LỘC THÀNH </t>
  </si>
  <si>
    <t>2200000591 - GIA CẦM HÒA PHÁT (CD) - 1800T</t>
  </si>
  <si>
    <t>HẢI ANH</t>
  </si>
  <si>
    <t>Hải Thắng 18</t>
  </si>
  <si>
    <t>MINH HẰNG 198</t>
  </si>
  <si>
    <t>Xong 26.06</t>
  </si>
  <si>
    <t>2000000277 - THIÊN TRƯỜNG (ABC) - 2kt
2000000263 - NHẬT QUANG - 1kt
2200000618 - OTHY 680T AB</t>
  </si>
  <si>
    <t xml:space="preserve">263: có 800 MT sáng 23/6 NK (nhưng cần đi gấp)
277: ĐI HÀNG 2.8 CỦA POSCO </t>
  </si>
  <si>
    <t>BÍCH + HẢI ANH
HUY</t>
  </si>
  <si>
    <t>2000000268 - VIỆT ĐỨC - 700 mt
2000000276 - Phú Nam - 1kt
2000000278 - Nam Phát  1kt
2200000623 - OTHY CD</t>
  </si>
  <si>
    <t>276, 278: ĐI HÀNG 2.8 CỦA POSCO</t>
  </si>
  <si>
    <t>Quang Vinh 27</t>
  </si>
  <si>
    <t>Xong 27.06</t>
  </si>
  <si>
    <t>2000000211 - Minh Ngọc (chốt lệnh T5 - 3900mt)
2200000623- OTHY CD</t>
  </si>
  <si>
    <t>2200000624  THP 112T CD
2200000625 THP 148T CD
2200000626 - THP 466T CD
'2000000257 - Minh Ngọc (t6) ~ cân tải ~ 2400</t>
  </si>
  <si>
    <t>- 257: xuất 2.45x1250 SAE (hết lệnh) + 2.20X1250 (cân tải)</t>
  </si>
  <si>
    <t>TRƯỜNG AN 125</t>
  </si>
  <si>
    <t>Xong 28.06</t>
  </si>
  <si>
    <t>2000000258 - MINH PHÚ (4000 MT)
2000000271 - TCĐ ~ 1000 MT</t>
  </si>
  <si>
    <t>- 258: 2.23+2.43 xuất trc (hết) =&gt; 2.00</t>
  </si>
  <si>
    <t>2200000633-THP- 3097T CD
2200000634 -THP- 43T CD
2200000636 OTHY 200T CD cân tải</t>
  </si>
  <si>
    <t>Đức Minh 555</t>
  </si>
  <si>
    <t>2200000637 NMCN 1400T CD
2200000641 OTHY 1000T ABC
2200000642 OTHY 250T ABC
2200000628 NMCN 130T AB
2200000644 THP CD (cân tải)</t>
  </si>
  <si>
    <t>Xong 29.06</t>
  </si>
  <si>
    <t>2200000627 - NMCN 1300T AB
2200000635 - OTHY 2240T CD</t>
  </si>
  <si>
    <t>2000000257 - TMN CD (cân tải tàu)</t>
  </si>
  <si>
    <t>Xuất từ hàng dày =&gt; hàng mỏng</t>
  </si>
  <si>
    <t>2200000644 THP CD</t>
  </si>
  <si>
    <t>2200000607 - OTBD (1210 mt)
2200000616 - OTBD (295)
2200000617 - OTBD (510)
2200000620 - OTBD (1350)</t>
  </si>
  <si>
    <t>2200000621 - OTBD (37)
2200000608 - OTBD (22 MT)
2200000631 - OTBD 470T AB
2200000632 - OTBD 720T AB
2200000639 - OTBD 175T CD
2200000640 - OTBD 1400T CD
2200000643 - OTBD 339T CD
2200000646 - OTBD AB</t>
  </si>
  <si>
    <t>Hoàng Anh 45</t>
  </si>
  <si>
    <t>2200000542 - Tôn HP 1350 MT
2200000644 THP CD 1800 MT</t>
  </si>
  <si>
    <t>Xong 01.07</t>
  </si>
  <si>
    <t>2200000542 - THP 900MT
2200000647 -NMCN AB cân tải</t>
  </si>
  <si>
    <t>`</t>
  </si>
  <si>
    <t>CẬP NHẬT TÌNH HÌNH XUẤT HÀNG HRC THÁNG 7/2021</t>
  </si>
  <si>
    <t>2200000647 NMCN 1000T AB
2200000650 NMCN CD cân tải</t>
  </si>
  <si>
    <t>Ninh Co 66</t>
  </si>
  <si>
    <t>2000000280 chính Đại 2K4 (để lại 100 mt 2.00x1250 cho NT) CD
2200000650 NMCN 1700T CD
2200000651 NMCN CD cân tải</t>
  </si>
  <si>
    <t>200000256 - NTHP 100T (Hàng kho đã đánh dấu riêng)
220000656 - Tôn HP CD (chú ý list hàng ưu tiên)</t>
  </si>
  <si>
    <t>Xong 02.07</t>
  </si>
  <si>
    <t>220000656 - Tôn HP CD (chú ý list hàng ưu tiên)</t>
  </si>
  <si>
    <t>Xong 04.07</t>
  </si>
  <si>
    <t>2200000645 - OTBD AB (900MT)
2200000646 - OTBD AB (290 MT)
2200000654 - OTBD CD (2700 MT) - cân tải)</t>
  </si>
  <si>
    <t>Long Hải 268</t>
  </si>
  <si>
    <t>Xong 06.07</t>
  </si>
  <si>
    <t>2200000659 - NMCN (CD) - 950T
2200000658 - NMCN (AB) - 1KT</t>
  </si>
  <si>
    <t>NGUỘI, TỒN KHO</t>
  </si>
  <si>
    <t>Trung Dũng Star</t>
  </si>
  <si>
    <t>2200000542 - THP (CD) -  HÀNG 2.0X1212</t>
  </si>
  <si>
    <t>vừa NK đủ chiều 05/07</t>
  </si>
  <si>
    <t>Xong 07.07</t>
  </si>
  <si>
    <t>2200000659 - NMCN (CD)</t>
  </si>
  <si>
    <t xml:space="preserve">2200000542 - THP CD -  HÀNG 2.0X1212 </t>
  </si>
  <si>
    <t>6/7  NK đủ hàng của tôn</t>
  </si>
  <si>
    <t>Xong 09.07</t>
  </si>
  <si>
    <t>2200000657 - THP (CD) - 2360 MT
2200000658 - NMCN (AB) - 1256 MT
2200000662 - OTHY (Hàng gỉ) - có list (152mt)
2200000663 - OTHY (Hàng gỉ) - có list hàng (85mt)
Ghép 150MT MnSi</t>
  </si>
  <si>
    <t>- 657: đi hết hàng 2.45x1262 xuất vượt hết tồn kho, rồi xuất hàng khác
2 Lệnh gỉ: Đi hết hàng gỉ, bắt buộc</t>
  </si>
  <si>
    <t>HOÀNG ANH 39</t>
  </si>
  <si>
    <t xml:space="preserve">2200000664 - OTHP (AB) - 348T
2200000667 - OTHP (CD) - 21T
2200000668 - NMCN (CD) - 1524T
2200000666 - OTHP (CD) - 1299T - CÂN TẢI </t>
  </si>
  <si>
    <t xml:space="preserve">HÀNG NGUỘI 
</t>
  </si>
  <si>
    <r>
      <t xml:space="preserve">2200000666 - OTHP (CD) - 222T
2200000665 - NMCN (AB) - 1115T
2200000669 - NMCN (CD) - 640T
2200000670 - NMCN (AB) - 736T
2200000661 - TÔN (CD) - 256T
</t>
    </r>
    <r>
      <rPr>
        <sz val="14"/>
        <color rgb="FFFF0000"/>
        <rFont val="Times New Roman"/>
        <family val="1"/>
      </rPr>
      <t xml:space="preserve">2200000671 - TÔN (CD) - 436T </t>
    </r>
    <r>
      <rPr>
        <sz val="14"/>
        <color theme="1"/>
        <rFont val="Times New Roman"/>
        <family val="1"/>
      </rPr>
      <t xml:space="preserve">
2200000657 - THP (CD) - HÀNG 2.45X1262 (245mt)</t>
    </r>
  </si>
  <si>
    <t xml:space="preserve">HÀNG NGUỘI
</t>
  </si>
  <si>
    <t>Xong 10.07</t>
  </si>
  <si>
    <t xml:space="preserve">2200000657 - THP (CD) </t>
  </si>
  <si>
    <t>GIA HƯNG 68</t>
  </si>
  <si>
    <t>2200000654 - OTBD CD - 316T
2200000672 - OTBD CD 1000T
2200000673 - OTBD CD 1000T
2200000655 - OTBD CD 612T
2200000676 - OTBD AB 756T
2200000677 - OTBD CD 274T</t>
  </si>
  <si>
    <t>Hàng nguội
Đợi bổ sung thêm</t>
  </si>
  <si>
    <t>Xong 11.07</t>
  </si>
  <si>
    <t xml:space="preserve">2000000281 - HOA SEN </t>
  </si>
  <si>
    <t>XUẤT HÀNG NHÓM C
HÀNG MỚI SX NGÀY 5-6-7/07</t>
  </si>
  <si>
    <t>2200000681 - NMCN CD 3045T</t>
  </si>
  <si>
    <t>2200000657 - THP (CD) 1K1
2200000678 THP CD 1417T
2200000679 NMCN AB 765T
2200000680 NMCN AB 455T</t>
  </si>
  <si>
    <t>Việt Anh 01</t>
  </si>
  <si>
    <t>xong 13.7</t>
  </si>
  <si>
    <t>2000000257 - TMN ~ 1500 MT
2000000258 - TMP ~ 1450 MT
2000000280 - TCĐ ~ 1650 MT
2200000636 - OTHY ~ 200 MT CD
2200000680 - NMCN ~ 130 MT AB
2200000681 - NMCN ~ 131 MT CD
2200000682 - NMCN ~ 146 CD
2200000657 - THP (CD) cân tải (236MT)</t>
  </si>
  <si>
    <t>657: xuất hàng 1232 nhưng ko xuất hàng 2.00x1232</t>
  </si>
  <si>
    <t>Xong 15.07</t>
  </si>
  <si>
    <t>Vũng Tàu</t>
  </si>
  <si>
    <r>
      <t xml:space="preserve">2000000286 - POSCO (1k) hàng nóng
2000000287 - SMC (2K) HÀNG NGUỘI
</t>
    </r>
    <r>
      <rPr>
        <sz val="14"/>
        <color rgb="FFFF0000"/>
        <rFont val="Times New Roman"/>
        <family val="1"/>
      </rPr>
      <t>2000000288 - TLPM (1K) HÀNG NGUỘI</t>
    </r>
  </si>
  <si>
    <r>
      <t xml:space="preserve">Có thể vào làm trc 3k, 
</t>
    </r>
    <r>
      <rPr>
        <b/>
        <sz val="14"/>
        <color rgb="FFFF0000"/>
        <rFont val="Times New Roman"/>
        <family val="1"/>
      </rPr>
      <t>1k Posco làm sau cần đi gấp, hạn 15/7</t>
    </r>
  </si>
  <si>
    <t>Bích + Hải Anh</t>
  </si>
  <si>
    <t>Hiền Anh 668</t>
  </si>
  <si>
    <t>Xong 16.07</t>
  </si>
  <si>
    <r>
      <t>2000000265 - ĐÔNG Á (CD)</t>
    </r>
    <r>
      <rPr>
        <b/>
        <sz val="14"/>
        <color rgb="FFFF0000"/>
        <rFont val="Times New Roman"/>
        <family val="1"/>
      </rPr>
      <t xml:space="preserve">
</t>
    </r>
    <r>
      <rPr>
        <sz val="14"/>
        <color theme="1"/>
        <rFont val="Times New Roman"/>
        <family val="1"/>
      </rPr>
      <t>2000000284 - ĐÔNG Á (CD)</t>
    </r>
  </si>
  <si>
    <r>
      <t xml:space="preserve">265: </t>
    </r>
    <r>
      <rPr>
        <sz val="14"/>
        <color rgb="FFFF0000"/>
        <rFont val="Times New Roman"/>
        <family val="1"/>
      </rPr>
      <t xml:space="preserve">2.20x1234 (chỉ cấp 130 tấn) </t>
    </r>
    <r>
      <rPr>
        <sz val="14"/>
        <color theme="1"/>
        <rFont val="Times New Roman"/>
        <family val="1"/>
      </rPr>
      <t xml:space="preserve">
284: đủ dung sai trên 90%</t>
    </r>
  </si>
  <si>
    <t>2000000285 - NAM KIM (CD)</t>
  </si>
  <si>
    <t>Xong 17.07</t>
  </si>
  <si>
    <t>2000000289 - Kỳ Đồng - 1kt (ABCD)
+ 30mnsi</t>
  </si>
  <si>
    <t xml:space="preserve">15/7 có hàng nguội
30mnsi liên hệ chị Nguyên </t>
  </si>
  <si>
    <t>THÁI SƠN 16</t>
  </si>
  <si>
    <t>2000000283 - MỸ VIỆT 2K
2200000657 - THP (CD) cân tải (1700MT)</t>
  </si>
  <si>
    <t>657: xuất hàng 1232 nhưng ko xuất hàng 2.00x1232 (đang đợi NK tiếp), có hàng nguội có thể là trc</t>
  </si>
  <si>
    <t>GIA BẢO 26</t>
  </si>
  <si>
    <r>
      <t xml:space="preserve">2000000292 - PHÚ NAM (ABC) - 1KT
2000000290 - NAM PHÁT (ABC) - 1KT
2200000683 - OTHY - AB 674T
2200000684 - OTHY - AB  696T
</t>
    </r>
    <r>
      <rPr>
        <sz val="14"/>
        <color rgb="FFFF0000"/>
        <rFont val="Times New Roman"/>
        <family val="1"/>
      </rPr>
      <t>2000000295 - Tấn Phát - 1000 MT</t>
    </r>
    <r>
      <rPr>
        <sz val="14"/>
        <color theme="1"/>
        <rFont val="Times New Roman"/>
        <family val="1"/>
      </rPr>
      <t xml:space="preserve">
2200000686 - OTHY - 400MT</t>
    </r>
  </si>
  <si>
    <t xml:space="preserve">
292,290: CÓ HÀNG NÓNG, MỚI NHẬP KHO CHIỀU NAY
295: hàng nguội, delay do khách chưa kịp TT</t>
  </si>
  <si>
    <t>HUY+ BÍCH</t>
  </si>
  <si>
    <r>
      <rPr>
        <sz val="14"/>
        <color rgb="FFFF0000"/>
        <rFont val="Times New Roman"/>
        <family val="1"/>
      </rPr>
      <t>2000000293 - CITICOM - ABC- 1K5</t>
    </r>
    <r>
      <rPr>
        <sz val="14"/>
        <color theme="1"/>
        <rFont val="Times New Roman"/>
        <family val="1"/>
      </rPr>
      <t xml:space="preserve">
2200000685 - NMCN AB 1300T
2200000687 - OTHY CD 198T</t>
    </r>
  </si>
  <si>
    <t>Lệnh CTC cần đi gấp, chiều nay nhập kho</t>
  </si>
  <si>
    <t>HUY + BÍCH</t>
  </si>
  <si>
    <r>
      <rPr>
        <sz val="14"/>
        <color rgb="FFFF0000"/>
        <rFont val="Times New Roman"/>
        <family val="1"/>
      </rPr>
      <t>2000000296 - KHOI NGUYEN - 1000 MT</t>
    </r>
    <r>
      <rPr>
        <sz val="14"/>
        <color theme="1"/>
        <rFont val="Times New Roman"/>
        <family val="1"/>
      </rPr>
      <t xml:space="preserve">
2200000694 - NMCN AB - 294 MT
2200000657 THP 1000T CD (có thể cấp vượt)
2200000695 OTHY ABC (2650 MT)</t>
    </r>
  </si>
  <si>
    <t>- 294: nhóm C
'- 695 cấp 2650 MT thôi, để lại cho 2 tàu sau</t>
  </si>
  <si>
    <t>Xong 19.07</t>
  </si>
  <si>
    <t>2200000695 OTHY ABC (2950 MT)</t>
  </si>
  <si>
    <t>Hai tàu này cân đối lệnh 695
Cố gắng cân đối để 2 tàu mỗi tàu thiếu 1 ít (50mt) nếu cần</t>
  </si>
  <si>
    <t>VIỆT THUẬN 08</t>
  </si>
  <si>
    <t>2200000695 OTHY ABC (2450 MT)</t>
  </si>
  <si>
    <t>Xong 20.07</t>
  </si>
  <si>
    <t>2200000689 OTBD CD - 635 MT
2200000692 OTBD AB - 300MT
2200000693 OTBD AB - 770 MT
2200000698 OTBD CD - 2037 MT
2200000699 OTBD CD - 629 MT
2200000700 OTBD AB - 260 MT
2200000701 OTBD AB - 35 MT</t>
  </si>
  <si>
    <t>2000000294 - TMPHD CD - 500MT
2000000297 - TMPHD CD - 2100 MT
2200000697 - NMCN CD - 650 MT
2200000696 - NMCN CD - CÂN TẢI (750 MT)</t>
  </si>
  <si>
    <t>Xong 21.07</t>
  </si>
  <si>
    <t>2000000294 - TMP CD - 2000 MT
2200000696 - NMCN CD - 1100 MT (CÂN TẢI)</t>
  </si>
  <si>
    <t>Sao Thủy 01</t>
  </si>
  <si>
    <t xml:space="preserve">Xong </t>
  </si>
  <si>
    <r>
      <t xml:space="preserve">2000000298 - PHÚC TIẾN (ABC) - 1KT 
2000000299 - MỸ VIỆT (1K5) 
</t>
    </r>
    <r>
      <rPr>
        <sz val="14"/>
        <color rgb="FFFF0000"/>
        <rFont val="Times New Roman"/>
        <family val="1"/>
      </rPr>
      <t>2200000300 - MINH NGỌC (CÂN TẢI -  2.45X1230) 930mt</t>
    </r>
    <r>
      <rPr>
        <sz val="14"/>
        <color theme="1"/>
        <rFont val="Times New Roman"/>
        <family val="1"/>
      </rPr>
      <t xml:space="preserve">
</t>
    </r>
  </si>
  <si>
    <r>
      <t xml:space="preserve">299:  500T HÀNG NK TỪ NGÀY 19/7
</t>
    </r>
    <r>
      <rPr>
        <sz val="14"/>
        <color rgb="FFFF0000"/>
        <rFont val="Times New Roman"/>
        <family val="1"/>
      </rPr>
      <t>ĐÃ ĐỔI LỆNH</t>
    </r>
  </si>
  <si>
    <t>HAI ANH + HUY</t>
  </si>
  <si>
    <t>Xong 23.07</t>
  </si>
  <si>
    <t xml:space="preserve">2000000300 - MINH NGỌC </t>
  </si>
  <si>
    <t>SAE1006 ĐI NHÓM C 
HÀNG NGUỘI</t>
  </si>
  <si>
    <t xml:space="preserve">HUY </t>
  </si>
  <si>
    <r>
      <t xml:space="preserve">SAE1006 ĐI NHÓM C 
SS400 ĐI NHÓM ABC
HÀNG NGUỘI
</t>
    </r>
    <r>
      <rPr>
        <sz val="14"/>
        <color rgb="FFFF0000"/>
        <rFont val="Times New Roman"/>
        <family val="1"/>
      </rPr>
      <t>Để 400mt 2.45x1230 cho KKVN</t>
    </r>
  </si>
  <si>
    <t>MẠNH THẮNG 69</t>
  </si>
  <si>
    <t>Xong 25.07</t>
  </si>
  <si>
    <t xml:space="preserve">2200000657 - TÔN </t>
  </si>
  <si>
    <t>HÀNG 1232 SẢN XUẤT NGÀY 20-21/7 
NHÓM C</t>
  </si>
  <si>
    <t>THÀNH ĐẠT 328</t>
  </si>
  <si>
    <t>2000000303 - KKVN 1000mt
2000000302 - TVĐ 2000MT</t>
  </si>
  <si>
    <t>Sáng 25/07 NK đủ
Hàng 2.00x1250 giao đủ dung sai min</t>
  </si>
  <si>
    <t>HẢI AN 36</t>
  </si>
  <si>
    <t>2000000301 - NHẬT QUANG (1KT)
2000000304 - TẤN PHÁT (1KT)
2200000702 - Tôn HP CD (1450 mt)</t>
  </si>
  <si>
    <t>Chiều 25.07 nhập kho đủ
Hàng 2.00x1250 giao đủ dung sai min
KHÔNG XUẤT 2.00X1232</t>
  </si>
  <si>
    <t>Hùng Khánh 123</t>
  </si>
  <si>
    <t>2200000703 - BĐSHP (HÀNG VNO)</t>
  </si>
  <si>
    <t>NHÓM C 
XUẤT +10% 2.20X1232</t>
  </si>
  <si>
    <t xml:space="preserve">Hải Anh </t>
  </si>
  <si>
    <t>TRƯỜNG SINH 68</t>
  </si>
  <si>
    <t>2000000307 - Hoa Sen (2500mt)
2000000306 - NTHP ABC (400mt)</t>
  </si>
  <si>
    <t>Ngày 25 sản xuất, ngày 26.07 bổ sung lệnh</t>
  </si>
  <si>
    <t>2200000702 - TÔN HP CD (5250 MT)</t>
  </si>
  <si>
    <t>Hàng sx ngày 24-25/07</t>
  </si>
  <si>
    <t>2000000300 - MINH NGỌC CD (800 MT) hàng 1230
2200000702 Tôn HP CD</t>
  </si>
  <si>
    <t>Hàng nguội</t>
  </si>
  <si>
    <t>2200000706 -NMCN 1500T
2200000702 - TÔN HP CD (2720 mt)
wire rod (350mt)</t>
  </si>
  <si>
    <t>Hàng sx ngày 24-25-26/07</t>
  </si>
  <si>
    <t>2200000706 -NMCN 1450T (chốt hết)
2200000702 - TÔN HP CD (345mt)
2200000710 - NMCN CD 505 mt
2200000711 - THP CD 500mt
2200000712 - OTHY ABC 515</t>
  </si>
  <si>
    <t>Hàng sx ngày 26-27-28/07</t>
  </si>
  <si>
    <t>Dolphin 15</t>
  </si>
  <si>
    <t>2200000706 -NMCN 1500T
2200000707 -NMCN 900T
2200000704 - THP 326T
2200000702 - TÔN HP CD (2000mt)</t>
  </si>
  <si>
    <t>Các lệnh 706, 707, 704 hàng nguội</t>
  </si>
  <si>
    <t>2000000310 - KKBV 2450 MT
Lượng còn lại của các lệnh NMCN/OTHY</t>
  </si>
  <si>
    <t>Lệnh 310 xuất hết AB =&gt; CD
Mọi người cân đối các lệnh NMCN/OTHY từ tàu Gia Hưng sang QN 6378 ạ</t>
  </si>
  <si>
    <t>Bích</t>
  </si>
  <si>
    <t>Star 26</t>
  </si>
  <si>
    <t>2000000308 - HOA SEN (CD)
2000000311 - HOA SEN (CD)</t>
  </si>
  <si>
    <t>Bách Khoa 86</t>
  </si>
  <si>
    <t>2200000702 - TÔN HP CD (1200 MT)
2000000309 - KKBV (2000MT)</t>
  </si>
  <si>
    <t>Đổi tàu Đại Lộc Phát</t>
  </si>
  <si>
    <t>CẬP NHẬT TÌNH HÌNH XUẤT HÀNG HRC THÁNG 8/2021</t>
  </si>
  <si>
    <t>GIA BẢO 268</t>
  </si>
  <si>
    <t>2200000702 - Tôn HP</t>
  </si>
  <si>
    <t>MINH KHÁNH 86</t>
  </si>
  <si>
    <t>2000000314 - Chính Đại</t>
  </si>
  <si>
    <t> </t>
  </si>
  <si>
    <t>Hoàng Bảo 688</t>
  </si>
  <si>
    <t>2000000314 - Chính Đại
2000000297 - Thép Minh Phú
2000000294 - Thép Minh Phú</t>
  </si>
  <si>
    <t>Hàng sx ngày 01-02-03/08</t>
  </si>
  <si>
    <t>2000000315 - BMT
2200000714 - THP CD
2200000702 - THP CD</t>
  </si>
  <si>
    <t>2000000318 - VINAS - ABC (2000MT)
2000000300 - TMN (1400mt)</t>
  </si>
  <si>
    <t>318: Hàng 9.8 lên cuộn 14 tấn trở lên  
        Hàng 7.8 lên cuộn 15 tấn trở lên
TMN: đủ hàng nguội, sx ngày 1/8</t>
  </si>
  <si>
    <t xml:space="preserve">Quang Vinh 27 </t>
  </si>
  <si>
    <t>2200000708 - OTBD AB 706 MT
2200000709 - OTBD AB 691 MT
2200000716 - OTBD AB 478 MT
2200000715 - OTBD AB 3571 MT (Cân tải)</t>
  </si>
  <si>
    <t>Hàng nguội; ngày 5/8 bổ sung lệnh đủ</t>
  </si>
  <si>
    <t>tân Cảng 128</t>
  </si>
  <si>
    <t>2200000717 - OTHY AB 1026 MT
2200000718 - OTHY AB 3233 MT (cân tải)</t>
  </si>
  <si>
    <t>Ngày 5/8 bổ sung lệnh đủ + hàng nguội</t>
  </si>
  <si>
    <t>Tuấn Huy 16</t>
  </si>
  <si>
    <t>transvina</t>
  </si>
  <si>
    <t>2200000718 - OTHY AB 709 MT
2200000720 - NMCN AB 2245 MT
2200000719 - OTHY CD 255 MT</t>
  </si>
  <si>
    <t>Hải Hà 168</t>
  </si>
  <si>
    <t>2200000719 - OTHY CD 3100</t>
  </si>
  <si>
    <t>2200000715 - OTBD AB 1200 MT
2200000722 - OTBD CD cân tải</t>
  </si>
  <si>
    <t xml:space="preserve"> Hải Long 27</t>
  </si>
  <si>
    <t xml:space="preserve"> Thành Đạt 128</t>
  </si>
  <si>
    <t>2200000657 - THP (2000 MT)
2200000702 - THP (cân tải)</t>
  </si>
  <si>
    <t>Lệnh 702 có hàng 2.45x1269, chiều mai NK, như vậy mới đủ tải (khoảng 300mt)</t>
  </si>
  <si>
    <t>2200000719 - OTHY CD 1270
2200000721 - OTHY CD (1630)</t>
  </si>
  <si>
    <t>2200000721 - OTHY CD (3000)</t>
  </si>
  <si>
    <t>Long Hải 09</t>
  </si>
  <si>
    <t>2200000719 - OTHY CD 2500</t>
  </si>
  <si>
    <t>BÌNH MINH 136</t>
  </si>
  <si>
    <t>2200000721 - OTHY CD (1800)</t>
  </si>
  <si>
    <t>2000000314 - TCĐ 650 MT
2000000300 - TMN 1900 MT</t>
  </si>
  <si>
    <t>Thành Luyện 36</t>
  </si>
  <si>
    <t>2000000300 - TMN 2200 MT
2200000723 - Tôn HP 1100 MT</t>
  </si>
  <si>
    <t xml:space="preserve">2000000325 - Vinas (1950t)
400t Mnsi
2200000702 - TÔN HP - cân tải </t>
  </si>
  <si>
    <t xml:space="preserve">2200000723 - Tôn HP (2075)
2200000702 - Tôn HP (500t) </t>
  </si>
  <si>
    <t>Việt Phúc 07</t>
  </si>
  <si>
    <t>2200000722 - 3700 MT
2000000320 - Sunsteel - 300t</t>
  </si>
  <si>
    <t>Lệnh Sunsteel ngày 10/08 có, muộn nhất 11/08</t>
  </si>
  <si>
    <t>Bích + HA</t>
  </si>
  <si>
    <t>Hoàng Hải ACE</t>
  </si>
  <si>
    <t>2000000319 - Khôi Nguyên (ABC) 1060 mt
2000000327 - Khôi Nguyên (ABC) 1060 mt
2000000328 - Tấn Phát (C) 1000 mt
2200000730 -NMCN ABC 1700mt</t>
  </si>
  <si>
    <t>Chiều 12/08/2021 bổ sung lệnh cân tải
Lệnh Tấn Phát + Khôi Nguyên: nguội</t>
  </si>
  <si>
    <t>2000000323- Nam Kim 
2000000324 - TĐA (3.00x1264)</t>
  </si>
  <si>
    <t>MUỘN NHẤT 12/8 DUYỆT LỆNH</t>
  </si>
  <si>
    <t>2000000326 - toàn thắng (ABC)  (1kt) 
2000000322 - nam hưng (C) (còn lại)</t>
  </si>
  <si>
    <t>322:  KHÔNG XUẤT 2.30x1230</t>
  </si>
  <si>
    <t>2200000724 NMCN 730MT
2200000727 NMCN 845 MT
2200000734 NMCN A
2200000735 NMCN B
2200000736 NMCN C</t>
  </si>
  <si>
    <t>2200000729 NMCN 3200T C
2200000730 NMCN 300mt</t>
  </si>
  <si>
    <t>2200000730 NMCN 3640 mt
2200000725 NMCN 626 MT
2200000724 NMCN 430MT</t>
  </si>
  <si>
    <t>2000000330 - Hoa Sen (3000mt)</t>
  </si>
  <si>
    <t>Có thể xuất vượt 1 2 mã cho đủ 3050mt</t>
  </si>
  <si>
    <t>2000000329 - VIỆT ĐỨC 2100MT
2200000721 - OTHY 700 MT
2200000720 - NMCN 100MT</t>
  </si>
  <si>
    <t>TÂN Cảng 128</t>
  </si>
  <si>
    <t>2000000331 - Mỹ Việt (C) (2500)
2200000702 - THP 330 MT
2200000737 - THP 420T (C) chỉ xuất cuộn nhỏ hơn 23T</t>
  </si>
  <si>
    <t>2000000332 -TMP (C) 2850T 
2000000337 - THÉP HÌNH (ABC) - 500t
2000000335 - THÉP HÌNH (ABC) - 1000t</t>
  </si>
  <si>
    <t>335: HÀNG SAE XUẤT NHÓM C</t>
  </si>
  <si>
    <t>mipec
eta: sáng 22/8</t>
  </si>
  <si>
    <t>2000000333 - PHÚC TIẾN (ABC) - 500t
2000000339 - citicom (ABC) - 500mt
2000000336 - PHÚ NAM (ABC) - 1000t
2000000338 - nhật quang (ABC) - 1000t
2000000329 - VIỆT ĐỨC ~ 300 MT</t>
  </si>
  <si>
    <t>338: HÀNG NÓNG, CHƯA SX XONG</t>
  </si>
  <si>
    <t>HA +BÍCH</t>
  </si>
  <si>
    <t>Minh Hằng 198</t>
  </si>
  <si>
    <t>tân Cảng 128
eta: sáng 23/8</t>
  </si>
  <si>
    <t>2000000343 - TMN 3600MT
2200000739 - OTHY C cân tải</t>
  </si>
  <si>
    <t xml:space="preserve">2.00x1250 cần để lại 200mt cho Nam Phát
2.20x1250 để lại 60mt cho Việt Đức
</t>
  </si>
  <si>
    <t>mipec
eta: 23/8</t>
  </si>
  <si>
    <t xml:space="preserve">2000000342  - OT190 (ABC)  1000MT
2000000347 - NAM PHÁT (ABC)  2000T </t>
  </si>
  <si>
    <t>347: Xuất vượt hàng 1250 (4 cục) 
342: xuất vượt 2 cục</t>
  </si>
  <si>
    <t>2200000715 - OTBD 200MT 
2200000716 - OTBD 22MT
2200000722 - OTBD 385 MT
2200000740 - OTBD Cân tải C</t>
  </si>
  <si>
    <t>715: xuất hết A =&gt; B
722: chú ý xuất hết các mã tồn kho lẻ
lệnh mới 18/08 có</t>
  </si>
  <si>
    <t>Transvina -
neo tại cảng dỡ 
 dự kiến 25/8 được dỡ hàng</t>
  </si>
  <si>
    <t>2200000739 OTHY C</t>
  </si>
  <si>
    <t xml:space="preserve">Tân cảng 128
neo tại cảng dỡ 
dự kiến 25/8 được dỡ hàng </t>
  </si>
  <si>
    <t>Thuận Phát 09</t>
  </si>
  <si>
    <t>transvina -
neo tại cảng dỡ 
 dự kiến 26/8 được dỡ hàng</t>
  </si>
  <si>
    <t xml:space="preserve">THÀNH ĐẠT 328 </t>
  </si>
  <si>
    <t xml:space="preserve">2000000345 - ĐÔNG Á (C)  1250t
2000000344 - QUANG MƯỜI (C) 1000T
220000740 - OTBD - 400t (C) </t>
  </si>
  <si>
    <t xml:space="preserve">345: xuất vượt mác 2.20x1217 (4 CỤC)
344: xuất vượt 3 CỤC 
740: PHẢI ĐI HẾT TỒN </t>
  </si>
  <si>
    <t>PAN AMBER</t>
  </si>
  <si>
    <t>LA</t>
  </si>
  <si>
    <t>1600000414 - MARUBENI
1600000432 - Hanwa (150mt)</t>
  </si>
  <si>
    <t>HANWA HÀNG MỚI NHẬP KHO</t>
  </si>
  <si>
    <t>ATTA</t>
  </si>
  <si>
    <t xml:space="preserve">2200000742 -THP 190-200T (C) theo list hang 
2000000340 - TLPM 550MT
2000000341 - SMCCK 2000MT
2000000346 - POSCO (C) 1000t </t>
  </si>
  <si>
    <t>19-20/8 CÓ THỂ NHẬN TRƯỚC 1K5, CÒN LẠI 25/8 NHẬN TIẾP</t>
  </si>
  <si>
    <t>Moon Bright</t>
  </si>
  <si>
    <t xml:space="preserve">Thiên Lộc Thành </t>
  </si>
  <si>
    <t>2000000348 - VNO (C) 
2000000349 - VNO (C)</t>
  </si>
  <si>
    <t xml:space="preserve">3.50 x 1250 xuất vượt 10% </t>
  </si>
  <si>
    <t>Nam phát</t>
  </si>
  <si>
    <t>2200000741 - THP - 1965 mt
2200000738 - OTHY - ABC 1100mt
2200000739 - OTHY - C 210Mt</t>
  </si>
  <si>
    <t>Hàng sx ngày 20-21-22/08
738: xuất hết tồn kho
739: cân đối xuất hết tồn nếu đc</t>
  </si>
  <si>
    <t>Tân cảng 128</t>
  </si>
  <si>
    <t>2200000741 - THP - 1100 mt
2000000350 - Vinas (ABC) - 1k1 nguội</t>
  </si>
  <si>
    <t>Hàng sx 19-20-21-22</t>
  </si>
  <si>
    <t>2200000741 - THP - 2630 mt</t>
  </si>
  <si>
    <t>2200000741 - THP - 3550</t>
  </si>
  <si>
    <t>Hoa Phượng 01</t>
  </si>
  <si>
    <t>2000000322 - NAM HƯNG (1000MT)
2000000351 - TVP (C) - 2400 MT 
2000000356 - TVP 405 mt (B)</t>
  </si>
  <si>
    <t>Lệnh 351 và 322 không xuất cuộn &lt;18mt</t>
  </si>
  <si>
    <t>2000000352 - TVP 1580 mt (A)
2000000353 - TVP 1135 mt (B)
2000000354 - TVP 600 mt (C)</t>
  </si>
  <si>
    <t>Yêu cầu NM kiểm soát chặt loa cuộn
Đai hàng đầy đủ
Xuất cuộn từ 14mt</t>
  </si>
  <si>
    <t>2000000355 - TVP 1600 mt (A)
2000000357 - TVP 2300 mt (C)</t>
  </si>
  <si>
    <t>Hàng nguội ; Đổi tàu Phương Nam 46
Xuất cuộn từ 14mt</t>
  </si>
  <si>
    <t>2200000741 - THP - 3400</t>
  </si>
  <si>
    <t>2200000741 - THP - 2750</t>
  </si>
  <si>
    <t xml:space="preserve">Hàng sx 19-20-21-22
Thay tàu Minh Tiến </t>
  </si>
  <si>
    <t>2200000741 - THP - 2950</t>
  </si>
  <si>
    <t xml:space="preserve">2200000743 - THP </t>
  </si>
  <si>
    <t>2200000741 - THP lượng còn lại (~1000 mt)
2200000745 - THP 1300MT
2200000744 - THP (cân tải - 850 mt)</t>
  </si>
  <si>
    <t>lệnh 744 hàng nóng</t>
  </si>
  <si>
    <t xml:space="preserve">2200000746 - THP </t>
  </si>
  <si>
    <t xml:space="preserve">Hàng nguội </t>
  </si>
  <si>
    <t>MINH KHÁNH 06</t>
  </si>
  <si>
    <t>2000000343 - TMN 2500MT</t>
  </si>
  <si>
    <t>343 hàng nóng, xuát hết lệnh 741 THP mới xuất sang lệnh của Minh Ngọc</t>
  </si>
  <si>
    <t>Giao vượt 2.45x1230</t>
  </si>
  <si>
    <t>CẬP NHẬT TÌNH HÌNH XUẤT HÀNG HRC THÁNG 4/2021</t>
  </si>
  <si>
    <t>Xong hàng 01.04</t>
  </si>
  <si>
    <t>2200000335-NMCN (3400T)
2200000336-NMCN (440T)
2200000330-NMCN
2200000331-NMCN</t>
  </si>
  <si>
    <t>335,336:CD
330,331:AB</t>
  </si>
  <si>
    <t>2000000129 - CHÍNH ĐẠI</t>
  </si>
  <si>
    <t>- 129: CD</t>
  </si>
  <si>
    <t>Khang Anh 189</t>
  </si>
  <si>
    <t>Xong hàng 02.04</t>
  </si>
  <si>
    <t>2000000127-MINH NGỌC (2000T)
2000000132-MINH PHÚ (600T)
2200000331-NMCN</t>
  </si>
  <si>
    <t>127,132:CD
331: AB</t>
  </si>
  <si>
    <t>Thành Nam 69</t>
  </si>
  <si>
    <t>2200000316 OTBD 
2200000332 OTBD (TỔNG ~800T)
2200000299 - OTBD
2200000341,342-OTBD
2200000337,338 - OTBD</t>
  </si>
  <si>
    <t>299,316,332,341,342:AB
337,338: CD</t>
  </si>
  <si>
    <t>Xong hàng 03.04</t>
  </si>
  <si>
    <t>2000000144 - TÔN ĐÔNG Á (3000T)
2000000099  - TÔN ĐÔNG Á (150T)</t>
  </si>
  <si>
    <t>- 144: CD
-99: CD - 2.50X1250</t>
  </si>
  <si>
    <t>Hoàng Hải 88</t>
  </si>
  <si>
    <t>220000348-THP Xuất 2300T 2.45, 1000T 2.75
2200000241-THP xuất hàng 1212 tối đa
2200000331-NMCN</t>
  </si>
  <si>
    <t>348,241:CD
331: AB</t>
  </si>
  <si>
    <t>MẶT TRỜI</t>
  </si>
  <si>
    <t>2000000158,159 - TLPM 500T
2200000347 - THP 1100T
2200000311 - NTHP 880T</t>
  </si>
  <si>
    <t>347:ABCD
311:CD
158,159 CD</t>
  </si>
  <si>
    <t>2200000349 - OTBD</t>
  </si>
  <si>
    <t>349: CD</t>
  </si>
  <si>
    <t xml:space="preserve">2000000138 - TVP 
2000000160 - TVP 
2000000110 - TVP </t>
  </si>
  <si>
    <t>- 160+110: CD</t>
  </si>
  <si>
    <t>138: CD</t>
  </si>
  <si>
    <t>BÍCH THANH 18</t>
  </si>
  <si>
    <t>Xong 06.04</t>
  </si>
  <si>
    <t>2200000353-OTBD 1900T
2200000361- OTBD 500T
2200000359- OTBD 500T
2200000349-OTBD 500T
2200000362 - OTBD 265T
2200000368 - OTBD 1042T
2200000367 - OTBD 250T</t>
  </si>
  <si>
    <t>353,356: AB
359,349: CD
362: ABC
368+367: AB</t>
  </si>
  <si>
    <t>CFC 02</t>
  </si>
  <si>
    <t>Xong 07.04</t>
  </si>
  <si>
    <r>
      <rPr>
        <b/>
        <sz val="14"/>
        <color theme="1"/>
        <rFont val="Times New Roman"/>
        <family val="1"/>
      </rPr>
      <t>2000000162 - NGŨ PHÚC (1000 T)</t>
    </r>
    <r>
      <rPr>
        <sz val="14"/>
        <color theme="1"/>
        <rFont val="Times New Roman"/>
        <family val="1"/>
      </rPr>
      <t xml:space="preserve">
2200000363 - OTHY
2200000364 - OTHY
2200000365 - OTHY (TỔNG 1900)
2200000358 - NMCN (CÂN TÀU)</t>
    </r>
  </si>
  <si>
    <t xml:space="preserve">- 363/364/365: ABC
'-162: ABCD - KHÔNG VƯỢT LỆNH </t>
  </si>
  <si>
    <t xml:space="preserve">HUY+HẢI ANH </t>
  </si>
  <si>
    <t xml:space="preserve">2200000352/355/358 - NMCN (TỔNG 550T)
2000000163 - PHÚ NAM (1000T)
2000000164 - HÙNG NGUYÊN (2000T)
CÒN 850 TẤN NỮA CƠ </t>
  </si>
  <si>
    <t xml:space="preserve">- 352/355: AB
'- 163/164: ABCD KHÔNG VƯỢT
HÀNG 2.8, 3.8 SÁNG MAI MỚI NHẬP KHO XONG </t>
  </si>
  <si>
    <t>Hà Dương 09</t>
  </si>
  <si>
    <t>2000000165 - HOÀN PHÚC (2K)
2000000166 - CITICOM (CÂN TÀU)
2000000156 - TTK (400T)</t>
  </si>
  <si>
    <t>156/165/166: ABC
166 đi hàng 5.8 7.8 9.8</t>
  </si>
  <si>
    <t>THỊNH HẢI 02</t>
  </si>
  <si>
    <t>Xong 08.04</t>
  </si>
  <si>
    <t>2000000168 - PHÚC TIẾN (1000T) 
2000000171 - PHÚC VIÊN XUÂN (2000T)</t>
  </si>
  <si>
    <t>168/171: ABCD</t>
  </si>
  <si>
    <t>HẢI ANH + BÍCH</t>
  </si>
  <si>
    <t>MẠNH THẮNG 07</t>
  </si>
  <si>
    <t>2200000362 - OTBD (500T) 
2000000170 - TOÀN THẮNG (2000T) 
2200000370 - OTBD (400T)</t>
  </si>
  <si>
    <t xml:space="preserve">- 370: CD, 
- 362: ABC
170: ABCD KHÔNG VƯỢT </t>
  </si>
  <si>
    <t>2000000169 - NAM PHÁT (2KT)
2000000167 - TẤN PHÁT (1K)
2200000375 - OTHY CÂN TÀU</t>
  </si>
  <si>
    <t>TẤT CẢ ABC</t>
  </si>
  <si>
    <t>LONG HẢI 09</t>
  </si>
  <si>
    <t>2000000172 - NHẬT QUANG (1K)
2200000371 - NMCN - F (CD)
2200000377 - NMCN - F (CD)
2200000372 - OTHY - F (CD)</t>
  </si>
  <si>
    <t>GHI  CHÚ TRÊN LỆNH</t>
  </si>
  <si>
    <t>HUY + A ĐA</t>
  </si>
  <si>
    <t>NAM SƠN 68</t>
  </si>
  <si>
    <t>2200000373 - OTHY - F (CD)
2200000374 - OTHY - F (ABC)
2200000375 - OTHY CÂN TÀU (AB=&gt;C)
2000000173 - OT190
2000000175 - KKBV</t>
  </si>
  <si>
    <t>TỔNG 3 LỆNH OT: 1K3
XUẤT HẾT CỦA OTHY RỒI ĐẾN 2 LỆNH KKBV VÀ OT190</t>
  </si>
  <si>
    <t>HUY + A ĐA + BÍCH</t>
  </si>
  <si>
    <t>THÀNH ĐẠT 128</t>
  </si>
  <si>
    <t>2200000378 - OTHY</t>
  </si>
  <si>
    <t>2200000345 - OTBD (1350T)
KỲ ĐỒNG (3000T)</t>
  </si>
  <si>
    <t>HẢI ANH +HUY</t>
  </si>
  <si>
    <t>2200000379 - TÔN HP
2200000378 - OTHY</t>
  </si>
  <si>
    <t>2200000379 - TÔN HP</t>
  </si>
  <si>
    <t>2200000378 - OTHY
2200000380 - OTHY</t>
  </si>
  <si>
    <t>Xong 14.04</t>
  </si>
  <si>
    <t xml:space="preserve">2000000177 - HOA SEN </t>
  </si>
  <si>
    <t>- CHỈ HÀNG C</t>
  </si>
  <si>
    <t>MAI LINH 36</t>
  </si>
  <si>
    <t>2200000346 - OTBD (CD) - 330T
2200000388-OTBD-950T
2200000389-OTBD-1291T
2200000394-OTBD-505T
2200000395-OTBD-520T</t>
  </si>
  <si>
    <t>HUY PHỤ TRÁCH</t>
  </si>
  <si>
    <t>2000000179 - TIẾN LỢI (1K)
2000000127 - TMN (190T hàng 2.20)
2200000381 - OTHY ( 67T)
2200000387-NMCN(405T)
2200000382-OTHY(136)
2200000383-OTHY(1130T)
2200000384-OTHY(465T)
2200000385-OTHY(95)
2200000396-NMCN(708)</t>
  </si>
  <si>
    <t>- 179: ABC
-127:CD
-381: ABC
-382:ABC
-383: ABC</t>
  </si>
  <si>
    <t>Xong 15.04</t>
  </si>
  <si>
    <t>2000000166 - CTC (~1150)
2000000180 - QH PLUS ~1k
2000000181 - NAM VIỆT (2k1)</t>
  </si>
  <si>
    <t xml:space="preserve"> Thành Đạt 328 </t>
  </si>
  <si>
    <t>2000000177 - HOA SEN (nhóm C)
Chỉ giao tổng ~2k750</t>
  </si>
  <si>
    <t>- Giao đủ 2.80/3.20x1260
- Giao ~90-93% mã 2.50x1260
- Còn 400 MT 2.50x1260 sáng 15/04 Nhập kho</t>
  </si>
  <si>
    <t>Xong 16.04</t>
  </si>
  <si>
    <r>
      <rPr>
        <b/>
        <sz val="14"/>
        <rFont val="Times New Roman"/>
        <family val="1"/>
      </rPr>
      <t>2200000393 - OTHY (ABC) 120T (cuộn cũ trc)</t>
    </r>
    <r>
      <rPr>
        <sz val="14"/>
        <rFont val="Times New Roman"/>
        <family val="1"/>
      </rPr>
      <t xml:space="preserve">
2000000190 - IPC (1000T) ABC</t>
    </r>
    <r>
      <rPr>
        <sz val="14"/>
        <color theme="1"/>
        <rFont val="Times New Roman"/>
        <family val="1"/>
      </rPr>
      <t xml:space="preserve">
</t>
    </r>
    <r>
      <rPr>
        <sz val="14"/>
        <rFont val="Times New Roman"/>
        <family val="1"/>
      </rPr>
      <t>2000000183 - BMT (~1000T) ABC</t>
    </r>
    <r>
      <rPr>
        <sz val="14"/>
        <color theme="1"/>
        <rFont val="Times New Roman"/>
        <family val="1"/>
      </rPr>
      <t xml:space="preserve">
2200000379 - THP (1k4) CD</t>
    </r>
  </si>
  <si>
    <t>Các lệnh KH ngoài giao đủ min 90% từng MVT</t>
  </si>
  <si>
    <t>BÍCH + HẢI ANH + HUY</t>
  </si>
  <si>
    <t>2000000188 - THIÊN TRƯỜNG (1850) ABC
2000000191 - THANH PHÚ 250T ABC
2200000379 - TÔN HP (400T) CD</t>
  </si>
  <si>
    <t>HUY + HẢI ANH</t>
  </si>
  <si>
    <t>ĐẠI LỘC PHÁT 358</t>
  </si>
  <si>
    <t>Xong 17.04</t>
  </si>
  <si>
    <t xml:space="preserve">2200000379 - TÔN HP </t>
  </si>
  <si>
    <t>379: CD</t>
  </si>
  <si>
    <t>VTT168</t>
  </si>
  <si>
    <r>
      <t xml:space="preserve">2200000398 - NMCN (980T)
2200000401 - NMCN (2900T)
</t>
    </r>
    <r>
      <rPr>
        <sz val="14"/>
        <rFont val="Times New Roman"/>
        <family val="1"/>
      </rPr>
      <t>2000000184 - CTC (1000T) - 16/04 Có lệnh</t>
    </r>
  </si>
  <si>
    <t>398: CD
401 AB
184: ABC</t>
  </si>
  <si>
    <t>AN THỊNH 09</t>
  </si>
  <si>
    <t>Xong 18.04</t>
  </si>
  <si>
    <t>2000000194 - MINH PHÚ (3000T)</t>
  </si>
  <si>
    <t>194: CD</t>
  </si>
  <si>
    <t>2000000194 - MINH PHÚ (1250T)
2000000193 - MINH NGỌC (2000T)</t>
  </si>
  <si>
    <t>- 194: CD
- 193: CD</t>
  </si>
  <si>
    <t xml:space="preserve">2000000193 - MINH NGỌC </t>
  </si>
  <si>
    <t>- 193: CD</t>
  </si>
  <si>
    <t>Xong 19.04</t>
  </si>
  <si>
    <r>
      <t xml:space="preserve">2200000402 - OTHY (580T)
2200000403 - OTHY (800T)
2200000400 - OTHY (280T)
2200000399 - OTHY (465T)
2200000404 - </t>
    </r>
    <r>
      <rPr>
        <b/>
        <sz val="14"/>
        <color rgb="FFFF0000"/>
        <rFont val="Times New Roman"/>
        <family val="1"/>
      </rPr>
      <t>TÔN (Cân tải)</t>
    </r>
  </si>
  <si>
    <t>- 402, 403: AB
- 399, 400: CD
- 348: CD
- 404: CD</t>
  </si>
  <si>
    <t>HUY+ ĐA</t>
  </si>
  <si>
    <t>Xong 20.04</t>
  </si>
  <si>
    <t>2000000197 - NAM HƯNG</t>
  </si>
  <si>
    <r>
      <t xml:space="preserve">- 197: CD
</t>
    </r>
    <r>
      <rPr>
        <b/>
        <sz val="14"/>
        <color rgb="FFFF0000"/>
        <rFont val="Times New Roman"/>
        <family val="1"/>
      </rPr>
      <t>- Chỉ xuất 90-92% KL của từng MVT</t>
    </r>
  </si>
  <si>
    <t>2200000404 - TÔN (~600)
2200000405 - NMCN (3000)</t>
  </si>
  <si>
    <t>- 404: CD
- 405: AB</t>
  </si>
  <si>
    <t>HOÀNG ANH 45</t>
  </si>
  <si>
    <t>Xong 22.04</t>
  </si>
  <si>
    <t>2200000405 - NMCN - 2575
2200000406 - OTHY (162)
2200000409 - OTHY (90)
2200000412 - OTHY (SPA-H)
2200000408 - NMCN (500)</t>
  </si>
  <si>
    <t>- 405: AB
- 406: AB
- 409: CD
- 408: CD</t>
  </si>
  <si>
    <t>2200000408 - NMCN (2400)
2200000404 - TÔN HP (900T)</t>
  </si>
  <si>
    <t>- 408: CD
- 404: CD</t>
  </si>
  <si>
    <t>Xong 23.04</t>
  </si>
  <si>
    <r>
      <t xml:space="preserve">2200000411 - BĐS HP
</t>
    </r>
    <r>
      <rPr>
        <b/>
        <sz val="14"/>
        <color rgb="FFFF0000"/>
        <rFont val="Times New Roman"/>
        <family val="1"/>
      </rPr>
      <t>- CHỈ XUẤT HÀNG 3.0</t>
    </r>
  </si>
  <si>
    <r>
      <t xml:space="preserve">- 411: CD
</t>
    </r>
    <r>
      <rPr>
        <b/>
        <sz val="14"/>
        <color rgb="FFFF0000"/>
        <rFont val="Times New Roman"/>
        <family val="1"/>
      </rPr>
      <t>- CHỈ XUẤT HÀNG 3.0</t>
    </r>
  </si>
  <si>
    <t>HUY+ HẢI ANH</t>
  </si>
  <si>
    <t>TRƯỜNG NGUYÊN 89</t>
  </si>
  <si>
    <t>2000000187 - TVP</t>
  </si>
  <si>
    <r>
      <t xml:space="preserve">- 187: CHỈ NHÓM C
</t>
    </r>
    <r>
      <rPr>
        <b/>
        <sz val="14"/>
        <color rgb="FFFF0000"/>
        <rFont val="Times New Roman"/>
        <family val="1"/>
      </rPr>
      <t>- Chỉ xuất 90-92% KL của từng MVT</t>
    </r>
  </si>
  <si>
    <t>Trường An 45</t>
  </si>
  <si>
    <t>Xong 24.03</t>
  </si>
  <si>
    <r>
      <t>2000000189 - MỸ VIỆT</t>
    </r>
    <r>
      <rPr>
        <sz val="14"/>
        <rFont val="Times New Roman"/>
        <family val="1"/>
      </rPr>
      <t xml:space="preserve"> (1000MT)
2000000198 - THIÊN LONG (3760)</t>
    </r>
  </si>
  <si>
    <t>- 189: CD</t>
  </si>
  <si>
    <t>HUY+ ĐA+ HA</t>
  </si>
  <si>
    <t>2000000198 - THIÊN LONG (3150)</t>
  </si>
  <si>
    <t>Xong 25.04</t>
  </si>
  <si>
    <t>2000000198 - THIÊN LONG (2900)</t>
  </si>
  <si>
    <t>ĐA + HUY</t>
  </si>
  <si>
    <t>2000000194 - MINH PHÚ (3100 MT)</t>
  </si>
  <si>
    <t>- 194: CD</t>
  </si>
  <si>
    <t>Minh Hằng 313</t>
  </si>
  <si>
    <t>2000000198 - THIÊN LONG (lượng còn lại)
2000000199 - NHẬT ANH (2530)
2000000200 - NHẬT ANH (cân tải)</t>
  </si>
  <si>
    <t>2000000161 - THÉP HÌNH (900 tấn) 
2000000176 - HÙNG CƯỜNG (250 TẤN) 
2000000200 - NHẬT ANH (cân tải)</t>
  </si>
  <si>
    <t>-161+176: ABC - 90%
TỐI 24/04 NHẬP KHO XONG HÀNG 2.5
Sau tàu còn ~1400T SAE + 1K2 SS400</t>
  </si>
  <si>
    <t>2000000182 - TTK (1k) ABC
2000000181 - NAM VIỆT (1k) ABC
2200000410 - OTBD
2200000407 - OTBD (Cân tải)</t>
  </si>
  <si>
    <t>-182+181: Chỉ xuất ~92% KL của từng MVT
- 410: CD
- 407: AB</t>
  </si>
  <si>
    <t>HẢI ANH + BÍCH+HUY</t>
  </si>
  <si>
    <t>Xong 26.04</t>
  </si>
  <si>
    <t>2000000172 - NHẬT QUANG (~900T)
2000000188 - THIÊN TRƯỜNG (~150T)
2000000200 - NHẬT ANH (Lượng còn lại)
2000000201 - NHẬT ANH (cân tải)</t>
  </si>
  <si>
    <t>- 172: C=&gt;BC: muộn nhất chiều 24.04 nhập kho xong
- 188: chiều 24.04 NK (ABC)
- 201: chỉ xuất hàng 11.8</t>
  </si>
  <si>
    <t>2200000360 - THP
2200000425 - TÔN HP (hàng 3.95x1212)</t>
  </si>
  <si>
    <t>360: C 
425: C</t>
  </si>
  <si>
    <r>
      <rPr>
        <sz val="14"/>
        <rFont val="Times New Roman"/>
        <family val="1"/>
      </rPr>
      <t>2000000202 - NAM KIM</t>
    </r>
    <r>
      <rPr>
        <b/>
        <sz val="14"/>
        <color rgb="FFFF0000"/>
        <rFont val="Times New Roman"/>
        <family val="1"/>
      </rPr>
      <t xml:space="preserve">
</t>
    </r>
    <r>
      <rPr>
        <sz val="14"/>
        <rFont val="Times New Roman"/>
        <family val="1"/>
      </rPr>
      <t>2200000407 - OTBD</t>
    </r>
    <r>
      <rPr>
        <b/>
        <sz val="14"/>
        <color rgb="FFFF0000"/>
        <rFont val="Times New Roman"/>
        <family val="1"/>
      </rPr>
      <t xml:space="preserve">
</t>
    </r>
    <r>
      <rPr>
        <sz val="14"/>
        <rFont val="Times New Roman"/>
        <family val="1"/>
      </rPr>
      <t>200000201 - NHẬT ANH (1200)
220000424 - OTBD Cân tàu</t>
    </r>
  </si>
  <si>
    <r>
      <rPr>
        <sz val="14"/>
        <rFont val="Times New Roman"/>
        <family val="1"/>
      </rPr>
      <t>- 201: chỉ xuất 4.8 và 5.8</t>
    </r>
    <r>
      <rPr>
        <b/>
        <sz val="14"/>
        <color rgb="FFFF0000"/>
        <rFont val="Times New Roman"/>
        <family val="1"/>
      </rPr>
      <t xml:space="preserve">
</t>
    </r>
    <r>
      <rPr>
        <sz val="14"/>
        <rFont val="Times New Roman"/>
        <family val="1"/>
      </rPr>
      <t>- 407: AB
- 202: Nhóm C, xuất hết tồn kho C,D
- 424: CD</t>
    </r>
  </si>
  <si>
    <r>
      <t xml:space="preserve">2200000360 - THP
2200000425 - TÔN HP (Tổng 2 lệnh: 800 MT)
</t>
    </r>
    <r>
      <rPr>
        <sz val="14"/>
        <color rgb="FFFF0000"/>
        <rFont val="Times New Roman"/>
        <family val="1"/>
      </rPr>
      <t>2200000432 - NMCN ( 2650T)</t>
    </r>
  </si>
  <si>
    <r>
      <t xml:space="preserve">- 425+360: C
</t>
    </r>
    <r>
      <rPr>
        <sz val="14"/>
        <color rgb="FFFF0000"/>
        <rFont val="Times New Roman"/>
        <family val="1"/>
      </rPr>
      <t>- 432 - CD</t>
    </r>
  </si>
  <si>
    <t>Xong 28.04</t>
  </si>
  <si>
    <t>2200000420 - OTHY ( 2852T)
2200000422-OTHY ( 1110T)
2200000421-OTHY ( 719T)
2200000419-OTHY ( 75T)</t>
  </si>
  <si>
    <t>-419, 420 : AB
-421, 422 : CD</t>
  </si>
  <si>
    <t>HUY + ĐA</t>
  </si>
  <si>
    <t>Xong 27.04</t>
  </si>
  <si>
    <t>2000000178 - VIỆT ĐỨC (1400)
2000000199/200/201 - NHẬT ANH 
2200000422 - OTHY ( 1234T)</t>
  </si>
  <si>
    <t>- 178: Nhóm C
- 199/200/201: lượng còn lại (ko xuất 4.8 và 5.8)</t>
  </si>
  <si>
    <t>2000000195 - CHÍNH ĐẠI</t>
  </si>
  <si>
    <t>- CHỈ NHÓM C</t>
  </si>
  <si>
    <t>Hoài Sơn 36</t>
  </si>
  <si>
    <t>2200000404- THP (hàng 2.45x1244)
2200000413 - THP (68T)
2000000194 - TMP (1500T)
2000000195 - TCĐ (1000T)
2000000203- VINALIFT (300T)
2200000360 - THP</t>
  </si>
  <si>
    <t>422: C
194: C
195: C
203:ABC
360,404,413: C</t>
  </si>
  <si>
    <t xml:space="preserve">BÍCH + HUY </t>
  </si>
  <si>
    <t>Xong 29.04</t>
  </si>
  <si>
    <t>2000000185 - VIỆT NHẬT</t>
  </si>
  <si>
    <t>- 185: CD, CHIỀU 27.04 CÓ LỆNH</t>
  </si>
  <si>
    <t>Thành An 18</t>
  </si>
  <si>
    <t>Xong 30.04</t>
  </si>
  <si>
    <t>2000000186 - TLPM (2800T)
2200000414 - ĐIỆN LẠNH HP (100T)
2200000417 - OTBD</t>
  </si>
  <si>
    <t>- 186: NHÓM C, HẾT NGÀY 27/04 NHẬP KHO XONG
- 414 VÀ OTBD: 27.04 CÓ LỆNH</t>
  </si>
  <si>
    <t>Trường Nguyên 136</t>
  </si>
  <si>
    <t xml:space="preserve">
2200000430 - 1728T - OTBD
2200000431 - 1009T - OTBD
2200000436 - 953T - OTBD
2200000437 - 888T - OTBD
</t>
  </si>
  <si>
    <t>-430,431 : AB
- 436, 437 : CD</t>
  </si>
  <si>
    <t>CẬP NHẬT TÌNH HÌNH XUẤT HÀNG HRC THÁNG 3/2021</t>
  </si>
  <si>
    <t>Đường bộ</t>
  </si>
  <si>
    <t>Tỉ lệ</t>
  </si>
  <si>
    <t>NAM PHÁT 01</t>
  </si>
  <si>
    <t>Xong hàng 02.03.2021</t>
  </si>
  <si>
    <t>HCM</t>
  </si>
  <si>
    <t>2200000256 - OTHY NHƯNG ĐI HCM</t>
  </si>
  <si>
    <t>XUẤT HẾT KO CẦN NGHĨ GÌ</t>
  </si>
  <si>
    <t>NINHCO 88</t>
  </si>
  <si>
    <r>
      <rPr>
        <sz val="14"/>
        <color rgb="FFFF0000"/>
        <rFont val="Times New Roman"/>
        <family val="1"/>
      </rPr>
      <t>2000000090 - THÉP MINH NGỌC (5500)</t>
    </r>
    <r>
      <rPr>
        <sz val="14"/>
        <color theme="1"/>
        <rFont val="Times New Roman"/>
        <family val="1"/>
      </rPr>
      <t xml:space="preserve">
</t>
    </r>
    <r>
      <rPr>
        <sz val="14"/>
        <rFont val="Times New Roman"/>
        <family val="1"/>
      </rPr>
      <t>2000000108 - OT190 (1K7)</t>
    </r>
    <r>
      <rPr>
        <sz val="14"/>
        <color theme="1"/>
        <rFont val="Times New Roman"/>
        <family val="1"/>
      </rPr>
      <t xml:space="preserve">
2200000255 - OTHY  (CÂN TÀU)
</t>
    </r>
    <r>
      <rPr>
        <sz val="14"/>
        <rFont val="Times New Roman"/>
        <family val="1"/>
      </rPr>
      <t>2000000080 - TẤN PHÁT (200T)</t>
    </r>
  </si>
  <si>
    <t>- 090: only CD
- 080: CHỈ C,D
- 255: xuất hết ko nghĩ gì
- 108: ABCD</t>
  </si>
  <si>
    <t>2000000103 - VNO (AB)</t>
  </si>
  <si>
    <t>Xong 03.03</t>
  </si>
  <si>
    <t>2000000110 - TVP
2000000102 - TVP</t>
  </si>
  <si>
    <t>ĐỨC MINH 888</t>
  </si>
  <si>
    <t>Xong hàng 04.03</t>
  </si>
  <si>
    <r>
      <rPr>
        <sz val="14"/>
        <rFont val="Times New Roman"/>
        <family val="1"/>
      </rPr>
      <t xml:space="preserve">- 2000000111-  KKBV (2000T) </t>
    </r>
    <r>
      <rPr>
        <sz val="14"/>
        <color theme="1"/>
        <rFont val="Times New Roman"/>
        <family val="1"/>
      </rPr>
      <t xml:space="preserve">
- 2200000260 - OTHY (HUY)</t>
    </r>
  </si>
  <si>
    <t>- 111: ABCD
- 260: XUẤT HẾT AB =&gt; CD</t>
  </si>
  <si>
    <t>- 2200000260 - OTHY (HUY)
- 2200000261 - NMCN (HUY)</t>
  </si>
  <si>
    <t>- 260+261: HẾT AB =&gt; CD</t>
  </si>
  <si>
    <t>An Phát 186</t>
  </si>
  <si>
    <t>- 2200000261 - NMCN (HUY)</t>
  </si>
  <si>
    <t>Hiệp Hưng 95</t>
  </si>
  <si>
    <r>
      <t xml:space="preserve">- 2200000256 - OTHY nhưng đi HCM 
- 2200000258 - OTBD
- 2200000262 - OTBD </t>
    </r>
    <r>
      <rPr>
        <sz val="14"/>
        <color rgb="FFFF0000"/>
        <rFont val="Times New Roman"/>
        <family val="1"/>
      </rPr>
      <t>(đi 2.45x1230 trước)</t>
    </r>
  </si>
  <si>
    <t>- 256+258: ABCD
- 262: AB =&gt; CD</t>
  </si>
  <si>
    <t>Quang Vinh 36</t>
  </si>
  <si>
    <t>Xong hàng 05.03</t>
  </si>
  <si>
    <t>HCM/Long Bình</t>
  </si>
  <si>
    <t>- 2000000076 - Nam Kim (1k5)
- 2200000262 - OTBD (cân tải tàu)</t>
  </si>
  <si>
    <t>- 076: CD
- 262: AB =&gt; CD (xuất cân tải tàu)</t>
  </si>
  <si>
    <t>Hải Anh + Huy</t>
  </si>
  <si>
    <t>Xong hàng 07.03</t>
  </si>
  <si>
    <t>- 2200000264 - Tôn Hòa Phát 4k2</t>
  </si>
  <si>
    <t>only CD</t>
  </si>
  <si>
    <t>TRƯỜNG AN 25</t>
  </si>
  <si>
    <r>
      <rPr>
        <sz val="14"/>
        <rFont val="Times New Roman"/>
        <family val="1"/>
      </rPr>
      <t>- 2000000109 - VIỆT NHẬT</t>
    </r>
    <r>
      <rPr>
        <sz val="14"/>
        <color theme="1"/>
        <rFont val="Times New Roman"/>
        <family val="1"/>
      </rPr>
      <t xml:space="preserve">
- 2200000264 - Tôn Hòa Phát 3k2</t>
    </r>
  </si>
  <si>
    <t>- 2200000264 - Tôn Hòa Phát
- 2200000265 - NMCN</t>
  </si>
  <si>
    <t>huy</t>
  </si>
  <si>
    <t>NinhCo 66</t>
  </si>
  <si>
    <t>Xong hàng 08.03</t>
  </si>
  <si>
    <t>- 2000000107 - MINH PHÚ</t>
  </si>
  <si>
    <t>- 2200000266 - OTHY
- 2200000265 - NMCN</t>
  </si>
  <si>
    <t>AB =-&gt; CD</t>
  </si>
  <si>
    <t>POSCO</t>
  </si>
  <si>
    <r>
      <t xml:space="preserve">- 2000000100 - SMC (1K7) (XUẤT TRC)
</t>
    </r>
    <r>
      <rPr>
        <sz val="14"/>
        <rFont val="Times New Roman"/>
        <family val="1"/>
      </rPr>
      <t>- 2000000102/101 - TVP</t>
    </r>
  </si>
  <si>
    <t>- 100: ONLY CD
- 101/102: AB=&gt;CD</t>
  </si>
  <si>
    <t>Nam Sơn 68</t>
  </si>
  <si>
    <t>Xong hàng 09.03</t>
  </si>
  <si>
    <r>
      <t xml:space="preserve">- 2200000262 - OTBD
- 2200000267 - OTBD
</t>
    </r>
    <r>
      <rPr>
        <sz val="14"/>
        <color rgb="FFFF0000"/>
        <rFont val="Times New Roman"/>
        <family val="1"/>
      </rPr>
      <t>- 2200000268 - OTBD</t>
    </r>
  </si>
  <si>
    <t>- 268: AB</t>
  </si>
  <si>
    <t>Xong hàng 10.03</t>
  </si>
  <si>
    <t>2200000277 - OTHY (1250)
2200000272 - NMCN (2500)
2200000273 - OTHY (900)</t>
  </si>
  <si>
    <t>- 277: AB
- 272: CD
- 273: CD</t>
  </si>
  <si>
    <t>ĐẠI LỘC PHÁT 388</t>
  </si>
  <si>
    <t>Xong hàng 11.03</t>
  </si>
  <si>
    <r>
      <rPr>
        <sz val="14"/>
        <rFont val="Times New Roman"/>
        <family val="1"/>
      </rPr>
      <t>2200000273</t>
    </r>
    <r>
      <rPr>
        <sz val="14"/>
        <color theme="1"/>
        <rFont val="Times New Roman"/>
        <family val="1"/>
      </rPr>
      <t xml:space="preserve"> - OTHY (2050)
2000000113 - NHẬT QUANG (1000T)</t>
    </r>
  </si>
  <si>
    <t>- 273: CD
- 113: CD</t>
  </si>
  <si>
    <t>HUY+BÍCH</t>
  </si>
  <si>
    <t>2000000112 - LPG (2000T)
2200000268 - OTBD (1KT)
2200000274 - OTBD (CÂN TÀU)</t>
  </si>
  <si>
    <t>- 112: CD
- 268: AB
- 274: CD</t>
  </si>
  <si>
    <t>2200000276 - OTHY ĐI HCM (2995)
2200000271 - OTHY ĐI HCM (2500)</t>
  </si>
  <si>
    <t>- 269 AB
- 271: CD</t>
  </si>
  <si>
    <t>HUY + ĐỨC ANH</t>
  </si>
  <si>
    <t>HÀ DƯƠNG 09</t>
  </si>
  <si>
    <t>Xong hàng 12.03</t>
  </si>
  <si>
    <t>2200000274 - OTBD (CÂN TÀU)</t>
  </si>
  <si>
    <t>- 274: CD</t>
  </si>
  <si>
    <t>Hương Điền 27</t>
  </si>
  <si>
    <t>2200000271 - OTHY ĐI HCM (500)
2200000274 - OTBD (CÂN TÀU)
2200000256 - OTHY (SS400 - 1500)</t>
  </si>
  <si>
    <t>- 271: CD
- 274: CD</t>
  </si>
  <si>
    <t>Xong hàng 13.03</t>
  </si>
  <si>
    <t>2000000109 - VIỆT NHẬT (550T)
2000000115 - TẤN PHÁT (1000T)
2200000273 - OTHY (~500T)
2200000280 - NMCN (2850)</t>
  </si>
  <si>
    <t>- 273: CD
- 109: CD
- 280: AB
- 115: CD</t>
  </si>
  <si>
    <t>2000000116 - HOA SEN (12.03 Có lệnh)</t>
  </si>
  <si>
    <t>- 116: CD</t>
  </si>
  <si>
    <t>Minh Phú 17</t>
  </si>
  <si>
    <t>2200000280 - NMCN (350)
2200000281 - NMCN (4670)
2200000264 - TÔN HÒA PHÁT (CÂN TÀU)</t>
  </si>
  <si>
    <t>- 280: AB
- 281: CD
- 264: CD</t>
  </si>
  <si>
    <t>Xong hàng 14.03</t>
  </si>
  <si>
    <r>
      <t xml:space="preserve">2200000279 - TÔN HÒA PHÁT (1100)
</t>
    </r>
    <r>
      <rPr>
        <sz val="14"/>
        <rFont val="Times New Roman"/>
        <family val="1"/>
      </rPr>
      <t>2000000114 - VIỆT ĐỨC (2500T)
2200000264 - TÔN HÒA PHÁT (ĐỦ TẢI)</t>
    </r>
  </si>
  <si>
    <t>- 279: CD
- 264: CD
- 114: CD</t>
  </si>
  <si>
    <t xml:space="preserve">HUY + BÍCH </t>
  </si>
  <si>
    <t>MINH KHÁNH 25</t>
  </si>
  <si>
    <t>2000000124 - IPC (1000T)
2000000117 - PHÚ NAM (800T)
2000000118 - PHÚC TIẾN (1500T)</t>
  </si>
  <si>
    <t>ABCD 5-7-9.8 x 1500
(NỢ LỆNH BẢN CỨNG)</t>
  </si>
  <si>
    <t>Xong hàng 15.03</t>
  </si>
  <si>
    <t xml:space="preserve">2000000127 - MINH NGỌC </t>
  </si>
  <si>
    <t>- 127: CD</t>
  </si>
  <si>
    <t>Xong hàng 16.03</t>
  </si>
  <si>
    <r>
      <rPr>
        <sz val="14"/>
        <rFont val="Times New Roman"/>
        <family val="1"/>
      </rPr>
      <t>2000000122 - CTC (600T)</t>
    </r>
    <r>
      <rPr>
        <sz val="14"/>
        <color theme="1"/>
        <rFont val="Times New Roman"/>
        <family val="1"/>
      </rPr>
      <t xml:space="preserve">
2000000120 - THÉP HÌNH (800T) 
2000000107 - MINH PHÚ (860T) 
2200000264 - TÔN HÒA PHÁT (ĐỦ TẢI)</t>
    </r>
  </si>
  <si>
    <t>120-122: ABCD mác 5-7-9.8x1500
- 107: CD
- 264: CD</t>
  </si>
  <si>
    <t xml:space="preserve">BÍCH + HẢI ANH </t>
  </si>
  <si>
    <t>2000000126 - TOÀN THẮNG (1000t)
2000000121 - NAM VIỆT 2000T</t>
  </si>
  <si>
    <t>Xong hàng 17.03</t>
  </si>
  <si>
    <t>2000000127 - MINH NGỌC
2200000284 -OTHY
2200000285 - OTHY
2200000286 - OTHY
2200000288 - NMCN
2200000287 - NMCN</t>
  </si>
  <si>
    <t>-127: CD
-284: AB
-285: AB
-286: CD
-287: AB
-288: AB</t>
  </si>
  <si>
    <t>THANH LIÊM 08</t>
  </si>
  <si>
    <t>Xong hàng 18.03</t>
  </si>
  <si>
    <t>2000000133 - MINH PHÚ
2200000291 -OTHY (cuộn nhỏ)
2200000292 - NMCN(cuộn nhỏ)</t>
  </si>
  <si>
    <t xml:space="preserve">-133:CD
</t>
  </si>
  <si>
    <t>2000000135 - MỸ VIỆT
2200000264 - Tôn HP (1150t)</t>
  </si>
  <si>
    <t>- 135: CD
- 264: CD</t>
  </si>
  <si>
    <t>Xong hàng 19.03</t>
  </si>
  <si>
    <t>2200000282 -OTHY
2200000283 -OTHY</t>
  </si>
  <si>
    <t>-282: AB
-283: CD</t>
  </si>
  <si>
    <t>Trường An 01</t>
  </si>
  <si>
    <t>2200000264 - Tôn HP (1000T)
2200000301 - NMCN (3500T)</t>
  </si>
  <si>
    <t>- 301: CD
- 264: CD</t>
  </si>
  <si>
    <t>HẢI HÀ 168</t>
  </si>
  <si>
    <t>Xong hàng 20.03</t>
  </si>
  <si>
    <t xml:space="preserve">2000000138 - TVP </t>
  </si>
  <si>
    <t xml:space="preserve">- 138: CD </t>
  </si>
  <si>
    <t>Xong 20.03</t>
  </si>
  <si>
    <t>2200000282 - OTHY
2200000283 - OTHY
2200000295 - OTHY
2200000296 - OTHY
2200000297 - OTBD
2000000298 - OTBD</t>
  </si>
  <si>
    <t>-282: AB
-283 CD
-295 AB
-296 CD
-297 AB
-298 CD</t>
  </si>
  <si>
    <t>2000000136 - NAM HƯNG
2000000139 - NAM HƯNG</t>
  </si>
  <si>
    <t>136 + 139 (CD)</t>
  </si>
  <si>
    <t xml:space="preserve">HẢI ANH </t>
  </si>
  <si>
    <t>Xong hàng 21.03</t>
  </si>
  <si>
    <t>2200000305 - OTHY
2200000304 - OTHY
2200000278 - OTHY</t>
  </si>
  <si>
    <t>- 305/304: AB =&gt; CD
- 278: CD</t>
  </si>
  <si>
    <t>Xong hàng 23.03</t>
  </si>
  <si>
    <r>
      <t xml:space="preserve">2200000301 - NMCN (300T)
2000000129 - CHÍNH ĐẠI (1500)
</t>
    </r>
    <r>
      <rPr>
        <sz val="14"/>
        <rFont val="Times New Roman"/>
        <family val="1"/>
      </rPr>
      <t>2200000302 - NMCN (800T)</t>
    </r>
    <r>
      <rPr>
        <sz val="14"/>
        <color rgb="FFFF0000"/>
        <rFont val="Times New Roman"/>
        <family val="1"/>
      </rPr>
      <t xml:space="preserve">
</t>
    </r>
    <r>
      <rPr>
        <sz val="14"/>
        <rFont val="Times New Roman"/>
        <family val="1"/>
      </rPr>
      <t>2000000119 - THIÊN TRƯỜNG (500T)</t>
    </r>
    <r>
      <rPr>
        <sz val="14"/>
        <color rgb="FFFF0000"/>
        <rFont val="Times New Roman"/>
        <family val="1"/>
      </rPr>
      <t xml:space="preserve">
</t>
    </r>
    <r>
      <rPr>
        <sz val="14"/>
        <rFont val="Times New Roman"/>
        <family val="1"/>
      </rPr>
      <t xml:space="preserve">2000000117 - PHÚ NAM (200T) </t>
    </r>
    <r>
      <rPr>
        <sz val="14"/>
        <color rgb="FFFF0000"/>
        <rFont val="Times New Roman"/>
        <family val="1"/>
      </rPr>
      <t xml:space="preserve">
</t>
    </r>
    <r>
      <rPr>
        <sz val="14"/>
        <rFont val="Times New Roman"/>
        <family val="1"/>
      </rPr>
      <t xml:space="preserve">2000000125 - NGŨ PHÚC (330T)
</t>
    </r>
    <r>
      <rPr>
        <sz val="14"/>
        <color rgb="FFFF0000"/>
        <rFont val="Times New Roman"/>
        <family val="1"/>
      </rPr>
      <t>2000000114 - VIỆT ĐỨC (500T)</t>
    </r>
    <r>
      <rPr>
        <sz val="14"/>
        <rFont val="Times New Roman"/>
        <family val="1"/>
      </rPr>
      <t xml:space="preserve">
2200000310 - OTHY (110T)</t>
    </r>
  </si>
  <si>
    <r>
      <t>- 301: CD
- 302: CD
- 129: ABCD
- 119,117,137, 114: SS400 1500 - ABCD</t>
    </r>
    <r>
      <rPr>
        <b/>
        <sz val="14"/>
        <color rgb="FFFF0000"/>
        <rFont val="Times New Roman"/>
        <family val="1"/>
      </rPr>
      <t xml:space="preserve">
- 310: AB =&gt; CD</t>
    </r>
    <r>
      <rPr>
        <sz val="14"/>
        <color theme="1"/>
        <rFont val="Times New Roman"/>
        <family val="1"/>
      </rPr>
      <t xml:space="preserve">
</t>
    </r>
  </si>
  <si>
    <r>
      <rPr>
        <sz val="14"/>
        <rFont val="Times New Roman"/>
        <family val="1"/>
      </rPr>
      <t xml:space="preserve">2000000131 - HÙNG CƯỜNG (1000T) </t>
    </r>
    <r>
      <rPr>
        <sz val="14"/>
        <color rgb="FFFF0000"/>
        <rFont val="Times New Roman"/>
        <family val="1"/>
      </rPr>
      <t xml:space="preserve">
</t>
    </r>
    <r>
      <rPr>
        <sz val="14"/>
        <rFont val="Times New Roman"/>
        <family val="1"/>
      </rPr>
      <t xml:space="preserve">2000000134 - NAM PHÁT (2000T)
</t>
    </r>
    <r>
      <rPr>
        <sz val="14"/>
        <color rgb="FF0070C0"/>
        <rFont val="Times New Roman"/>
        <family val="1"/>
      </rPr>
      <t>2000000143 - KKBMV (1000T)</t>
    </r>
  </si>
  <si>
    <t>- 131: SS400 - ABCD
- 134: SS400 - ABCD
- 143: SS400 - ABCD</t>
  </si>
  <si>
    <t xml:space="preserve">HÙNG NGUYÊN T2 CÓ LC </t>
  </si>
  <si>
    <t>2000000136/9 - NAM HƯNG (1100T)
2000000126 - TOÀN THẮNG (1000T)
2200000308 - OTBD (AB=&gt;CD)
2200000309 - OTBD (AB=&gt;CD)</t>
  </si>
  <si>
    <r>
      <t xml:space="preserve">- 126: SS400 - ABCD
- 136/139: CD
</t>
    </r>
    <r>
      <rPr>
        <b/>
        <sz val="14"/>
        <color rgb="FFFF0000"/>
        <rFont val="Times New Roman"/>
        <family val="1"/>
      </rPr>
      <t>- 308/309: GHI CHÚ TRÊN LỆNH</t>
    </r>
  </si>
  <si>
    <r>
      <rPr>
        <b/>
        <sz val="14"/>
        <color theme="1"/>
        <rFont val="Times New Roman"/>
        <family val="1"/>
      </rPr>
      <t>HẢI HÀ 168</t>
    </r>
    <r>
      <rPr>
        <sz val="14"/>
        <color theme="1"/>
        <rFont val="Times New Roman"/>
        <family val="1"/>
      </rPr>
      <t xml:space="preserve"> ĐI CẨM NGUYÊN ĐÊ</t>
    </r>
  </si>
  <si>
    <t>Xong hàng 24.03</t>
  </si>
  <si>
    <r>
      <t xml:space="preserve">2000000120 - THÉP HÌNH (1K1)
</t>
    </r>
    <r>
      <rPr>
        <b/>
        <sz val="14"/>
        <color rgb="FFFF0000"/>
        <rFont val="Times New Roman"/>
        <family val="1"/>
      </rPr>
      <t>2000000141 - OT190 (cân tàu) - (1900T)</t>
    </r>
  </si>
  <si>
    <t>- 120: ABCD
- 141: ABCD</t>
  </si>
  <si>
    <t>2000000140 - KKBV (1850T)
2000000153 - CTC (chú ý) (1150)
2000000141 - OT190 (cân tàu)</t>
  </si>
  <si>
    <t>- 141: ABCD
- 140: ABCD 
'- 153: ABCD</t>
  </si>
  <si>
    <t>Xong hàng 25.03</t>
  </si>
  <si>
    <r>
      <rPr>
        <sz val="14"/>
        <color rgb="FFFF0000"/>
        <rFont val="Times New Roman"/>
        <family val="1"/>
      </rPr>
      <t>2000000123 - CTC -2200T</t>
    </r>
    <r>
      <rPr>
        <sz val="14"/>
        <rFont val="Times New Roman"/>
        <family val="1"/>
      </rPr>
      <t xml:space="preserve">
2000000154 - SMC - 1000T 
2000000149 - KỲ ĐỒNG - 1300T
</t>
    </r>
  </si>
  <si>
    <t>- 123: ABCD</t>
  </si>
  <si>
    <t>Bích Thanh 28</t>
  </si>
  <si>
    <t>Xong hàng 26.03</t>
  </si>
  <si>
    <r>
      <rPr>
        <sz val="14"/>
        <rFont val="Times New Roman"/>
        <family val="1"/>
      </rPr>
      <t>2200000308 - OTBD (AB=&gt;CD)
2200000309 - OTBD (AB=&gt;CD) - tổng 1000t</t>
    </r>
    <r>
      <rPr>
        <sz val="14"/>
        <color rgb="FFFF0000"/>
        <rFont val="Times New Roman"/>
        <family val="1"/>
      </rPr>
      <t xml:space="preserve">
</t>
    </r>
    <r>
      <rPr>
        <sz val="14"/>
        <rFont val="Times New Roman"/>
        <family val="1"/>
      </rPr>
      <t>2000000149 - KỲ ĐỒNG - 1700T
2000000152 - HOÀN PHÚC - 2000T</t>
    </r>
  </si>
  <si>
    <t>ABCD</t>
  </si>
  <si>
    <t xml:space="preserve">CỨU NÓ THẾ NÀY ĐI BẠN ƠI </t>
  </si>
  <si>
    <t xml:space="preserve">Xong hàng </t>
  </si>
  <si>
    <t>2000000157 - HÙNG NUYÊN (3000T)
2000000132 - Thép Minh Phú (950t)
2200000264 - Tôn HP (~100T)
2200000241 - Tôn HP (~700T)</t>
  </si>
  <si>
    <t>- 157: ABCD
- 132: CD
- 264: CD, 
- 241: CD</t>
  </si>
  <si>
    <t>Istar 55</t>
  </si>
  <si>
    <t>2000000147 - VNO 3000
2000000148 - VNO 2250</t>
  </si>
  <si>
    <t>- 147: CD
- 148: CD</t>
  </si>
  <si>
    <r>
      <t xml:space="preserve">2000000155 - SMC PHÚ MỸ (3000T)
</t>
    </r>
    <r>
      <rPr>
        <sz val="14"/>
        <color rgb="FFFF0000"/>
        <rFont val="Times New Roman"/>
        <family val="1"/>
      </rPr>
      <t>2000000092 - TLPM (xuất trc)
2000000158 - TẤM LÁ PHÚ MỸ (xuất tối đa)</t>
    </r>
    <r>
      <rPr>
        <sz val="14"/>
        <color theme="1"/>
        <rFont val="Times New Roman"/>
        <family val="1"/>
      </rPr>
      <t xml:space="preserve">
2200000231 - NỘI THẤT HÓA PHÁT (nếu cần)</t>
    </r>
  </si>
  <si>
    <t>- 155/092/158: CD
- 231: CD</t>
  </si>
  <si>
    <t>2200000241 - Tôn HP (2600)
2200000320 - NMCN (900T)</t>
  </si>
  <si>
    <t>- ONLY CD</t>
  </si>
  <si>
    <t xml:space="preserve">2000000146 - VINAONE </t>
  </si>
  <si>
    <t>- 146: CD
Cho đợi nhập kho, 27/3 xong</t>
  </si>
  <si>
    <t>Đại Lộc Phát</t>
  </si>
  <si>
    <t>2000000145: NAM KIM (3000T)</t>
  </si>
  <si>
    <t>-145: CD</t>
  </si>
  <si>
    <t xml:space="preserve">2200000321 - NMCN (425T)
2200000324 - OTHY (326T)
2200000325 - OTHY (45T)
2200000326 - OTHY (465T)
2200000327 OTHY (1600T)
2200000323 NMCN (370T)
2200000322 NMCN (2000T) </t>
  </si>
  <si>
    <t>321: CD
322,323: AB
còn lại ABC</t>
  </si>
  <si>
    <t>BÁCH KHOA 68</t>
  </si>
  <si>
    <r>
      <t xml:space="preserve">2200000320 - NMCN (lương còn lại)
2200000322 - NMCN (lượng còn lại)
2200000327 OTHY (lượng còn lại)
2200000324 - OTHY ( nếu còn )
2200000321 - NMCN ( nếu còn )
</t>
    </r>
    <r>
      <rPr>
        <b/>
        <sz val="14"/>
        <color theme="1"/>
        <rFont val="Times New Roman"/>
        <family val="1"/>
      </rPr>
      <t>2200000264 - TÔN  (~450T) 
2200000241 - TÔN (NẾU CẦN THÌ CÂP)</t>
    </r>
  </si>
  <si>
    <t xml:space="preserve">142 - CD - dự kiến tối 27/3  nhập kho xong </t>
  </si>
  <si>
    <r>
      <rPr>
        <b/>
        <sz val="14"/>
        <color rgb="FFFF0000"/>
        <rFont val="Times New Roman"/>
        <family val="1"/>
      </rPr>
      <t>2000000156 - TRUNG TÍN KIM (1000T)</t>
    </r>
    <r>
      <rPr>
        <sz val="14"/>
        <color theme="1"/>
        <rFont val="Times New Roman"/>
        <family val="1"/>
      </rPr>
      <t xml:space="preserve">
2200000317 OTBD (240T)
2200000319 OTBD (320T)
2200000328 OTHY (1500T)
2200000329 OTHY (600T)</t>
    </r>
    <r>
      <rPr>
        <b/>
        <sz val="14"/>
        <color theme="1"/>
        <rFont val="Times New Roman"/>
        <family val="1"/>
      </rPr>
      <t xml:space="preserve">
2200000316 OTBD (740T) 
2200000318 OTBD (90T) </t>
    </r>
  </si>
  <si>
    <t xml:space="preserve">- 156: ABCD(CHIỀU 26/3) CÓ LỆNH
316,317:AB
318,319:CD
328,329:ABC
</t>
  </si>
  <si>
    <t>Thành đạt 28</t>
  </si>
  <si>
    <t xml:space="preserve">2000000142 - VIỆT NHẬT </t>
  </si>
  <si>
    <t xml:space="preserve">264- CD - Hàng tôn dự kiến sáng ngày 28/3 nhập kho xong </t>
  </si>
  <si>
    <t xml:space="preserve">BÍCH </t>
  </si>
  <si>
    <t>Xong hàng 30.03</t>
  </si>
  <si>
    <t xml:space="preserve">2000000132 - MINH PHÚ (~3300T) 
2000000090 - MINH NGỌC (~1300T) </t>
  </si>
  <si>
    <r>
      <t xml:space="preserve">132: CD - XUẤT VƯỢT HÀNG </t>
    </r>
    <r>
      <rPr>
        <b/>
        <sz val="14"/>
        <color theme="1"/>
        <rFont val="Times New Roman"/>
        <family val="1"/>
      </rPr>
      <t>2.43</t>
    </r>
    <r>
      <rPr>
        <sz val="14"/>
        <color theme="1"/>
        <rFont val="Times New Roman"/>
        <family val="1"/>
      </rPr>
      <t xml:space="preserve"> NẾU CẦN 
90: CD - XUẤT VƯỢT HÀNG </t>
    </r>
    <r>
      <rPr>
        <b/>
        <sz val="14"/>
        <color theme="1"/>
        <rFont val="Times New Roman"/>
        <family val="1"/>
      </rPr>
      <t xml:space="preserve">2.20 </t>
    </r>
    <r>
      <rPr>
        <sz val="14"/>
        <color theme="1"/>
        <rFont val="Times New Roman"/>
        <family val="1"/>
      </rPr>
      <t xml:space="preserve">NẾU CẦN </t>
    </r>
  </si>
  <si>
    <t>Xong hàng 31.03</t>
  </si>
  <si>
    <r>
      <t xml:space="preserve">2200000241 - TÔN - </t>
    </r>
    <r>
      <rPr>
        <b/>
        <sz val="14"/>
        <color theme="1"/>
        <rFont val="Times New Roman"/>
        <family val="1"/>
      </rPr>
      <t>XUẤT LIST CỦA PCN</t>
    </r>
    <r>
      <rPr>
        <sz val="14"/>
        <color theme="1"/>
        <rFont val="Times New Roman"/>
        <family val="1"/>
      </rPr>
      <t xml:space="preserve">
2200000264 - TÔN (~700T HÀNG 3.45-3.95x1197)</t>
    </r>
  </si>
  <si>
    <t xml:space="preserve">241: CD 
264: CD- Xuất vượt lệnh dưới 10% - NẾU CẦN </t>
  </si>
  <si>
    <t>An Thịnh 09</t>
  </si>
  <si>
    <t>2000000127 - MINH NGỌC (2.20x1250)</t>
  </si>
  <si>
    <t>2200000330-NMCN(2900T)</t>
  </si>
  <si>
    <t>330:AB</t>
  </si>
  <si>
    <t>CẬP NHẬT TÌNH HÌNH XUẤT HÀNG HRC THÁNG 01/2022</t>
  </si>
  <si>
    <t>Hoàng Sa 68</t>
  </si>
  <si>
    <t>2200000897 - NMCN 3000T
2200000898 - NMCN 550T
2200000890 - NMCN 2200T
2200000887,888 - OTHY 430T
2200000903 - NMCN 600T
2200000904 - NMCN cân tải</t>
  </si>
  <si>
    <t>2000000604 - HOA SEN (535A - 2700MT)
2000000641 - HOA SEN (572A - 900MT)</t>
  </si>
  <si>
    <t>Lệnh 535 xuất vượt hàng 2.00x1212 - như mapping</t>
  </si>
  <si>
    <t xml:space="preserve"> MT Hà Nội 07 </t>
  </si>
  <si>
    <t>2200000904 - NMCN</t>
  </si>
  <si>
    <t xml:space="preserve">Trung Nguyên 18 </t>
  </si>
  <si>
    <t>2000000628 - MINH PHÚ (3050MT)</t>
  </si>
  <si>
    <t>2000000628 - MINH PHÚ - 1000MT
2000000600 - MINH PHÚ 2700MT
2200000904 - NMCN (còn lại)
2200000863,881 - THP 2100T</t>
  </si>
  <si>
    <t>TÂN THỦY 38</t>
  </si>
  <si>
    <t xml:space="preserve">2000000637 - NAM KIM - 3KT
2000000643 - ĐÔNG Á - 1KT
2200000905 - OTBD </t>
  </si>
  <si>
    <t>tàu này về làm KH luôn nhé</t>
  </si>
  <si>
    <t xml:space="preserve">Phú MỸ </t>
  </si>
  <si>
    <t>2200000907 - ĐLHP 70T đi hết
2000000623 - TẤM LÁ PHÚ MỸ 2.000MTS
2200000894 - OTHY Làm Bill cho TopPro 2.000mts (cân tải)</t>
  </si>
  <si>
    <t>(XUẤT HẾT LƯỢNG MAPPING CỦA TẤM LÁ PHÚ MỸ)</t>
  </si>
  <si>
    <t>2000000610 - VNO
2000000612 - VNO 
2000000613 - VNO
2000000614 - VNO</t>
  </si>
  <si>
    <t>610: LÊN HẾT 2.30X1212
612: LÊN HẾT 2.30X1232
613: LÊN HẾT 2.00X1232
614: LÊN HÀNG 2.85X1262 CÂN TẢI</t>
  </si>
  <si>
    <t>Minh Quang 01</t>
  </si>
  <si>
    <t>2000000638 - TVĐ 2580MT
2000000639 - OTVĐ 1528MT
2000000644 - Khôi Nguyên 1000mt
2200000904 - NMCN 650T
2200000863,881 - THP 400MT
2000000642 - MINH NGỌC (4000MT) xuất hết hàng mapping, chiều 06/01 duyệt lệnh</t>
  </si>
  <si>
    <t>Cho vào làm dần dần thôi</t>
  </si>
  <si>
    <t>2000000597 - CTC (850mt)
2000000598 - CTC (775mt)
2200000911 - NMCN 1000T</t>
  </si>
  <si>
    <t>2000000629 - VINAS 2000KT
2000000579 - MARU (NAM PHÁT)
2000000652 - MARU (NAM PHÁT)
2200000911 - NMCN 600T</t>
  </si>
  <si>
    <t>Bốc hàng vinas cuối cùng để dỡ trước</t>
  </si>
  <si>
    <t>Việt Thuận 215-07</t>
  </si>
  <si>
    <t>2200000900 - OTBD - 334MT
2200000905 - OTBD - 6600MT
2200000906 - OTBD - 950MT
2200000895 - OTHY 2000T (dán màu phân biệt)
2000000542 - LÊ PHAN GIA - 3KT (NGUỘI)
2200000912 - OTBD - 890T
2000000632 - TÂY NAM STEEL - 1000mt (nóng) 
2000000633 - TIẾN LÊN - 1000mt SS400 (nóng) 
2200000913 - OTBD - cân tải
2000000668 - Kỳ Đông 1800t</t>
  </si>
  <si>
    <t>LỆNH 22*913: phải để lại 300T hàng 2.95, 300T 2.45 cho tàu Nam Phát Queen
Lệnh 632 và 633 đang chờ nhập kho hàng 2.80 và 3.80</t>
  </si>
  <si>
    <t>VIỆT THUẬN 09</t>
  </si>
  <si>
    <t>2000000659 - HÙNG NGUYÊN - 1200mt
2000000656 - PHÚC TIẾN - 1000mt
2000000597 - CTC (920mt)
2000000598 - CTC (400mt)</t>
  </si>
  <si>
    <t>muộn nhất sáng 09/01 NK xong hết
có hàng nguội - có thể làm hàng dần</t>
  </si>
  <si>
    <t>2000000640 - KKBV 2950MT
2000000645 - TPHN (600MT)</t>
  </si>
  <si>
    <t>Lotus</t>
  </si>
  <si>
    <t>2000000665 - Kỳ Đông
2000000668 - Kỳ Đông
2000000663 - Kỳ Đông - chiều t2 duyệt 
2000000654 - Kỳ Đông - chiều t2 duyệt 
2000000666 - TTK
2000000667 - TTK</t>
  </si>
  <si>
    <t>LƯU Ý: LỆNH 2*665 VÀ 2*668 
KHÔNG XUẤT VƯỢT LƯỢNG TỔNG LỆNH</t>
  </si>
  <si>
    <t>NAM KHÁNH 88</t>
  </si>
  <si>
    <t>2000000630 - TIẾN LỢI - 500MTS (đã đủ hàng) - xuất hết mapping
2000000631 - THIÊN TRƯỜNG - 800MTS - đã đủ hàng - xuất hết mapping
2200000911 - OTHY 900T
2200000908 - NMCN 185T</t>
  </si>
  <si>
    <t>2000000662 - TOÀN THẮNG (1KT)
2000000540 - TVP (1KT)
2200000913 - OTBD (600T) xuất 300T hàng 2.95, 300T hàng 2.45 
2200000896 - OTBD - (500t hàng mỗi mác)
2200000913 - OTBD (cân tải)</t>
  </si>
  <si>
    <t>913: lên hàng 2.45x1262 II và 2.95x1212</t>
  </si>
  <si>
    <t>THÀNH CÔNG 36</t>
  </si>
  <si>
    <t>2000000673 - ĐÔNG Á PHÚ MY - 2350
2200000915,916 ĐLHP 200T
2200000918 - THP 140T
2200000894 - OTHY 200T Làm Bill chia 2 lot Ngày Bill trước 15.01</t>
  </si>
  <si>
    <t>2000000661 - QUANG MƯỜI - 3KT - 10/1
2000000660 - NIPPON (QH PLUS) - 1000mt
2000000672 - ĐÔNG Á</t>
  </si>
  <si>
    <t xml:space="preserve">tàu về cho vào làm hàng luôn </t>
  </si>
  <si>
    <t>Thịnh Long 25</t>
  </si>
  <si>
    <t>2000000651 - VINAS  - 2.400 MTS (cân tải)
2000000638 - TVĐ 331 MT
2000000639 - OTVĐ 514 MT</t>
  </si>
  <si>
    <t>2200000914 - NMCN cân tải
2200000911 - NMCN 130T</t>
  </si>
  <si>
    <t>2000000653 - TMP 1600T
2200000914 - NMCN 580mt
2000000655 - Amecc - 1000mt (đã đủ hàng, xuất hết mapping)
2000000679 - NIPPON
2200000917 - THP</t>
  </si>
  <si>
    <t>Thêm lệnh đi mn cần tầm 450T nữa để đủ tải.</t>
  </si>
  <si>
    <t>THÁI  BÌNH 35</t>
  </si>
  <si>
    <t>10.01.22</t>
  </si>
  <si>
    <t>11.1 PM</t>
  </si>
  <si>
    <t>2000000673 - ĐÔNG Á PHÚ MY</t>
  </si>
  <si>
    <t>ĐẠT ANH 27</t>
  </si>
  <si>
    <t>14.1 pm</t>
  </si>
  <si>
    <t>2200000910 - OTHY 760T
2200000914 - NMCN 2000MT (hết)
2200000917 - THP</t>
  </si>
  <si>
    <t>2200000896 - OTBD
2200000913 - OTBD cân tải
2000000680 - ĐÔNG Á TÂN THUẬN - 1500T</t>
  </si>
  <si>
    <t>680: CẦN RA HÓA ĐƠN CHẬM NHẤT NGÀY 15/1</t>
  </si>
  <si>
    <t>2000000682- ĐÔNG Á PHÚ MỸ (500T của đơn tháng 1)
2000000673 - ĐÔNG Á PHÚ MY - 2600t 
2200000913 - OTBD cân tải</t>
  </si>
  <si>
    <t>673 VÀ 682: LÊN HÀNG SAU CÙNG ĐỂ DỠ HÀNG TRƯỚC
CẦN CHỐT HÓA ĐƠN CHẬM NHẤT NGÀY 15/1</t>
  </si>
  <si>
    <t xml:space="preserve">2000000675 - CTC (1780MT) </t>
  </si>
  <si>
    <t>lệnh này sáng 15/01 duyệt</t>
  </si>
  <si>
    <t>Trung Huy 588</t>
  </si>
  <si>
    <t>2200000924 - OTHY (155)
2200000863 - THP cân tải
2200000917 - THP (750)
2200000920 - THP (768)
2200000925 - NMCN (720)</t>
  </si>
  <si>
    <t>HỒNG DƯƠNG 18</t>
  </si>
  <si>
    <t>2200000919 - THP (880MT)
2000000677 - KKBV (1360MT)
2000000678 - OT190 (377MT)</t>
  </si>
  <si>
    <t>Tùng Lâm 28</t>
  </si>
  <si>
    <t xml:space="preserve">Phú mỹ </t>
  </si>
  <si>
    <t xml:space="preserve">  </t>
  </si>
  <si>
    <t>2000000658 - VINAS - 2300T (GIAO -10%)
300mt 30mnsi - Liên hệ chị Nguyên
2200000926 - THP (166MT)
2200000863 - THP (280mt)</t>
  </si>
  <si>
    <t>18.1 PM</t>
  </si>
  <si>
    <t>2000000674 - Chính Đại (3000mt)
2000000675 - Citicom (350mt)
2200000863 - THP (340)</t>
  </si>
  <si>
    <t>2200000931 - NMCN 700T
2200000930 - NMCN 2300T
2200000929 - OTHY 220T
2200000928 - OTHY cân tải</t>
  </si>
  <si>
    <t xml:space="preserve">2000000687 - VNO 
2000000686 - MOV </t>
  </si>
  <si>
    <t xml:space="preserve">ANH DANH ƠI GHÉP ĐỒ LÊN ĐÂY
NAM ƠI ƯU TIÊN TRƯỚC </t>
  </si>
  <si>
    <t>Trường Giang 168</t>
  </si>
  <si>
    <t>19.1 PM</t>
  </si>
  <si>
    <t>2200000917 - THP 3070T</t>
  </si>
  <si>
    <t>19.1 9h</t>
  </si>
  <si>
    <t>2000000648 - SMCTT (2000MT)
2000000676 - CTC (350MT)
2000000664 - TIẾN LÊN - 1.000mts
2200000913 - OTBD - 1100T
2000000610 - VNO - 1488
2000000611 - VNO - 2000T (TAM THỜI)
2000000685 - ĐÔNG Á (600T)
2000000684 - ĐÔNG Á (4600T)
2000000614 - VNO
2000000688 - NAM KIM - 1000 - SẮP DUYỆT ĐC</t>
  </si>
  <si>
    <t>20.1</t>
  </si>
  <si>
    <t>2000000671 - NHẬT QUẠNG - 1.000MTS
2200000917 - THP
2000000692 - IPC (1000MT)
2200000928 - OTHY cân tải</t>
  </si>
  <si>
    <t>Cho lại lịch tàu này đi Nam</t>
  </si>
  <si>
    <t>2000000695 - TẤM LÁ PHÚ MỸ - 1.000mts
2200000918 - THP 330MT
2000000683 - THE ONE 390MT
2000000690 - TĐA 2300MT</t>
  </si>
  <si>
    <t>Trung Thành 168</t>
  </si>
  <si>
    <t>22.1 pm</t>
  </si>
  <si>
    <t>2200000917 THP</t>
  </si>
  <si>
    <t>Tàu chấp nhận đợi 23/01 - đợi hàng nguội</t>
  </si>
  <si>
    <t>23.1 AM</t>
  </si>
  <si>
    <t>2000000641 - Hoa Sen</t>
  </si>
  <si>
    <t>Lệnh này có 2k2 hàng nguội rồi
Chỉ còn 1k sản xuất ngày 20/1
Dỡ đá xong cho vào làm luôn cũng đc</t>
  </si>
  <si>
    <t>2200000917 - THP 850T
2200000863 - THP 1800T
2200000932 - THP cân tải</t>
  </si>
  <si>
    <t>Đưa lệnh để cho tàu vào</t>
  </si>
  <si>
    <t>2000000707 - nam phát</t>
  </si>
  <si>
    <t>25.1 4h-b2</t>
  </si>
  <si>
    <t>2200000928 - OTHY
2200000932 - THP
2200000863 - THP (chỉ xuất 2.15x1212)</t>
  </si>
  <si>
    <t>Đức Việt 568-18</t>
  </si>
  <si>
    <t>25.1</t>
  </si>
  <si>
    <t>2000000707 - nam phát
2200000863 - THP cân tải (chỉ xuất 2.15x1212)</t>
  </si>
  <si>
    <t>27.01.22</t>
  </si>
  <si>
    <t>Tàu thủng</t>
  </si>
  <si>
    <t>2200000863 - THP 1900T
2200000932 - THP 3200T
2200000936 - THP cân tải</t>
  </si>
  <si>
    <t>Tàu này thay cho tàu QN bị sự cố</t>
  </si>
  <si>
    <t>2200000936 - THP 450T
2200000937 - THP 1000T
2200000940 - NMCN 7900T
2200000939 - NMCN 6700T
2200000917 - THP cho san xuat</t>
  </si>
  <si>
    <t>Tàu này làm hàng ngày 30-31/01 sang ngày 01/02
Cân đối KH để sản lượng sang tháng 2 khoảng 6000-7000mt</t>
  </si>
  <si>
    <t>-*/</t>
  </si>
  <si>
    <t>Ống thép Hòa Phát</t>
  </si>
  <si>
    <t>24.1 AM</t>
  </si>
  <si>
    <t xml:space="preserve">OTHY - Topro (1300mt hoặc 300mt)
Tôn Đông Á 2000mt
</t>
  </si>
  <si>
    <t>tàu này chưa làm KH vội. Kệ nó
Oke (Nam)</t>
  </si>
  <si>
    <t>CẬP NHẬT TÌNH HÌNH XUẤT HÀNG HRC THÁNG 12/2021</t>
  </si>
  <si>
    <t>Tân Bình 136</t>
  </si>
  <si>
    <t>3.12 am-B5</t>
  </si>
  <si>
    <t>2200000812 - THP 4677 (MT) - cân tải
2200000832 - THP 1236 (MT)
2200000840 - THP 2171 (MT)
2200000861 - THP 1517 (MT)
2000000552 - TMN 3044 (MT)
2000000553 - TCĐ 2906 (MT)
2000000559 - TPHN 2824 (MT)
2000000516 - KKVN 663 (MT)
2000000561 - KKVN 398 (MT)
2200000859 - NMCN 995 (MT)
2000000551 - TPHD 619 (MT)
2000000560 - TPHD 376 (MT)
2000000545 - CTC 870 (MT)
2000000567 - NAM PHÁT
2000000555 - PHÚC TIẾN
2000000550 - NGỌC THẮNG - 1.000 MTS</t>
  </si>
  <si>
    <t>CAM KẾT LOADING RATE: 10.000MT/NGÀY
Phạt: 200.000.000 đồng/ngày</t>
  </si>
  <si>
    <t>SA</t>
  </si>
  <si>
    <t>3.12 PM-B1</t>
  </si>
  <si>
    <t>22*864 + 22*865 - OTHY (hết)
2000000549 - Vinas (1270mt) 
2000000556 Phú Nam 1000T
2000000545 - CTC 1130 (MT)</t>
  </si>
  <si>
    <t>Hàng thiếu tè le mn ơi. Tàu vào lấy đâu hàng mà làm
Phải làm thôi mn ơi. Không làm thì chịu ko biết xuất cái gì đâu ạ.</t>
  </si>
  <si>
    <t>04.12-15h B4</t>
  </si>
  <si>
    <t>2000000538 - VNO (1700t) (394B)
2000000539 - TÂY NAM (1050t)  (394)
2000000508 - VNO (1500) (392)
2000000536 - VNO (1750T) (394C)
2000000562 (Lot 1) Tây Nam Steel - 1.500 MTS (đã map đủ, xuất hết map)</t>
  </si>
  <si>
    <t xml:space="preserve">- 539: để lại hàng 3.5x1212
cần làm nhanh nhất có thể
2000000568 - VNO (2000T) (439B) </t>
  </si>
  <si>
    <t xml:space="preserve">ATN OCEAN 79 </t>
  </si>
  <si>
    <t>5.12</t>
  </si>
  <si>
    <t xml:space="preserve">
2000000557 Amecc 1000T
2000000515 - OT190 (2500mt SS400)
2000000556 - PHÚ NAM (ĐI NỐT MAPPING)
22*863 - Tôn HP 4600 mt - hàng nguội
2000000569 - Nhật Quang - 1.000 MTS 
2000000552 - TMN 1400T
2200000870 - NMCN cân tải</t>
  </si>
  <si>
    <t>NHỚ XUẤT ĐỦ HÀNG CHO KHÁCH NGOÀI NHÉ MỌI NGƯỜI, ĐỪNG BỚT LẠI, THIẾU TẢI HAY THỪA THÌ NHỚ BÁO NHÉ. BỎ LẠI HÀNG CỦA KHÁCH NGOÀI LÀ TOI ĐẤY</t>
  </si>
  <si>
    <t>6.12</t>
  </si>
  <si>
    <t>2000000527 - Hoa Sen</t>
  </si>
  <si>
    <t>Gia Hưng 289</t>
  </si>
  <si>
    <t>TÀU CHẠY LUÔN RỒI</t>
  </si>
  <si>
    <t>2000000566 - MI (1800T)
2000000564 - VNO (400T)
2000000537 - VNO (1550T)
2000000536 - VNO (500T)</t>
  </si>
  <si>
    <t xml:space="preserve">CÒN CÁI GÌ ĐI HẾT ĐI Ạ 
ƯU TIÊN HÀNG 1262 -1232 -1212 -1250
ANH DANH CHUYỂN ĐỒ VÀO ĐI A ƠI </t>
  </si>
  <si>
    <t>08.12-20h-B1/2</t>
  </si>
  <si>
    <t>2200000850 - OTBD 600T
2200000851 - OTBD 1900T
2200000852 - OTHY 300T
2200000842 - OTBD 100T
2200000853 - OTBD 1700T
2200000854 - OTBD cân tải</t>
  </si>
  <si>
    <t xml:space="preserve">Lệnh / Hàng ok hết rồi. Kéo tàu về làm thôi mn. 
</t>
  </si>
  <si>
    <t>08.12 -23h- B5</t>
  </si>
  <si>
    <t>2000000570 - NAM PHÁT (1200T)
2000000565 - NAM PHÁT (1000T)</t>
  </si>
  <si>
    <t>ĐI HÊT LƯỢNG MAP, KHÔNG LÊN THÊM HÀNG =&gt; LÀM VIỆC VỚI ĐẠI LÝ CÂN ĐỐI HẦM HÀNG ĐỂ CHẠY CHO AN TOÀN</t>
  </si>
  <si>
    <t>NAM VIỆT 18</t>
  </si>
  <si>
    <t>8.12 - 1h -B3</t>
  </si>
  <si>
    <t>2200000873 - OTHY 2100T
2200000876 - OTHY 370T
2200000875 - THP 300T
2200000874 - OTHY 240T</t>
  </si>
  <si>
    <t>10.12 6h B1</t>
  </si>
  <si>
    <t>2000000572 - HÙNG NGUYÊN (1KT)
2000000515 - OT190 (hàng SAE1006) 461MT
2000000578 - THÉP HÌNH (500T)
2200000873 - OTHY 200T
2200000870 - NMCN 430T
2000000512 - TVĐ 630mt
2000000513 - OTVĐ 700mt</t>
  </si>
  <si>
    <t>MỌI NGƯỜI ƠI EM BỎ NIPPON ĐI RỒI NHÉ CHẮC K NHẬP KHO KỊP 
2 LỆNH 512 VÀ 513 cần đi hết hàng đã mapping
Lệnh NMCN cân tải nhé huy</t>
  </si>
  <si>
    <t>11.12-B5</t>
  </si>
  <si>
    <t>2000000566 - VNO (1K8)
2000000539 - VNO (500T)
2000000537 - VNO (1K5)
2000000564 - VNO (ĐI HÀNG 2.50X1262)</t>
  </si>
  <si>
    <t xml:space="preserve">Hoài Sơn 58 </t>
  </si>
  <si>
    <t>13.12-B3</t>
  </si>
  <si>
    <t>2000000563 (Lot 2) Tây Nam Steel - 1.500 MTS
2000000562 (Lot 1) Tây Nam Steel - 300T
2000000554 - ĐÔNG Á - 1000T + 4C NGOÀI MAP, NHÓM C, LOẠI I &gt;18T
2000000580 - QUANG MƯỜI (2000T)</t>
  </si>
  <si>
    <t>11.12 dỡ đá</t>
  </si>
  <si>
    <t>15.12 15h</t>
  </si>
  <si>
    <t>2000000599 - MỸ VIỆT
2000000512 - TVĐ 2100MT
2000000513 - OTVĐ 1850 MT
2000000571 - NIPPON 240T</t>
  </si>
  <si>
    <t>2000000599: SÁNG NAY MỚI NHẬP KHO NHƯNG CẦN LÊN HẾT HÀNG TRONG NGÀY 15/12 - CHỐT HÓA ĐƠN VÀ BIÊN BẢN TRONG NGÀY 15/12</t>
  </si>
  <si>
    <t>15.12.21</t>
  </si>
  <si>
    <t xml:space="preserve">2000000590 - Khôi Nguyên 1000mt - đã gửi kế toán
2000000587 - IPC (1000T)
2000000573 - CITICOM (550t)
2200000877 - OTHY 280T
2000000598 - CITICOM (CẨN TẢI) </t>
  </si>
  <si>
    <t xml:space="preserve">Tàu cần xong luôn trong ngày 16/12 để chạy trc bão
báo duyệt lệnh của KHÔI NGUYÊN và IPC nhé </t>
  </si>
  <si>
    <t>Việt Thuận 09</t>
  </si>
  <si>
    <t>16.12 -B5</t>
  </si>
  <si>
    <t xml:space="preserve">2200000878 - GIA CẦM 
(3KT HÀNG 1260 + 1kt hàng 1214)
2000000576 - TOÀN THẮNG </t>
  </si>
  <si>
    <t>HÀNG 1214 ĐANG SX</t>
  </si>
  <si>
    <t>16.12-B5</t>
  </si>
  <si>
    <t>2000000529 - Tiến Lên - 1900 MTS
2000000593 - KỲ ĐỒNG  - 800T
2000000582 - KỲ ĐỒNG - 1KT 
2000000589 - ĐÔNG Á (1500T) 
2200000854 - OTBD 1200T
2200000855 - OTBD (cân tải)</t>
  </si>
  <si>
    <t>ALPHA</t>
  </si>
  <si>
    <t>17.12-B5</t>
  </si>
  <si>
    <t xml:space="preserve">PHÚ MỸ </t>
  </si>
  <si>
    <t>2000000520 Tấm Lá Phú Mỹ - 1.000 MTS
200000465 - NTHP 230T
2000000588 - TÔN ĐÔNG Á (4100T)
2000000603 - TÔN ĐÔNG Á (1000T)
2200000878 -  GIA CẦM (ĐI 1KT HÀNG 2.00X1214)</t>
  </si>
  <si>
    <t>HÀNG 1217 HÔM NAY SX XONG 
HÀNG 1214 NGÀY MAI MỚI SX 
=&gt; TÀU LÊN HÀNG CHẬM ĐỢI HÀNG NÓNG NHÉ 
Thế này sao kịp lên Hàng xong trước gió mùa đây bạn ơi???</t>
  </si>
  <si>
    <t>2000000595 - CTC (1320MT) đã chuyển Kế toán
2000000598 - CTC (1120MT)
2200000863: THP cân tải tàu (2600) hàng 2.45x1232</t>
  </si>
  <si>
    <t>Lệnh 863 có 10 coil 2.45x1232 cần xuất cùng lúc, loadsing lớp trên cùng</t>
  </si>
  <si>
    <t>2000000585 - VNO (910T)
2000000564 - TN (800T)
2000000568 - VNO (cân tải)</t>
  </si>
  <si>
    <t>LỆNH 2000000568 - VNO: ĐI HẾT 150T HÀNG 2.30 TRƯỚC RỒI ĐI HÀNG 2.50</t>
  </si>
  <si>
    <t>22.12 13h-B2</t>
  </si>
  <si>
    <t xml:space="preserve">2200000863 THP </t>
  </si>
  <si>
    <t>21.12 13h-B5</t>
  </si>
  <si>
    <t>2000000581 - QUANG MƯỜI - 2KT 
2000000574 - CTC 1407T
2000000596 - CTC 240T
2000000583 - SMCTT 3000mt
2000000620 - TTK (300T)
2000000577 - QH PLUS 2KT
2000000606 -  ĐÔNG Á (3200T) 
2000000568 - VNO (1650t)
2200000868 - OTBD (3200T - cân tải)</t>
  </si>
  <si>
    <t xml:space="preserve">
LỆNH 2000000568 - VNO: ĐI HÀNG 2.50</t>
  </si>
  <si>
    <t>22-23.12-B4/6</t>
  </si>
  <si>
    <t>2000000600 - Minh Phú 1500mt
2000000608 - Minh Ngọc 5000mt
2200000834 - OTHY 1200T
2200000881 - THP 2000MT
2200000863 - THP 4800MT
2200000884 - NMCN (450MT)
2200000891 - NMCN (1070MT)
2200000890 - NMCN cân tải</t>
  </si>
  <si>
    <t>24.12 PM-B5</t>
  </si>
  <si>
    <t>2000000607 - ĐÔNG Á (2kt)
2200000881 - THP 1 cuộn theo list trên nhóm thông tin nhanh
2200000863 - THP 5 cuộn theo list trên nhóm thông tin nhanh + 200T 2.00x1212
2200000889 - THP 84T (tổng tôn 410t)
2000000624- ĐÔNG Á - 700T
2000000465+594 NTHP 550T</t>
  </si>
  <si>
    <t>23.12 15h</t>
  </si>
  <si>
    <t>25.12</t>
  </si>
  <si>
    <t>2200000890 - NMCN</t>
  </si>
  <si>
    <t>28.12.21</t>
  </si>
  <si>
    <t>2000000604 - HOA SEN</t>
  </si>
  <si>
    <t>19h 27.12.21</t>
  </si>
  <si>
    <t>2000000591 - ĐÔNG Á - 2K2
2000000584 - ĐÔNG Á - 3K3
2000000625 - JFE - 4K3
2000000634 - KỲ ĐỒNG (150T)
2200000868 - OTBD 2300T
2200000855 - OTBD 1900T
2200000869 - OTBD 4900T
2200000882 - OTBD 550T
2200000883 - OTBD 4300T
2200000899 - OTBD
2200000900 - OTBD</t>
  </si>
  <si>
    <t>CÁC HÓA ĐƠN PHẢI RA TRONG NĂM 2021</t>
  </si>
  <si>
    <t>Tân Bình</t>
  </si>
  <si>
    <t>1200000046 - SMCCK</t>
  </si>
  <si>
    <t>Hàng này 1/1 mới ra hóa đơn. 
Hàng SAE1006 (khổ 1290)</t>
  </si>
  <si>
    <t>2200000902 -  Gia cầm (Vinas 3800mt)
2000000636 - Thuận Phát - 2000mt
2200000863 - THP cân tải (để lại khoảng 300mt hàng 2.00x1212)</t>
  </si>
  <si>
    <t>902: LÊN HÀNG CUỐI CÙNG NHƯNG PHẢI CĂN LÊN ĐỦ 
tàu này cần xong trong ngày 30/12 bằng bất cứ giá nào</t>
  </si>
  <si>
    <t>2200000863 - THP</t>
  </si>
  <si>
    <t>30.12.21</t>
  </si>
  <si>
    <t xml:space="preserve">
2200000895 - OTHY 2000T (dán màu phân biệt)</t>
  </si>
  <si>
    <t>MINH PHÚ 7000MT</t>
  </si>
  <si>
    <t>2000000542 - LÊ PHAN GIA - 3KT</t>
  </si>
  <si>
    <t>CẬP NHẬT TÌNH HÌNH XUẤT HÀNG HRC THÁNG 08/2022</t>
  </si>
  <si>
    <t>Bến 6/10 
16h00 ngày 30/07</t>
  </si>
  <si>
    <t>Bến 5
17h00 ngày 01/08</t>
  </si>
  <si>
    <t>2200001082 - OTBD 4451T
2200001091 - OTBD 5230T
2000001166 - metal one ~ 910t
2000001167 - metal one ~ 910t
2000001165 - metal one ~ 2150t
2000001067 - metal one ~ 760t
2200001096 - OTBD  cân tải (đi hết các cuộn to trước)</t>
  </si>
  <si>
    <t>Bến 3 
05h30 ngày 02/08</t>
  </si>
  <si>
    <t>2200001099-THP đi trước hàng 1230
2000001154 - HÙNG NGUYÊN - GIAO ĐỦ</t>
  </si>
  <si>
    <t>2000001088 - vinas
2000001089 - nam phát
2200001086 - OTHY</t>
  </si>
  <si>
    <t>05h00 ngày 06/08
Bến 5</t>
  </si>
  <si>
    <t xml:space="preserve">2000001141 - Phúc Tiến 1000MT 
2000001113 - CTC 172A 830MT
2000001170 - CTC 172B - 200MT x
2000001175 - CTC 221 - 500MT x
2000000986 - KKBV 2600MT x
2000001172 - KKBV 100MT x
2000001090 - TẤN PHÁT 1000MT x
2000001177 - PVX 1000MT x
2000001178 - PVX 1000MT
2000001184 - PVX 2000MT 
2000001185 - PVX 2275MT </t>
  </si>
  <si>
    <t>14h15 ngày 07/08 
Bến 3</t>
  </si>
  <si>
    <t>2000001186 - VINAS - 3950
2000001160 -  VINAS - 1900
2000001180 - PVX - 1500MT
2000001181 - PVX - 1500MT</t>
  </si>
  <si>
    <t xml:space="preserve">10h30 ngày 08/08
Bến 6 </t>
  </si>
  <si>
    <t>2000001179 - Khôi Nguyên 200mt
2000001182 - Khôi Nguyên 1500mt
2000001183 - Khôi Nguyên 1500mt
2200001099 - THP 3700T
2200001094 - NMCN 550T
2200001100 - THP cân tải 5350
2000001199  - VINAS - 1 CỤC</t>
  </si>
  <si>
    <t>08h20 ngày 10/08
Bến 3</t>
  </si>
  <si>
    <t>2000001187 - Nam phát - 1000t 
2000001122 - NIPPON (325T) 
2000001050 - OT190 - 1000MT
2000001191- Nam phát - 200t
2000001200 - 200t - HÙNG NGUYÊN - chưa duyệt
2200001100 - THP cân tải 6380</t>
  </si>
  <si>
    <t>Việt Thuận 235-01</t>
  </si>
  <si>
    <t>03h15 ngày 12/08
Bến 3/5</t>
  </si>
  <si>
    <t>2000001168 - TCĐ 1978
2000001135 - TMN 4975
2000001150 - TVĐ 1886 (ko map thêm) - kế toán
2000001151 - OTVĐ 1421 (ko map thêm) - kế toán
2000001201 - PVX 1000MT (chiều 10/8 mới duyệt)
2000001207 - PVX 1000MT (11/8 duyệt lệnh)
2000001215 - PVX 1000MT (bỏ lại hàng 2.75x1500)
2200001100 - Tôn HP (cân tải) - còn lại 1K5 thôi chưa đủ tải đâu</t>
  </si>
  <si>
    <t>20*1214 có hàng nóng, đợi nhập kho, vẫn phải cho đi vì hàng gấp</t>
  </si>
  <si>
    <t>15h00 ngày 14/08
Bến 3</t>
  </si>
  <si>
    <t xml:space="preserve">2000001091 - Tấm Lá 2500MT bỏ 1 cuộn 2.0 và 1 cuộn 2.3 x1214
2000001137 - CSVC 234 mt 
2000001081 - SMCCK 4500MT (ko xuất vượt tổng lượng)
2000001058 - SMCPM 500MT
2000001096 - POSCO - 1000T </t>
  </si>
  <si>
    <t>Thay tàu Việt Thuận 168</t>
  </si>
  <si>
    <t>21h30 ngày 14/08 
Bến 05</t>
  </si>
  <si>
    <t>2000001129 - ĐÔNG Á - 2500T - chốt lượng này và ra hóa đơn  trong ngày 15/8
2000001188 - Kỳ đồng - 6000t
2000001130 - ĐÔNG Á - 600T
2000001149 - JFE - 1100T
2000001147 - JFE - 4200T
2000001112 - CTC 650MT
2000001174 - TSUHO 300MT - ra hóa đơn 17/8, ko vắt hóa đơn
2000001176 - Nguyễn Minh 500t
2000001082 - QUANG MƯỜI 1KT 42 coils
2000001194 - KVT - 1000T 
2000001195 - KVT - 2000T
2200001082 - OTBD 350T chỉ xuất cuộn to để cuộn nhỏ xuất cho tàu MT Hà Nội 39</t>
  </si>
  <si>
    <t>tập trung chốt con này giúp em</t>
  </si>
  <si>
    <t>13h00 ngày 15/08
Bến 4/6</t>
  </si>
  <si>
    <t>2200001101 - THP - 4900mt đi hết
2200001100 - THP - 375MT
2000001192 - KVT -  500T
2000001193 - KVT - 3000T
2000001203 - Nhật Quang 1000mt chiều duyệt
2000001211 - Hùng Nguyên 4000mt 
2200001102 - NMCN cân tải</t>
  </si>
  <si>
    <t>18h35 ngày 16/08
Bến 6</t>
  </si>
  <si>
    <t>2200001082 - OTBD
2200001096 - OTBD - cân tải</t>
  </si>
  <si>
    <t>Giao hết 1082 mới sang 1096</t>
  </si>
  <si>
    <t>10h00 ngày 17/08
Bến 5/10</t>
  </si>
  <si>
    <t>2000001212 - VINAS 4800MT
2000001210 - NAM PHÁT 4800MT - Note lúc nào duyệt luôn đi mn
2000001196 - KOIZUMI - 2900T - Note lúc nào duyệt luôn đi mn</t>
  </si>
  <si>
    <t>19h00 ngày 18/08
Bến 05</t>
  </si>
  <si>
    <t>2000001190 - TMP 1500T đi trước hàng 2.00 -
2000001206 - CTC 2100MT (19/08 duyệt lệnh) - tranh thủ duyệt mn
2000001221 - PVX 370MT 
2000001222 - PVX 2205 MT - Sáng mai Nk xong hàng ca 1B ngày 18/08
2000001223 - PVX 2150 MT 
2200001102 - NMCN 2400T
2200001103 - OTHY cân tải</t>
  </si>
  <si>
    <t>2 Lệnh 1222 &amp; 1223 mn check xem có cân đối ở các lệnh cũ sang để xuất trc ko nhé, e báo nhà máy sản xuất bù rồi ạ</t>
  </si>
  <si>
    <t>giá mới</t>
  </si>
  <si>
    <t>01h30 ngày 20/08
Bến 05/10</t>
  </si>
  <si>
    <r>
      <rPr>
        <sz val="14"/>
        <color rgb="FF000000"/>
        <rFont val="Times New Roman"/>
        <family val="1"/>
      </rPr>
      <t xml:space="preserve">2000001216 - Metal One (TLH) 1600MT - mn làm sơ đồ ưu tiên lệnh này đi trước 20*1092 giúp nhé.
2000001092 - TIẾN LÊN - 400t 
</t>
    </r>
    <r>
      <rPr>
        <sz val="14"/>
        <color rgb="FFFF0000"/>
        <rFont val="Times New Roman"/>
        <family val="1"/>
      </rPr>
      <t xml:space="preserve">2000001148 - Nam Kim - 3100t  (chỉ cắt theo lượng này, còn lại 86 cuộn cho MT Hà Nội 39)
</t>
    </r>
    <r>
      <rPr>
        <sz val="14"/>
        <color rgb="FF000000"/>
        <rFont val="Times New Roman"/>
        <family val="1"/>
      </rPr>
      <t>2200001096 - HPBD - hết mapping- 4100T
2200001105 - HPBD - hết mapping- 4100T
2200001106 - OTBD cân tải</t>
    </r>
  </si>
  <si>
    <t>2 Cảng</t>
  </si>
  <si>
    <r>
      <rPr>
        <sz val="14"/>
        <color rgb="FF000000"/>
        <rFont val="Times New Roman"/>
        <family val="1"/>
      </rPr>
      <t xml:space="preserve">2400000013 - GS 250MT 10 coils (Phú Mỹ)
2400000014 - GS 200MT 10 coils (Phú Mỹ)
2400000015 - GS 300MT 14 coils (Phú Mỹ)
2000001233 - SMC 500MT - 20 coils (Phú Mỹ)
2000001125 - Nội Thất 1168 mt - 51 coils (Phú Mỹ)
2000001148 - Nam Kim 1900mt - 86 coils (Tân Thuận) - </t>
    </r>
    <r>
      <rPr>
        <sz val="14"/>
        <color rgb="FF00B0F0"/>
        <rFont val="Times New Roman"/>
        <family val="1"/>
      </rPr>
      <t>Chú ý dán nhãn màu xanh dương</t>
    </r>
  </si>
  <si>
    <t>Tàu dỡ Tân Thuận trước, Phú Mỹ sau.
Nên cần xếp hàng PM =&gt; Tân Thuận
Không được dùng hàng của 3 đơn 24*13-14-15 be mạn</t>
  </si>
  <si>
    <t>VIMC FREEDOM</t>
  </si>
  <si>
    <t>19h45 ngày 26/08 
Bến 05</t>
  </si>
  <si>
    <r>
      <rPr>
        <sz val="14"/>
        <color rgb="FF000000"/>
        <rFont val="Times New Roman"/>
        <family val="1"/>
      </rPr>
      <t>2400000016 - Samsung CnT</t>
    </r>
    <r>
      <rPr>
        <sz val="14"/>
        <color rgb="FF00B0F0"/>
        <rFont val="Times New Roman"/>
        <family val="1"/>
      </rPr>
      <t xml:space="preserve"> - chú ý Dán nhãn màu xanh Dương
</t>
    </r>
    <r>
      <rPr>
        <sz val="14"/>
        <color rgb="FF000000"/>
        <rFont val="Times New Roman"/>
        <family val="1"/>
      </rPr>
      <t>2400000017 - Arcelomittal</t>
    </r>
  </si>
  <si>
    <r>
      <rPr>
        <sz val="14"/>
        <color rgb="FF000000"/>
        <rFont val="Times New Roman"/>
        <family val="1"/>
      </rPr>
      <t xml:space="preserve">24*16 - Hầm 3 + Hầm 1
24*17 - Hầm 4 + Hầm 2
</t>
    </r>
    <r>
      <rPr>
        <sz val="14"/>
        <color rgb="FFFF0000"/>
        <rFont val="Times New Roman"/>
        <family val="1"/>
      </rPr>
      <t>Không làm hàng trời mưa. Khách hàng claim ghê lắm, rất khó tính</t>
    </r>
  </si>
  <si>
    <t>20h50 ngày 26/08
Bến 06</t>
  </si>
  <si>
    <t>2000001190 - Minh Phú 1500mt
2200001103 - OTHY 2700T
2200001109 - OTHY 3840T
2200001108 - NMCN cân tải</t>
  </si>
  <si>
    <t>16h30 ngày 30/08
Bến 03/05</t>
  </si>
  <si>
    <t>2000001257 - Mỹ Việt 5000mt 
2000001262 - PVX 1920mt - xuất bth đc rồi ạ
2000001267 - KN 1230mt
2200001112 - THP đi hết  (xếp riêng)
2200001111 - THP cân tải</t>
  </si>
  <si>
    <t>1257 CẦN CÓ SỐ CHỐT TRƯỚC 14H NGÀY 31/08</t>
  </si>
  <si>
    <t>16h50 ngày 01/09
Bến 5</t>
  </si>
  <si>
    <t>PHÚ MỸ/LONG BÌNH</t>
  </si>
  <si>
    <t>2200001106 OTBD cân tải 
2000001239 - POSCO - PHÚ MỸ
2000001240 - POSCO - PHÚ MỸ
2000001189 - TẤM LÁ 2000MT - PHÚ MỸ</t>
  </si>
  <si>
    <t xml:space="preserve">TÀU ĐI 2 CẢNG, PHÂN BIỆT MÀU ĐỂ ĐỘI LASING LÀM RIÊNG TỪNG KHU. </t>
  </si>
  <si>
    <t>10h20 ngày 01/09 
Bến 05</t>
  </si>
  <si>
    <r>
      <rPr>
        <sz val="14"/>
        <color rgb="FF000000"/>
        <rFont val="Times New Roman"/>
        <family val="1"/>
      </rPr>
      <t xml:space="preserve">2000001268 - KN 2000mt 
2000001202 - KKBV 1200MT
2000001265 - KKBV 1400MT </t>
    </r>
    <r>
      <rPr>
        <sz val="14"/>
        <color rgb="FFFF0000"/>
        <rFont val="Times New Roman"/>
        <family val="1"/>
      </rPr>
      <t xml:space="preserve"> (đợi sản xuất - nhờ KCS map lại, có thể chuyển từ lệnh 20*1171 sang) - a Tân nhờ Lan Anh đóng lệnh nếu cần ạ
</t>
    </r>
    <r>
      <rPr>
        <sz val="14"/>
        <color rgb="FF000000"/>
        <rFont val="Times New Roman"/>
        <family val="1"/>
      </rPr>
      <t>2000001266 - KKBV 2000MT</t>
    </r>
    <r>
      <rPr>
        <sz val="14"/>
        <color rgb="FFFF0000"/>
        <rFont val="Times New Roman"/>
        <family val="1"/>
      </rPr>
      <t xml:space="preserve"> (đợi sản xuất - nhờ KCS map lại, có thể chuyển từ lệnh 20*1171 sang) - a Tân nhờ Lan Anh đóng lệnh nếu cần ạ
</t>
    </r>
    <r>
      <rPr>
        <sz val="14"/>
        <color rgb="FF000000"/>
        <rFont val="Times New Roman"/>
        <family val="1"/>
      </rPr>
      <t xml:space="preserve">2000001173 - Tấn Phát </t>
    </r>
    <r>
      <rPr>
        <sz val="14"/>
        <color rgb="FFFF0000"/>
        <rFont val="Times New Roman"/>
        <family val="1"/>
      </rPr>
      <t xml:space="preserve">(chỉ xuất 835mt)
</t>
    </r>
    <r>
      <rPr>
        <sz val="14"/>
        <color rgb="FF000000"/>
        <rFont val="Times New Roman"/>
        <family val="1"/>
      </rPr>
      <t xml:space="preserve">2000001249 - Tấn Phát 1500mt (tháng 9.2022)
2200001108 - NMCN 4890T
2200001110 - THP 2500T
</t>
    </r>
    <r>
      <rPr>
        <sz val="14"/>
        <color rgb="FFFF0000"/>
        <rFont val="Times New Roman"/>
        <family val="1"/>
      </rPr>
      <t xml:space="preserve">2200001111 - THP cân tải </t>
    </r>
  </si>
  <si>
    <r>
      <rPr>
        <sz val="14"/>
        <color rgb="FF000000"/>
        <rFont val="Times New Roman"/>
        <family val="1"/>
      </rPr>
      <t xml:space="preserve">HUY CHO ƯU TIÊN ĐƠN CỦA KKBV NHÉ
CÓ HÀNG ĐỢI SẢN XUẤT - </t>
    </r>
    <r>
      <rPr>
        <sz val="14"/>
        <color rgb="FFFF0000"/>
        <rFont val="Times New Roman"/>
        <family val="1"/>
      </rPr>
      <t>SẾP ĐƯỢC KÊU 02 LỆNH 20*1265 VÀ 20*1266 SÁNG MÙNG 04 MỚI NHẬP KHO THÊM 1K8 LÀ ĐỦ - ANH EM CẢNG CÂN ĐỐI NGÀY ĐƯA TÀU VÔ LÀM</t>
    </r>
  </si>
  <si>
    <t>KỲ ĐỒNG - 2250
NAM KIM - 2000
NGUYỄN MINH - 3000T
QUANG MƯỜI - 1000T
VISA - 3000T</t>
  </si>
  <si>
    <t>PAS 500mt (ép LC nhé Lan Anh)
2000001173 - Tấn Phát CUỐI THÁNG MỚI LẤY HÀNG chỉ giao 830mt 
TOÀN HƯNG - 1000MT</t>
  </si>
  <si>
    <t>Việt Nhật MOV 1000MT (ko giao vượt tổng) ngày 19 mới duyệt lệnh</t>
  </si>
  <si>
    <t>CẬP NHẬT TÌNH HÌNH XUẤT HÀNG HRC THÁNG 04/2023</t>
  </si>
  <si>
    <t>TẤT CẢ CÁC ĐƠN HÀNG THÁNG 4 GIAO ĐỦ LƯỢNG, MAPPING TỐI ĐA VÀ GIAO HẾT MAPPING</t>
  </si>
  <si>
    <t>22h00 01.04.23
Bến 1</t>
  </si>
  <si>
    <r>
      <rPr>
        <sz val="14"/>
        <color rgb="FF000000"/>
        <rFont val="Times New Roman"/>
        <family val="1"/>
      </rPr>
      <t xml:space="preserve">2000001689 - TLPM - 2000MT - Phú Mỹ  trưa 1/4 duyệt
</t>
    </r>
    <r>
      <rPr>
        <sz val="14"/>
        <color rgb="FFFF0000"/>
        <rFont val="Times New Roman"/>
        <family val="1"/>
      </rPr>
      <t>2000001705 - Tôn Đông Á - 1100T - Tân thuận (Hàng hóa ok) - 3/4 mới duyệt
2000001697 - Nam Kim  - 497T tân thuận  (Hàng hóa ok) - xuất hết lượng còn lại đã mapping
2200001284 - OTBD - cân tải - Tân Thuận</t>
    </r>
  </si>
  <si>
    <t>PHƯƠNG BÁCH 12</t>
  </si>
  <si>
    <t>6h20 ngày 02/04
Bến 2</t>
  </si>
  <si>
    <t>2000001615 - CTCHP 1600MT  (Hàng hóa ok)
2200001269 - THP cân tải
2200001282 - OTHY 30T xuất 2 cuộn còn lại trừ SS400</t>
  </si>
  <si>
    <t>6:00 AM -  03.04.2023</t>
  </si>
  <si>
    <t>Thiên lộc thành/Cẩm Nguyên</t>
  </si>
  <si>
    <r>
      <rPr>
        <sz val="14"/>
        <color rgb="FF000000"/>
        <rFont val="Times New Roman"/>
        <family val="1"/>
      </rPr>
      <t>2000001698 - TÂY NAM - THIÊN LỘC THÀNH - 2000T (Hàng hóa ok)
2000001703 - VISA 2000MT (Hàng hóa ok)</t>
    </r>
    <r>
      <rPr>
        <sz val="14"/>
        <color rgb="FFFF0000"/>
        <rFont val="Times New Roman"/>
        <family val="1"/>
      </rPr>
      <t xml:space="preserve"> - Cẩm Nguyên</t>
    </r>
  </si>
  <si>
    <t>HOÀNG MINH 68</t>
  </si>
  <si>
    <t>05H00 04/4/2023</t>
  </si>
  <si>
    <t xml:space="preserve">2200001285 - OTBD </t>
  </si>
  <si>
    <t>HOÀNG PHÚC 19</t>
  </si>
  <si>
    <t>04H00 ngày 04/04
Bến 2</t>
  </si>
  <si>
    <r>
      <rPr>
        <sz val="14"/>
        <color rgb="FF000000"/>
        <rFont val="Times New Roman"/>
        <family val="1"/>
      </rPr>
      <t xml:space="preserve">2000001706 - ĐÔNG Á - 1400T (Hàng hóa ok)
2000001692 - QUANG MƯỜI - 1200T (Hàng hóa ok) - 5/4 MỚI DUYỆT
</t>
    </r>
    <r>
      <rPr>
        <sz val="14"/>
        <color rgb="FFFF0000"/>
        <rFont val="Times New Roman"/>
        <family val="1"/>
      </rPr>
      <t>2200001284 - OTBD - TÂN THUẬN - (Hàng hóa ok)
2200001285 - OTBD cân tải (Hàng hóa ok)</t>
    </r>
  </si>
  <si>
    <t>Star 15</t>
  </si>
  <si>
    <r>
      <rPr>
        <sz val="14"/>
        <color rgb="FF000000"/>
        <rFont val="Times New Roman"/>
        <family val="1"/>
      </rPr>
      <t xml:space="preserve">05H50 ngày 05/04
Bến 05
</t>
    </r>
    <r>
      <rPr>
        <b/>
        <sz val="14"/>
        <color rgb="FFFF0000"/>
        <rFont val="Times New Roman"/>
        <family val="1"/>
      </rPr>
      <t>TÀU NÀY LÀM XONG CHO RA NEO ĐỢI, KHÔNG CÁP CHỨNG TỪ CHO ĐI, CHỜ THÔNG BÁO TỪ PKD</t>
    </r>
  </si>
  <si>
    <t>2000001688 - MOV - 2300T - đi đủ dung sai, nếu thiếu thì chờ hàng NK - đang duyệt lệnh rồi
2200001285 - OTBD khoảng 1200T  (Hàng hóa ok)
2200001278,1279,1280 OTHY 2000T (Chỉ xuất hàng sx T3, hàng đẹp, xuất riêng từng lệnh không để chung)
2200001291 - OTBD 1950T cân tải 5/4 có lệnh hàng nguội</t>
  </si>
  <si>
    <t>VIỆT THUẬN HN-01</t>
  </si>
  <si>
    <t xml:space="preserve">
14H20 ngày 05/04
Bến 1</t>
  </si>
  <si>
    <r>
      <rPr>
        <sz val="14"/>
        <color rgb="FF000000"/>
        <rFont val="Times New Roman"/>
        <family val="1"/>
      </rPr>
      <t xml:space="preserve">2200001269 - THP 1200T hàng gửi kho
2200001277 - OTHY 210T (Hàng hóa ok)
</t>
    </r>
    <r>
      <rPr>
        <sz val="14"/>
        <color rgb="FFFF0000"/>
        <rFont val="Times New Roman"/>
        <family val="1"/>
      </rPr>
      <t xml:space="preserve">2200001289 - THP 4300T (Hàng hóa ok)
hàng gửi kho 115T liên hệ a Danh
</t>
    </r>
    <r>
      <rPr>
        <sz val="14"/>
        <color rgb="FF000000"/>
        <rFont val="Times New Roman"/>
        <family val="1"/>
      </rPr>
      <t>2200001287 - OTHY 472T (Hàng hóa ok)</t>
    </r>
  </si>
  <si>
    <t>MV Trump SW</t>
  </si>
  <si>
    <t>22H00 ngày 05/04
Bến 5</t>
  </si>
  <si>
    <t>2400000061 - AMNS LOT  2
2400000060 - AMNS LOT 1</t>
  </si>
  <si>
    <t>VIỆT THUẬN 12-02</t>
  </si>
  <si>
    <r>
      <rPr>
        <sz val="14"/>
        <color rgb="FF000000"/>
        <rFont val="Times New Roman"/>
        <family val="1"/>
      </rPr>
      <t xml:space="preserve">ĐANG NEO
</t>
    </r>
    <r>
      <rPr>
        <b/>
        <sz val="14"/>
        <color rgb="FFFF0000"/>
        <rFont val="Times New Roman"/>
        <family val="1"/>
      </rPr>
      <t>CHO TÀU NÀY VÀO LẤY HẾT 10KT ĐÃ CÓ XONG CHỐT LƯỢNG CHO ĐI, TÀU ĐỒNG Ý THIẾU TẢI</t>
    </r>
  </si>
  <si>
    <t>2200001289 - THP xuất hết khoảng 240T (Hàng hóa ok)
2200001269 - THP 4.700T
2200001290 - THP 1600T (Hàng hóa ok nguội)
2200001294 - OTHY 1100T (Hàng hóa ok nguội)
2200001295 - THP 2600T (Hàng hóa ok nguội)
2000001645 - OT190 140MT (Chỉ xuất hàng 3.15 &amp; 3.45)</t>
  </si>
  <si>
    <t>CHICAGO HARMONY</t>
  </si>
  <si>
    <t>22h00 07.04.2023</t>
  </si>
  <si>
    <t>Macs Shipping</t>
  </si>
  <si>
    <t>Marcegaglia's Port</t>
  </si>
  <si>
    <t>2400000058 - Marce XK 35KT T3
Ngày 9/4 NK 9kt, ngày 10/4 NK nốt 3kt =&gt; ngày 11/4 xong hàng là hợp lý</t>
  </si>
  <si>
    <t>SPAR LYNX</t>
  </si>
  <si>
    <t>12H20 ngày 12/04
Bến 10</t>
  </si>
  <si>
    <t>Xong hàng, chưa đk tàu</t>
  </si>
  <si>
    <t>HUELVA</t>
  </si>
  <si>
    <t>2400000062 - GALVACOLOR (Hàng hóa ok)</t>
  </si>
  <si>
    <t>Có SGS giám định lô hàng 
(HPDQ chịu chi phí)</t>
  </si>
  <si>
    <t xml:space="preserve">10H00 ngày 12/04
Bến 2
</t>
  </si>
  <si>
    <t>GẤP - 14/4</t>
  </si>
  <si>
    <t xml:space="preserve">2000001712-  ĐÔNG Á  đã MAP đủ - lấy hàng 1214 cân tải		
2000001721- JFE (500t thiếu 300t ngày nay sx sáng 14 NK)- đợi NK đi hết lượng theo lệnh		
</t>
  </si>
  <si>
    <t xml:space="preserve">22H00 ngày 12/04
Bến 5
</t>
  </si>
  <si>
    <t>Xong hàng</t>
  </si>
  <si>
    <r>
      <rPr>
        <b/>
        <sz val="14"/>
        <color rgb="FFFF0000"/>
        <rFont val="Times New Roman"/>
        <family val="1"/>
      </rPr>
      <t xml:space="preserve">2200001278,1279,1280 OTHY 8000T (chỉ xuất hàng đẹp, mới, xuất riêng từng lệnh không để chung) - Tân Thuận (Chiều 12 N) - đi hết tuyệt đối không được để lại
</t>
    </r>
    <r>
      <rPr>
        <sz val="14"/>
        <color rgb="FF000000"/>
        <rFont val="Times New Roman"/>
        <family val="1"/>
      </rPr>
      <t>2000001715 - TDA  - 1000t - TÂN THUẬN (Chờ MAP)
2000001727 - TDA - 1500t - PHÚ MỸ  (Chờ MAP)
2000001722 - TDA - 250T - PHŨ MỸ (Hàng hóa ok)
2000001712 - TDA - LƯỢNG CÒN LẠI SAU KHI LÊN HẾT TÀU THANH LOAN (PHÚ MỸ
2000001723 - Phúc Viên Xuân 1150mt - Phú Mỹ    (Hàng hóa ok)
2000001713 - Khôi Nguyên 4000mt - Phú Mỹ    (Hàng hóa ok)</t>
    </r>
  </si>
  <si>
    <t>VICTORIA HARBOUR</t>
  </si>
  <si>
    <t>15.04.2023</t>
  </si>
  <si>
    <t>PortKlang</t>
  </si>
  <si>
    <t>2400000056 - NI (PCM)     (Hàng hóa ok)
2400000057 - NI (JASMA) (Hàng hóa ok)</t>
  </si>
  <si>
    <t>NEO</t>
  </si>
  <si>
    <t>2000001731 - Marubeni (Thuận Phát) - 2.000mts - 14/4 có hàng (Hàng hóa ok), xong lệnh
2000001724 -  Minh Phú - 500mts - 14/4 có hàng (Hàng hóa ok)
2200001296 - THP - CÂN TẢI  (Hang hóa ok chờ Map)</t>
  </si>
  <si>
    <t>08h00 13.04.2023
Bến 3</t>
  </si>
  <si>
    <t>2000001708 - Hoa Sen 1000mt (34.2023 - 3.20x1260)  (hàng đã sx xong Chờ MAP )
2000001729 - Hoa Sen - 2000mt (149A) (Hàng hóa ok)
2000001725 - Hoa Sen - 3000MT (149A)  (hàng đã sx xong Chờ MAP ) - ngày 15/5 duyệt</t>
  </si>
  <si>
    <t>12h45 ngày 15/04
Bến 1</t>
  </si>
  <si>
    <t>POSCO/ PHÚ MỸ</t>
  </si>
  <si>
    <t>2000001728  - TDA - 3kt  - POSCO - 14/4 duyệt (Chiều 14 NK 1k9 + 700t sáng 15NK + 400T sáng 16 NK)
2000001723 - Phúc Viên Xuân 1150mt - Phú Mỹ (Hàng hóa ok)</t>
  </si>
  <si>
    <t>10h00 16/4/2023
Bến 2</t>
  </si>
  <si>
    <t>2000001716 - TVP - 5.000mts - 16/4 có hàng, lệnh đã duyệt (Chiếu 16 NK đủ lượng)
(back date BL)</t>
  </si>
  <si>
    <t>16/4/2023
13/2 về dỡ phế xong lấy hàng HRC</t>
  </si>
  <si>
    <t>2200001269 - THP - 1900T cân tải (Hàng hóa ok)
2000001718 - Việt Nhật - 1.000mts - 14/4 có hàng (Hàng hóa ok), xomg lệnh</t>
  </si>
  <si>
    <t>Kiran Caspian</t>
  </si>
  <si>
    <t>17h00 16.04.2023</t>
  </si>
  <si>
    <t>2400000065 - Empiric - 8000mt (Đã NK đủ đơn chờ MAPPING)
Có SGS giám định</t>
  </si>
  <si>
    <t>Chiều ngày 18/4 cho vào là hợp lý</t>
  </si>
  <si>
    <r>
      <rPr>
        <sz val="14"/>
        <color rgb="FF000000"/>
        <rFont val="Times New Roman"/>
        <family val="1"/>
      </rPr>
      <t xml:space="preserve">23h00 ngày 18/4
</t>
    </r>
    <r>
      <rPr>
        <sz val="14"/>
        <color rgb="FFFF0000"/>
        <rFont val="Times New Roman"/>
        <family val="1"/>
      </rPr>
      <t>TÀU NÀY CHẤP NHẬN ĐI THIẾU TẢI</t>
    </r>
  </si>
  <si>
    <t>Tuấn Cường
(Đại lý mới)</t>
  </si>
  <si>
    <t>2200001305 - OTHY 1075T Cân đối để ưu tiên tàu Phương Nam 46 đủ tải    (Hàng hóa ok)
2200001299 - THP 4670T  (Hàng hóa ok)
2200001269 - THP 40T  (Hàng hóa ok)
2200001296 - THP 2000T  (Hàng hóa ok)
2200001298 - THP 290T  (Hàng hóa ok)</t>
  </si>
  <si>
    <t>12h00 21/04/2023</t>
  </si>
  <si>
    <t>2000001648 - KKBV - 1.225mts (Chỉ xuất hàng 1290 SAE1006)   (Hàng hóa ok)
2200001301 - OTHY 1700T (Hàng hóa ok)
2200001305 - OTHY 800T (Hàng hóa ok) cân tải</t>
  </si>
  <si>
    <t>CL ZHUANG HE</t>
  </si>
  <si>
    <t>00h 21.04.2023
Cam kết loading rate 6,000mt/ngày</t>
  </si>
  <si>
    <t>2400000066 - Marcegaglia - LOT 1 T4 (Đáng sản xuất)
(Khổ 15xx: 20.800 tấn đêm 18 xong--&gt;Sáng 20 NK) Khoảng 10kt hàng nguội
(Khổ 126x: 14.200 tấn đêm 19 xong--&gt;Sáng 21 NK) Khoảng 2kt hàng nguội</t>
  </si>
  <si>
    <t>cam kết loading rate: 6,000mt/ngày</t>
  </si>
  <si>
    <t>YANGTZE IMPRESSION</t>
  </si>
  <si>
    <t>23h 21.04.2023</t>
  </si>
  <si>
    <t>2400000063 - 2000mt - BLUE (Hàng hóa ok)
2400000068 - 1000mt - YELLOW (Hàng hóa ok)
2400000069 - 1000mt - RED (Đêm 20 xong--&gt;Chiều 22 NK)
2400000064 - 2000mt - BLUE + YELLOW (Hàng hóa ok)
2400000070 - 2000mt - BLUE + RED (Hàng hóa ok)
2400000071 - 350mt - RED + YELLOW(Hàng hóa ok)</t>
  </si>
  <si>
    <t>ULTRA ALPHA - đổi tàu
Có dán color marking</t>
  </si>
  <si>
    <t xml:space="preserve">4h00 21/4/2023
</t>
  </si>
  <si>
    <t>Phú Mỹ/ Tân Thuận</t>
  </si>
  <si>
    <t>SMCCK 2000001700 - 2.400 mts  (Hàng hóa ok) - PHÚ MỸ
SMCPM - 2000001701 - 1.000mts -  (Hàng hóa ok) - PHÚ MỸ 
2000001738 - vinas  - RA HÓA ĐƠN TOÀN BỘ NGÀY MAI 25/4
2000001732 - TOYOTA TSHUSHO - 200 TẤN - ĐI HẾT HÀNG - TÂN THUẬN    (Hàng hóa ok)
2200001302 - OTBD 360T Tân Thuận (hàng hóa ok)
2200001304 - OTBD 990T Tân Thuận (hàng hóa ok) - CÂN TẢI</t>
  </si>
  <si>
    <t xml:space="preserve">HÀ DƯƠNG 58 </t>
  </si>
  <si>
    <t>20h00 26/4</t>
  </si>
  <si>
    <t>2200001314 - NMCN</t>
  </si>
  <si>
    <t xml:space="preserve">18H00 24/4
XUẤT HÀNG TRONG NGHỈ LỄ </t>
  </si>
  <si>
    <t>Ngày 30/04 Bến 5</t>
  </si>
  <si>
    <t>2200001307,1308 - Huy 5500T Tân Thuận (920 ĐÃ map + 3k5 chiều 30 NK + 600T SX NGÀY 29, M1 nk)
2000001730 - SMCCK - 500mts SS400 - PHÚ MỸ (Hàng hóa ok) - lệnh ok
2000001747 - JFE - PHÚ MỸ - 1000T(Hàng hóa ok)
2000001736 - TĐA - PHÚ MỸ - 1000T (1 sx dự kiến sáng mùng 3 NK)
2000001743 - nam kim lot 1 - 3.500mts (Hàng hóa ok)
2000001741 - posco t4 - 3000T (Hàng hóa ok)
2000001742 - posco t5 - 1000T  (Hàng hóa ok)
2000001737 - ĐÔNG Á -1000T - TÂN THUẬN (Đã sx sáng 2 NK)
2200001311 - OTBD xuất trước 3.80x1262+3.95x1163 110T Tân Thuận cân tải (Hàng hóa ok)</t>
  </si>
  <si>
    <t>LỆNH JFE, ĐÔNG Á, POSCO TOÀN BỘ XUẤT HÓA ĐƠN THÁNG 5</t>
  </si>
  <si>
    <t>NEO
XUẤT HÀNG TRONG NGHỈ LỄ</t>
  </si>
  <si>
    <r>
      <rPr>
        <sz val="14"/>
        <color rgb="FF000000"/>
        <rFont val="Times New Roman"/>
        <family val="1"/>
      </rPr>
      <t xml:space="preserve">2200001309 - THP - 2.300mts (Đã có hàng chờ KCS MAP)
2000001647 và 2000001648 - KKBV - 6.500mts (lệnh ok)
2000001645 - OT190 - 1.300mts (lệnh ok)
2000001753 - Nhật Quang 300MT (Dự kiến 28 sản xuất 30NK)
2000001740 - nippon - 250T (Đã có hàng chờ KCS MAP)
2000001745- hùng nguyên (Hàng hóa ok)
2200001312 - OTHY 1100T (Hàng hóa ok)
</t>
    </r>
    <r>
      <rPr>
        <sz val="14"/>
        <color rgb="FFFF0000"/>
        <rFont val="Times New Roman"/>
        <family val="1"/>
      </rPr>
      <t>2200001314 - NMCN cân tải (Hàng hóa ok)</t>
    </r>
  </si>
  <si>
    <t>29/4
XUẤT HÀNG TRONG NGHỈ LỄ</t>
  </si>
  <si>
    <t>2000001749 - TVP - 2.000mts - Cẩm Nguyên (đang sản xuất chiều 29 NK) - lệnh ok
2000001756 - VINAONE - 1KT - THIÊN LỘC THÀNH (đã sản xuất chiều 29 NK)</t>
  </si>
  <si>
    <t>HÀNG CỦA TVP CÓ HÀNG SẢN XUẤT RA LÀ PHẢI QUÉT RA HÓA ĐƠN HẾT TRONG THÁNG 4.</t>
  </si>
  <si>
    <t>CẬP NHẬT TÌNH HÌNH XUẤT HÀNG HRC THÁNG 05/2023</t>
  </si>
  <si>
    <t>TẤT CẢ CÁC ĐƠN HÀNG THÁNG 5 GIAO ĐỦ LƯỢNG, MAPPING TỐI ĐA VÀ GIAO HẾT MAPPING</t>
  </si>
  <si>
    <t xml:space="preserve">01/05
</t>
  </si>
  <si>
    <t>16h45 - 01/05 - B5</t>
  </si>
  <si>
    <t>15h30 - 03/05 Xong tàu</t>
  </si>
  <si>
    <t>2000001746- JFE -1500T (Hàng hóa ok)
2000001735 - TĐA -  3000T  (Hàng hóa ok)</t>
  </si>
  <si>
    <t>XUẤT HÓA ĐƠN THÁNG 5 - ĐỦ DUNG SAI CÁC MÁC</t>
  </si>
  <si>
    <t>1/5/2023</t>
  </si>
  <si>
    <t>10h10 - 02/05 - B2</t>
  </si>
  <si>
    <t>04h15 - 04/05 Xong tàu</t>
  </si>
  <si>
    <t>2400000074 - leon - xk (Hàng hóa ok) - Phú Mỹ
2400000073 - Chye - xk (Hàng hóa ok) - Phú Mỹ
2000001733 - The One 650T - 26/4 có hàng - Phú Mỹ  (Hàng hóa ok)
2200001311 - OTBD cân tải - Tân Thuận</t>
  </si>
  <si>
    <t>CÓ DÁN NHÃN PHỤ</t>
  </si>
  <si>
    <t>01/05</t>
  </si>
  <si>
    <t>06h - 01/05 - B1</t>
  </si>
  <si>
    <t>21h - 03/05 Xong tàu</t>
  </si>
  <si>
    <t>2000001711 - Hoa Sen - 4.000mts Xuất hết hàng trừ hàng 2.00x1212  ( nếu trừ 1212 thì lượng 3k5 thôi hàng sản xuất ngày 30)</t>
  </si>
  <si>
    <t>BAO LUCKY</t>
  </si>
  <si>
    <t>05-06.05.2023</t>
  </si>
  <si>
    <t>RICKY HOYER</t>
  </si>
  <si>
    <t>12h - 04/05 - B5</t>
  </si>
  <si>
    <t>21h55 - 08/05 Xong tàu</t>
  </si>
  <si>
    <t>2400000072 - Marcegaglia - 35kt</t>
  </si>
  <si>
    <t>7/5</t>
  </si>
  <si>
    <t>8h50 - 08/05  - B1</t>
  </si>
  <si>
    <t>07h30 - 09/05 Xong tàu</t>
  </si>
  <si>
    <t>2000001708 - Hoa Sen - 3.000mts  (Hàng hóa ok)</t>
  </si>
  <si>
    <t>HOÀNG MINH 68
Quay đầu từ Quy Nhơn về</t>
  </si>
  <si>
    <t>19h00 5/5/2023</t>
  </si>
  <si>
    <t>18h55 - 05/05 - B1</t>
  </si>
  <si>
    <t>07h - 08/05 Xong tàu</t>
  </si>
  <si>
    <t>2000001739 - Mỹ Việt (Hàng hóa ok) - 3.000mts, lệnh ok
2200001316 - OTHY - 1000T</t>
  </si>
  <si>
    <t>06/05</t>
  </si>
  <si>
    <t>19h-08/5-B2 Đang làm hàng</t>
  </si>
  <si>
    <t>2000001757 - Hoa Sen - 3.700mts - 9/5 sx xong Hàng sx xong chờ MAP</t>
  </si>
  <si>
    <t>HẢI ÂU 28</t>
  </si>
  <si>
    <t>09/05/2023</t>
  </si>
  <si>
    <t>23h00 - 09/05
Bến 1</t>
  </si>
  <si>
    <t>2000001757 - Hoa Sen - 3.800mts - Được cân đối giúp lượng để tàu Hoàng Phúc 19 đủ 3000mts hàng nhé</t>
  </si>
  <si>
    <t>20h00 - 9/5/2023</t>
  </si>
  <si>
    <t>23h45 - 09/5 B2</t>
  </si>
  <si>
    <t>2000001709 - Hoa Sen (149B) - 1000mt (Hàng hóa ok)
2000001711 - Hoa Sen - 2.000mts - 3/5 có hàng - (Hàng hóa ok)</t>
  </si>
  <si>
    <t>17h00 - 09/05 B3</t>
  </si>
  <si>
    <t>Tân Thuận/Long Bình</t>
  </si>
  <si>
    <t>2000001744 - 3.500mts NAM KIM (LOT 2) - Tân Thuận
2200001291 - OTBD 219T
2200001304 - OTBD 115T
2200001311 - OTBD 1150T
2200001320 - OTBD cân tải ưu tiên hàng 3.75-4.00</t>
  </si>
  <si>
    <t>21h-09/05/2023</t>
  </si>
  <si>
    <t>21h15 - 09/05 B5</t>
  </si>
  <si>
    <t>2200001296 - THP Hàng hóa ok
2200001298 - THP   Hàng hóa ok
2200001309 - THP
2200001239+1267 - OTHY (hàng gửi kho) 170T
2200001319 - THP cân tải dùng thay thế cho hàng nóng
(Hàng của Tôn ưu tiên bốc từ dày tới mỏng)</t>
  </si>
  <si>
    <t>(TỔNG 3 LỆNH 96/98/09 ĐÃ MAP 9K4 + 4KT SÁNG 11 NK)</t>
  </si>
  <si>
    <t>TRAWIND FORTUNE</t>
  </si>
  <si>
    <t>UNE</t>
  </si>
  <si>
    <t>21h00 - 10/05
Bến 5</t>
  </si>
  <si>
    <r>
      <rPr>
        <b/>
        <sz val="14"/>
        <color rgb="FFFF0000"/>
        <rFont val="Times New Roman"/>
        <family val="1"/>
      </rPr>
      <t xml:space="preserve">TẤT CẢ CÁC LỆNH 11/05 MỚI DUYỆT ĐƯỢC
</t>
    </r>
    <r>
      <rPr>
        <sz val="14"/>
        <color rgb="FF000000"/>
        <rFont val="Times New Roman"/>
        <family val="1"/>
      </rPr>
      <t>2400000067 - JFE 3000mt (Hàng hóa ok) - SURABAYA
2400000077 - SI - JAKARTA, INDONESIA - sáng mai duyệt
2400000076 - SI - JAKARTA, INDONESIA - sáng mai duyệt
2400000082 - SI - JAKARTA, INDONESIA - sáng mai duyệt
2400000078 - SI - SURABAYA, INDONESIA - sáng mai duyệt
2400000081 - SI - SURABAYA, INDONESIA - sáng mai duyệt
2400000080 - SI - SURABAYA, INDONESIA - sáng mai duyệt</t>
    </r>
  </si>
  <si>
    <t>20h00-13/05/2023
Quay đầu từ Quy Nhơn về</t>
  </si>
  <si>
    <t>14/05 - Bến 2</t>
  </si>
  <si>
    <t>2000001757 - Hoa Sen - 3000T (Hàng hóa ok)</t>
  </si>
  <si>
    <t>Đổi đại lý từ Tuấn Cường sang Mặt Trời</t>
  </si>
  <si>
    <t>06:45 ngày 13/05
Bến 5</t>
  </si>
  <si>
    <r>
      <rPr>
        <sz val="14"/>
        <color rgb="FF000000"/>
        <rFont val="Times New Roman"/>
        <family val="1"/>
      </rPr>
      <t xml:space="preserve">2200001319 - THP xuất hết
2200001309 - THP xuất hết
2200001296 - THP xuất hết
2200001321 - OTHY cân tải  (Hàng hóa ok)
</t>
    </r>
    <r>
      <rPr>
        <sz val="14"/>
        <color rgb="FFFF0000"/>
        <rFont val="Times New Roman"/>
        <family val="1"/>
      </rPr>
      <t>Hàng của Tôn làm cuối để dỡ hàng trước</t>
    </r>
  </si>
  <si>
    <t>BAOSHAN HOPE</t>
  </si>
  <si>
    <t>13.05.23</t>
  </si>
  <si>
    <t>7h00 - 14/05
Bến 6</t>
  </si>
  <si>
    <t>Laem Cha Bang</t>
  </si>
  <si>
    <t>2400000075 - Samsung - 5kt  (Hàng hóa ok)</t>
  </si>
  <si>
    <t>Lan Anh Phụ trách
Có nhãn phụ không em?</t>
  </si>
  <si>
    <t>12-13/05/2023</t>
  </si>
  <si>
    <t>20h00 16/05 Bến 3</t>
  </si>
  <si>
    <t>2000001755 - Tiến Lên - 460 mts - Tân Thuận/ chiều 10/05 duyệt lệnh   (Hàng hóa ok)
2000001754 - Tấm Lá PM - 1850MT - Phú Mỹ - 17/5 có hàng (500t chiều 17NK) - xuất trên 1k8 (đủ dung sai)
2000001681 - Quang Mười - 700mts  - Tân Thuận  (Hàng hóa ok) - đi đủ dung sai, cân đối đi hết được là tốt nhất</t>
  </si>
  <si>
    <t>16/05
Quay đầu từ Nghi Sơn về</t>
  </si>
  <si>
    <t>09h00 17/05 Bến 2</t>
  </si>
  <si>
    <t>2200001309 - THP - cân tải  (Hàng hóa ok)
2200001326  - THP - xuất hết mapping  (Hàng hóa ok)</t>
  </si>
  <si>
    <t>Universe Wealthy</t>
  </si>
  <si>
    <t>15.05.23 PM</t>
  </si>
  <si>
    <t>2400000079 - AMI - 12KT (Hàng hóa ok) - Hải Anh - có nhãn phụ ko?</t>
  </si>
  <si>
    <t>TÁCH  BIÊN BẢN GIAO NHẬN RIÊNG CHO  SIZE
3.00x1225 
4.00x1225 
CÓ DÁN NHÁN PHỤ</t>
  </si>
  <si>
    <t>2200001296 - THP 328t hàng hóa ok
2200001309 - THP
2200001324 - THP
2200001321 - OTHY cân tải (Hàng hóa ok)</t>
  </si>
  <si>
    <t>Xuất âm 150T, xuất 3.800 tấn thôi</t>
  </si>
  <si>
    <t>19h00 18/05</t>
  </si>
  <si>
    <t>2000001761 - Vinas - 100mts - (Chiều 19 NK)
2000001760 - TVD - 1.500mts - (Chiều 19 NK)
2200001327 - THP 1500T
2200001321 - OTHY cân tải   (Hàng hóa ok)</t>
  </si>
  <si>
    <t>VAN JAGUAR</t>
  </si>
  <si>
    <t>18.05.2023</t>
  </si>
  <si>
    <t>Altamira</t>
  </si>
  <si>
    <t>2400000086  - Salgiztter - 620mt - CFR (HĐ 33.2023 - Hòa Phát Shipping)   (Đ)
2400000084 - HYOSUNG 7kt FOB có SGS giám định trong quá trình làm hàng (Đã sx xong chờ KCS Map)
2400000085 - HYOSUNG 2kt FOB     (Đã sx xong chờ KCS Map)</t>
  </si>
  <si>
    <t>(CÂN ĐỐI CON NÀY 19 VÀO THÌ CÓ VẤN ĐỀ GÌ KHÔNG)
Lan Anh &amp; Bích phụ trách, ko có nhãn phụ</t>
  </si>
  <si>
    <t>2000001645 - OT190 - 237mts - 20/5 nhập kho
2000001648 - KKBV - 1.400mts - 20/5 nhập kho
2200001316 - OTHY (900t SS400 hàng hóa ok)
2000001765 - khôi nguyên - 300mts - (Chiều 19 NK) - khách không kịp rồi, mai duyệt nhé
2200001321 OTHY - cân tải - Hàng ok</t>
  </si>
  <si>
    <t>KUAI BANG HAI 18</t>
  </si>
  <si>
    <t>20:30 ngày 23/05 
Bến 5/10</t>
  </si>
  <si>
    <t>22.05.23</t>
  </si>
  <si>
    <r>
      <rPr>
        <sz val="14"/>
        <color rgb="FF000000"/>
        <rFont val="Times New Roman"/>
        <family val="1"/>
      </rPr>
      <t xml:space="preserve">2400000083  - Marcegaglia - 35kt May </t>
    </r>
    <r>
      <rPr>
        <sz val="14"/>
        <color rgb="FFFF0000"/>
        <rFont val="Times New Roman"/>
        <family val="1"/>
      </rPr>
      <t>(Đã sản xuất xong 33Kt thiếu 2kt dự kiến 21 NK)</t>
    </r>
  </si>
  <si>
    <t>Bích &amp; Lan Anh phụ trách.
Không có nhãn phụ</t>
  </si>
  <si>
    <t>Đang dỡ quặng ở Cảng</t>
  </si>
  <si>
    <t>2200001330 - OTHY đi hết
2200001316 - OTHY
2200001321 - OTHY cân tải</t>
  </si>
  <si>
    <t>21/05</t>
  </si>
  <si>
    <t>2000001757 - Hoa Sen - 4.000mts (Đã có 3k8 hàng nguội + 200t chiều 26 NK)</t>
  </si>
  <si>
    <t>Thay cho MT HN 07</t>
  </si>
  <si>
    <t>TAI HANG SHAN</t>
  </si>
  <si>
    <t>26.05.2023</t>
  </si>
  <si>
    <t>26.05.23</t>
  </si>
  <si>
    <t>Haldia, India</t>
  </si>
  <si>
    <t>2400000089 - Jindal - 10kt - tàu ETA 25-26 May (Hàng hóa ok)</t>
  </si>
  <si>
    <t>ABBAY II</t>
  </si>
  <si>
    <t>28.05.23</t>
  </si>
  <si>
    <t>Pacific</t>
  </si>
  <si>
    <t>Huelva</t>
  </si>
  <si>
    <t>2400000087 - CV Aceros - 500mt  (Hàng hóa ok)
2400000088 - Empiric - 8000mt - có SGS giám định trong quá trình làm hàng (Hàng hóa ok)</t>
  </si>
  <si>
    <t>Lan Anh &amp; Bích phụ trách, ko có nhãn phụ</t>
  </si>
  <si>
    <t>18h 27.05.2023</t>
  </si>
  <si>
    <r>
      <rPr>
        <sz val="14"/>
        <color rgb="FF000000"/>
        <rFont val="Times New Roman"/>
        <family val="1"/>
      </rPr>
      <t xml:space="preserve">2000001763 - Nam Kim - 4.000mts - Tân Thuận - Lệnh ok (Dự kiến chiều 28 NK 2k8 + 1k2 Ngày 27 sản xuất dự kiến chiều 29 NK)
2000001762 - TĐA - 2.000mts - Tân Thuận (Đã sản xuất xong -Háng hóa ok) - lệnh ok
</t>
    </r>
    <r>
      <rPr>
        <sz val="14"/>
        <color rgb="FFFF0000"/>
        <rFont val="Times New Roman"/>
        <family val="1"/>
      </rPr>
      <t>Thép cuộn - 423mts - Tân Thuận - liên hệ Ms Nguyên, Hưng Yên</t>
    </r>
  </si>
  <si>
    <t>Tàu đi thiếu tải.
HRC làm trước, thép cuộn làm sau</t>
  </si>
  <si>
    <t>VIỆT THUẬN HN -01</t>
  </si>
  <si>
    <t>23h 28/05/2023</t>
  </si>
  <si>
    <t>29/05 xong hàng</t>
  </si>
  <si>
    <t>2000001758 - Hoa Sen - 5.800mts - Ưu tiên gấp (Đã sx 4560t + 1300t đêm 27 sx dự kiến chiều 29NK) - lệnh ok</t>
  </si>
  <si>
    <t>14h00-29/05/2023</t>
  </si>
  <si>
    <t>2200001318 - OTBD 710T
2200001320 - OTBD 2060T
2200001332 - OTBD 2200T cân tải</t>
  </si>
  <si>
    <t>Cho xuất tàu này trước PN98 đi vì hàng nguội rồi</t>
  </si>
  <si>
    <t>VIỆT THUẬN 215-06</t>
  </si>
  <si>
    <t>2h 28/05/2023</t>
  </si>
  <si>
    <r>
      <rPr>
        <sz val="14"/>
        <color rgb="FF000000"/>
        <rFont val="Times New Roman"/>
        <family val="1"/>
      </rPr>
      <t>2200001335 - THP 1360T (Hàng hóa ok) - đã duyệt lệnh
2200001321 - OTHY 1000T  (Hàng hóa ok) - đã duyệt lệnh
2200001325 - THP 770T (Hàng hóa ok) - đã duyệt lệnh
2200001329 - THP 2450T (Hàng hóa ok) - đã duyệt lệnh
2200001333 - THP cân tải  - đã duyệt lệnh</t>
    </r>
    <r>
      <rPr>
        <sz val="14"/>
        <color rgb="FFFF0000"/>
        <rFont val="Times New Roman"/>
        <family val="1"/>
      </rPr>
      <t xml:space="preserve"> (4K6 HÀNG NGUỘI ĐÃ MAP + 2K4 CHIỀU 30 NK + 200 tấn dự kiến sáng 31 NK)</t>
    </r>
  </si>
  <si>
    <t>THAY THẾ TÀU VIỆT THUẬN 10-01</t>
  </si>
  <si>
    <t>12h00-30/05/2023</t>
  </si>
  <si>
    <t>2000001764 - Tây Nam - 5.000mts - Xuất đủ tải tảu - Lệnh ok (đủ hàng chờ MAP)</t>
  </si>
  <si>
    <t>VIỆT THUẬN 10-01</t>
  </si>
  <si>
    <t>CẬP NHẬT TÌNH HÌNH XUẤT HÀNG HRC THÁNG 01/2023</t>
  </si>
  <si>
    <t>21h00 ngày 09.01
Bến 03</t>
  </si>
  <si>
    <t>2000001532 - THACO 875mt
2000001534 - Minh Ngọc - Cân tải</t>
  </si>
  <si>
    <t>03h10 ngày 12.01
Bến 03</t>
  </si>
  <si>
    <r>
      <rPr>
        <sz val="14"/>
        <color rgb="FF000000"/>
        <rFont val="Times New Roman"/>
        <family val="1"/>
      </rPr>
      <t>2000001543 - Posco - giao 90%
2000001544 - Posco - giao 90%</t>
    </r>
    <r>
      <rPr>
        <sz val="14"/>
        <color rgb="FFFF0000"/>
        <rFont val="Times New Roman"/>
        <family val="1"/>
      </rPr>
      <t xml:space="preserve">hàng ca 1C rạng sáng mai NK
</t>
    </r>
    <r>
      <rPr>
        <sz val="14"/>
        <color rgb="FF000000"/>
        <rFont val="Times New Roman"/>
        <family val="1"/>
      </rPr>
      <t>2200001224 - OTHP (chỉ đi hàng mới cuộn đẹp)</t>
    </r>
  </si>
  <si>
    <t>Giao âm các lệnh để đủ tải tàu :) GẤP, CẦN VỀ CẢNG DỠ NGÀY 14-15/1</t>
  </si>
  <si>
    <t>Yêu cầu 13.01 xong</t>
  </si>
  <si>
    <t>23h00 ngày13/01 cập cầu 6</t>
  </si>
  <si>
    <r>
      <rPr>
        <sz val="14"/>
        <color rgb="FF000000"/>
        <rFont val="Times New Roman"/>
        <family val="1"/>
      </rPr>
      <t>2000001538 - PVX 2580MT
2000001539 - PVX 1400MT
2000001551 - TVĐ 950MT - lên sau
2000001540 - OTVĐ 2370MT - lên sau
2200001229 - OTHY 1180T - đã duyệt - lên trước
2200001230 - OTHY 1000T - đã duyệt - lên trước
2200001231 - NMCN 660T - đã duyệt - lên trước
2200001225 - OTHY 100T
2000001535,1536 -</t>
    </r>
    <r>
      <rPr>
        <sz val="14"/>
        <color rgb="FFFF0000"/>
        <rFont val="Times New Roman"/>
        <family val="1"/>
      </rPr>
      <t xml:space="preserve"> TMP 5900MT  - đã duyệt lên sau</t>
    </r>
  </si>
  <si>
    <t>Tất cả các lệnh chỉ xuất khoảng 93%
Yêu cầu đủ dung sai tất cả các mã</t>
  </si>
  <si>
    <t>Yêu cầu
ngày 16.01 xong</t>
  </si>
  <si>
    <t>07h00 ngày 14/01
Bến 03</t>
  </si>
  <si>
    <t xml:space="preserve">2000001534 - Minh Ngọc -  2700mt đi hết âm 5%
2200001223 - THP 1600MT
2000001535,1536 - TMP đi hết âm 5%
2200001226 - NMCN cân tải
2000001537 - TTĐ 500T </t>
  </si>
  <si>
    <t>Yêu cầu
ngày 18.01 xong</t>
  </si>
  <si>
    <t>Deryoung Superstar</t>
  </si>
  <si>
    <t>16/10 cập bến 06</t>
  </si>
  <si>
    <t>2400000029 - Samsung T1
2400000030 - Samsung T2</t>
  </si>
  <si>
    <t>Xong trước ngày 17/01</t>
  </si>
  <si>
    <t>Yêu cầu
cắt xong hàng trước 10h:00 am 17.01</t>
  </si>
  <si>
    <t>08h30 hôm nay cập cầu 1</t>
  </si>
  <si>
    <t xml:space="preserve">2000001547 - Hùng Nguyên 2000mt
2000001552 - Phú Nam 2100mt </t>
  </si>
  <si>
    <t>2000001546 - Nam Phát 3000mt 
2200001226 - NMCN Cân tải</t>
  </si>
  <si>
    <t xml:space="preserve"> Hoàng Minh 68</t>
  </si>
  <si>
    <t>22h00 ngày 19/01 bến 1</t>
  </si>
  <si>
    <r>
      <rPr>
        <sz val="14"/>
        <color rgb="FF000000"/>
        <rFont val="Times New Roman"/>
        <family val="1"/>
      </rPr>
      <t xml:space="preserve">2000001554 - Nhật Quang 1000MT - m8-9có thể nhận hàng - </t>
    </r>
    <r>
      <rPr>
        <sz val="14"/>
        <color rgb="FFFF0000"/>
        <rFont val="Times New Roman"/>
        <family val="1"/>
      </rPr>
      <t xml:space="preserve">sáng ngày 19 Nk đủ
</t>
    </r>
    <r>
      <rPr>
        <sz val="14"/>
        <color rgb="FF000000"/>
        <rFont val="Times New Roman"/>
        <family val="1"/>
      </rPr>
      <t>2000001551 - Việt Đức 500mt -</t>
    </r>
    <r>
      <rPr>
        <sz val="14"/>
        <color rgb="FFFF0000"/>
        <rFont val="Times New Roman"/>
        <family val="1"/>
      </rPr>
      <t xml:space="preserve">sáng ngày 19 Nk đủ
</t>
    </r>
    <r>
      <rPr>
        <sz val="14"/>
        <color rgb="FF000000"/>
        <rFont val="Times New Roman"/>
        <family val="1"/>
      </rPr>
      <t>2200001232 - NMCN 1740T
2200001233 - OTHY 830T</t>
    </r>
  </si>
  <si>
    <t>Ngày 19.01 có thể cho vào làm
Hàng OTHP stock - nguội, có ngay sáng mai</t>
  </si>
  <si>
    <t>Cuối cùng cũng đã xong</t>
  </si>
  <si>
    <t>ngày 20/01 bến 3</t>
  </si>
  <si>
    <t>TÀU KHAI XUÂN</t>
  </si>
  <si>
    <r>
      <rPr>
        <sz val="14"/>
        <color rgb="FF000000"/>
        <rFont val="Times New Roman"/>
        <family val="1"/>
      </rPr>
      <t xml:space="preserve">2000001571 - OTTP 1200MT
2000001572 - OTTP 1000MT
2000001573 - KKVN 625 MT
2000001542 - Citicom 1000mt
2000001565 - QH PLUS - 2000T
2000001545 - Vinas 900mt
2000001553 - Trường Thành 1000MT
2200001223 - THP 5700T
2200001226 - NMCN 2600T
</t>
    </r>
    <r>
      <rPr>
        <sz val="14"/>
        <color rgb="FFFF0000"/>
        <rFont val="Times New Roman"/>
        <family val="1"/>
      </rPr>
      <t>2000001577 - KKVN 325MT</t>
    </r>
  </si>
  <si>
    <t>làm xuyên tết - Lệnh hàng okay là chơi tất
mạnh quá</t>
  </si>
  <si>
    <t>16h30 ngày 27/01
Bến 6</t>
  </si>
  <si>
    <t>2000001564 - PVX 3000MT
2000001561 - PVX 1500MT
2000001562 - PVX 425MT
2200001226 - NMCN Cân tải</t>
  </si>
  <si>
    <t>Bến 3 thế VT168</t>
  </si>
  <si>
    <t>22000001226 - NMCN</t>
  </si>
  <si>
    <t>14h00 ngày 31/01</t>
  </si>
  <si>
    <t>2200001228 - OTBD cân tải
2200001234 - OTBD 440T</t>
  </si>
  <si>
    <t xml:space="preserve">hàng hóa ok </t>
  </si>
  <si>
    <t>CHÚ Ý, TẤT CẢ CÁC LỆNH ĐỀU PHẢI GIAO HÀNG ÂM TỐI ĐA
GIAO ÂM TỨC LÀ GIAO THẤP HƠN SO VỚI LƯỢNG TRÊN LỆNH
KHÔNG PHẢI CẮT HÀNG ÂM TRÊN BK ĐÂUUUU</t>
  </si>
  <si>
    <t>CẬP NHẬT TÌNH HÌNH XUẤT HÀNG HRC THÁNG 09/2023</t>
  </si>
  <si>
    <t>31.08.2023</t>
  </si>
  <si>
    <t>Xong tàu / Bến 1</t>
  </si>
  <si>
    <r>
      <rPr>
        <sz val="14"/>
        <color rgb="FF000000"/>
        <rFont val="Times New Roman"/>
        <family val="1"/>
      </rPr>
      <t xml:space="preserve">2000001872 - VNO - 1.000T (Hàng hóa ok)
2000001858 - VISA - 3.000T (Hàng hóa ok)
</t>
    </r>
    <r>
      <rPr>
        <sz val="14"/>
        <color rgb="FFFF0000"/>
        <rFont val="Times New Roman"/>
        <family val="1"/>
      </rPr>
      <t>XUẤT DƯƠNG CỦA VISA CHO ĐỦ TẢI TÀU</t>
    </r>
  </si>
  <si>
    <t>01.09.2023
Dỡ quặng</t>
  </si>
  <si>
    <t>Xong tàu/ Bến 1</t>
  </si>
  <si>
    <r>
      <rPr>
        <sz val="14"/>
        <color rgb="FF000000"/>
        <rFont val="Times New Roman"/>
        <family val="1"/>
      </rPr>
      <t xml:space="preserve">2200001411 - OTBD 2960T (Chỉ MAP đc 2841 tấn)
2200001409 -  OTBD  66T (Hàng hóa ok)
</t>
    </r>
    <r>
      <rPr>
        <sz val="14"/>
        <color rgb="FFFF0000"/>
        <rFont val="Times New Roman"/>
        <family val="1"/>
      </rPr>
      <t>TÀU ĐI THIẾU TẢI OK</t>
    </r>
  </si>
  <si>
    <t>CHANG YUN</t>
  </si>
  <si>
    <t>01.09.2023</t>
  </si>
  <si>
    <t>Xong tàu/ Bến 6</t>
  </si>
  <si>
    <t>2400000272 - 56.2023/HPDQ-ARS - ARSEN 10kt (Hàng hóa ok)</t>
  </si>
  <si>
    <t>CÓ NHÃN PHỤ</t>
  </si>
  <si>
    <t>i</t>
  </si>
  <si>
    <t>2000001855 - Tấn Phát - 500T  (Hàng hóa ok)
2000001870 Vinas - 550T          (Hàng hóa ok)
2200001399,1414 THP - khoảng 6000T (Hàng hóa dự kiến mùng 1/9 NK)
2000001873  - Việt Nhật - 2.000T (Hàng hóa đã sản xuất dự kiến 31 NK)
2000001869  Mỹ Việt - 1.000T    (Hàng hóa đang sản xuất dự kiến 1 NK)
2000001876 - Trường Thành 75MT (Hàng hóa đã sx chờ MAP)
2200001413 - OTHY 1128T (Hàng hóa ok)</t>
  </si>
  <si>
    <t>Xong tàu/ Bến 3</t>
  </si>
  <si>
    <r>
      <rPr>
        <sz val="14"/>
        <color rgb="FF000000"/>
        <rFont val="Times New Roman"/>
        <family val="1"/>
      </rPr>
      <t xml:space="preserve">2000001871 - Nam Kim - 6500 MT - Tân Thuận (Hàng hóa mùng 2 NK đủ) - đi theo mác ghi chú
2000001868 - Posco - 1000T - Phú Mỹ (Hàng hóa ok)
2000001874 - TĐA - PHÚ MỸ - LÊN HÀNG SAU CÙNG - 1000t (Hàng hóa ok chờ MAP)
2000001875 - TĐA - TÂN THUẬN - 1500t    (Hàng hóa ok chờ MAP)
2000001867 - TĐA - PHÚ MỸ - LÊN HÀNG SAU CÙNG - 1000t  (Hàng hóa ok)
</t>
    </r>
    <r>
      <rPr>
        <sz val="14"/>
        <color rgb="FFFF0000"/>
        <rFont val="Times New Roman"/>
        <family val="1"/>
      </rPr>
      <t xml:space="preserve">ĐANG CÒN 1000T TẤN NỮA, CÓ HÀNG NÀO THÌ CHO THÊM LÊN CÒN KHÔNG THÌ TÀU ĐI THIẾU TẢI OK NHÉ </t>
    </r>
  </si>
  <si>
    <t xml:space="preserve">DỠ PHÚ MỸ TRƯỚC
TÁCH HÓA ĐƠN NAM KIM THEO TÀU; CẮT CÁC MÁC DƯỚI ĐÂY: 
Thép cuộn cán nóng 2.00x1215 SAE1006     5,000
Thép cuộn cán nóng 2.00x1230 SAE1006     1,500
</t>
  </si>
  <si>
    <t>03.09.2023
Dỡ phế</t>
  </si>
  <si>
    <r>
      <rPr>
        <sz val="14"/>
        <color rgb="FF000000"/>
        <rFont val="Times New Roman"/>
        <family val="1"/>
      </rPr>
      <t xml:space="preserve">2000001871 - Nam Kim - 3800t - Tân Thuận - đi hàng theo các mác ghi chú (Hàng hóa ok)
</t>
    </r>
    <r>
      <rPr>
        <sz val="14"/>
        <color rgb="FFFF0000"/>
        <rFont val="Times New Roman"/>
        <family val="1"/>
      </rPr>
      <t>TÀU ĐI THIẾU TẢI</t>
    </r>
  </si>
  <si>
    <t>TÁCH HÓA ĐƠN NAM KIM THEO TÀU; CẮT MÁC DƯỚI ĐÂY: 
Thép cuộn cán nóng 2.70x1260 SS400          300 (Hàng hóa ok)
Thép cuộn cán nóng 3.00x1260 SS400          300 (Hàng hóa ok)
Thép cuộn cán nóng 3.60x1260 SS400          300  (Hàng hóa ok)
Thép cuộn cán nóng 2.40x1230 SAE1006     1,000 (Hàng hóa ok)
Thép cuộn cán nóng 2.30x1215 SAE1006     700  (Hàng hóa ok)
Thép cuộn cán nóng 2.50x1215 SAE1006     700   (Hàng hóa ok)
Thép cuộn cán nóng 2.20x1230 SAE1006     500    (Hàng hóa ok)</t>
  </si>
  <si>
    <t>30.08.2023
NEO</t>
  </si>
  <si>
    <t>Xong tàu/ Bến 2</t>
  </si>
  <si>
    <t>2200001410, 1392 - OTHP (Cargill) - 5.000T (Hàng hóa ok) - Tân Thuận
2000001857 - TLPM - 900T - Phú Mỹ   ((Hàng hóa ok)</t>
  </si>
  <si>
    <t>OWL</t>
  </si>
  <si>
    <t>05.09.2023</t>
  </si>
  <si>
    <t>Xong tàu/ Bến 5</t>
  </si>
  <si>
    <t>Marcegaglia's port
Ravenna, Italy
Setramar Terminal</t>
  </si>
  <si>
    <t>2400000255 - P08813: 10kmt to RAVENNA, ITALY (MARCEGAGLIA BERTH)
2400000291 - P08863 - LOT 1: 650mt to RAVENNA, ITALY (SETRAMAR TERMINAL)
2400000293 - P08863 - LOT 3: 50mt to RAVENNA, ITALY (SETRAMAR TERMINAL</t>
  </si>
  <si>
    <t>(ĐÃ MAP 4K3 HÀNG HÓA SÁNG 5/9 NK ĐỦ)</t>
  </si>
  <si>
    <t>XIN HONG BAO SHI</t>
  </si>
  <si>
    <t>04.09.2023</t>
  </si>
  <si>
    <t>2400000295 - AMI -157 (Hàng hóa đã sx ok) - LỆNH DÁN NHÃN
2400000303 - AMI - LỆNH KHÔNG DÁN NHÃN 
2400000313 - AMI - LỆNH KHÔNG DÁN NHÃN</t>
  </si>
  <si>
    <t>07.09.2023</t>
  </si>
  <si>
    <t xml:space="preserve">
2000001878 - TĐA    (Hàng hóa đã sx chiều 5/9 NK) - Tân Thuận -1500
2000001880 - TĐA - Phú Mỹ - 2000t
2400000221 - 127.2023/HPDQ-HYUNDAI - MZN, phú mỹ- 750T                     (Hàng hóa ok)
2400000223 - 129.2023/HPDQ-SSCNT - MZN, phú mỹ - 1750T                      (Hàng hóa ok)
</t>
  </si>
  <si>
    <t>Thay thế Việt Thuận 11-02
24*221 &amp; 223 xếp hàng theo khổ rộng</t>
  </si>
  <si>
    <t>10.09.2023
Dỡ đá</t>
  </si>
  <si>
    <t>2000001859 - Indeco 900mt  (Hàng hóa ok-đã sản xuất chờ KCS MAP)) - lệnh ok
2000001882 - TVP - 3.100 tấn (Hàng hóa ok-đã sản xuất chờ KCS MAP) - hết sáng 9/9 duyệt lệnh</t>
  </si>
  <si>
    <t>11.09.2023</t>
  </si>
  <si>
    <t>2000001881 - Tây Nam - 3.600 tấn (Chiều 9/9 NK)</t>
  </si>
  <si>
    <t>2000001871 - Nam Kim - 1.200T - Tân Thuận (Hàng hóa ok)
2000001857  - TLPM - 2.100T - Phú Mỹ    (Hàng hóa ok + 220t đã sx đang chờ MAP)
2000001877 - TĐA - 1000t   (Hàng hóa ok) - Tân Thuận
2000001879 - TĐA - 500t     (Hàng hóa ok) - Tân Thuận
Lệnh ok hết rồi</t>
  </si>
  <si>
    <t>Thay cho Thanh Loan 28 hủy KH</t>
  </si>
  <si>
    <t>10.09.2023
NEO</t>
  </si>
  <si>
    <t>2200001417 - OTBD - Huy - Hàng sẵn (Hàng hóa ok)</t>
  </si>
  <si>
    <t>23h00 10.09.2023
NEO</t>
  </si>
  <si>
    <t>13/09 Bến 1</t>
  </si>
  <si>
    <r>
      <rPr>
        <sz val="14"/>
        <color rgb="FF000000"/>
        <rFont val="Times New Roman"/>
        <family val="1"/>
      </rPr>
      <t xml:space="preserve">2000001856 - Phú Nam - 500T - 13/09 duyệt (Đã MAP 316T + 184T đã NK chờ MAP)
2000001869 - Mỹ Việt - 200T (Hàng hóa ok)
2000001876 - Trường Thành - 100T - lệnh ok (Hàng hóa đã sản xuất chờ MAP)
</t>
    </r>
    <r>
      <rPr>
        <sz val="14"/>
        <color rgb="FFFF0000"/>
        <rFont val="Times New Roman"/>
        <family val="1"/>
      </rPr>
      <t>2200001418 - 2.300 THP Cân tải (Hàng hóa ok)</t>
    </r>
  </si>
  <si>
    <t>SAGA DISCOVERY</t>
  </si>
  <si>
    <t>21h45 ngày 10/06
Bến 6</t>
  </si>
  <si>
    <t>Altamira, MXC</t>
  </si>
  <si>
    <t>2400000286 - 133.2023 HPDQ-STEMCOR - 1860MT
2400000288 - 145.2023 HPDQ-STEMCOR 
2400000289 - 145.2023 HPDQ-STEMCOR
2400000290 - 145.2023 HPDQ-STEMCOR
2400000294 - 175.2023 HPDQ-ATV - 500MT - ALT, MX</t>
  </si>
  <si>
    <t>-Dự kiến 12 NK
- Lệnh 2400000288 , 2400000289, 2400000290 chỉ xuất cuộn cw&lt;20.3 mt</t>
  </si>
  <si>
    <t>15.09.2023</t>
  </si>
  <si>
    <t>Tàu này về cho vào làm luôn nhé, rất gấp
06h00 ngày 16/09 Bến 3</t>
  </si>
  <si>
    <t>Cẩm Nguyên/
Thiên Lộc Thành</t>
  </si>
  <si>
    <t xml:space="preserve">2000001882 - TVP - 2.500 tấn - Cẩm Nguyên  (Hàng hóa ok)
2000001881 - Tây Nam - 1.900 tấn - Thiên Lộc Thành (Hàng hóa ok) </t>
  </si>
  <si>
    <t>SẼ XIN QUÉT HÓA ĐƠN ĐỂ RA HẾT HÓA ĐƠN MUỘN NHẤT 
NGÀY 15/9, TÀU VỀ THÌ CHO HÀNG RA TÀU</t>
  </si>
  <si>
    <t>GRAND FAMILY 56</t>
  </si>
  <si>
    <t>16.09.2023
Dỡ quặng</t>
  </si>
  <si>
    <t>Tàu này dỡ quặng xong cho sang làm hàng luôn nhé, rất gấp
17h00 15/09 Bến 2</t>
  </si>
  <si>
    <t>2000001883 - SMCCK - 3.900T - lệnh ok (Đã MAP 1748T+ lượng còn lại chiều 14/9 NK)</t>
  </si>
  <si>
    <r>
      <rPr>
        <sz val="14"/>
        <color rgb="FF000000"/>
        <rFont val="Times New Roman"/>
        <family val="1"/>
      </rPr>
      <t xml:space="preserve">THAY THẾ HOÀNG MINH 68
</t>
    </r>
    <r>
      <rPr>
        <sz val="14"/>
        <color rgb="FFFF0000"/>
        <rFont val="Times New Roman"/>
        <family val="1"/>
      </rPr>
      <t>SẼ XIN QUÉT HÓA ĐƠN ĐỂ RA HẾT HÓA ĐƠN MUỘN NHẤT NGÀY 15/9, TÀU DỠ QUẶNG XONG THÌ CHO HÀNG RA TÀU</t>
    </r>
  </si>
  <si>
    <t>14.09.2023</t>
  </si>
  <si>
    <t>22h30 17/09 Bến 3</t>
  </si>
  <si>
    <t>Long Bình/
Thiên Lộc Thành</t>
  </si>
  <si>
    <r>
      <rPr>
        <sz val="14"/>
        <color rgb="FF000000"/>
        <rFont val="Times New Roman"/>
        <family val="1"/>
      </rPr>
      <t xml:space="preserve">2000001891 - VNO (HÀNG SPOT) - 2.000T - Thiên Lộc Thành - (Háng hóa ok)
2200001417 - OTBD - 1000T - Long Bình (Hàng hóa ok)
</t>
    </r>
    <r>
      <rPr>
        <sz val="14"/>
        <color rgb="FFFF0000"/>
        <rFont val="Times New Roman"/>
        <family val="1"/>
      </rPr>
      <t>Hết ngày 16/9 duyệt hết lệnh, tối có thể cho tàu vào làm hàng</t>
    </r>
  </si>
  <si>
    <t>Dỡ Long Bình trước, lên hàng sau cùng</t>
  </si>
  <si>
    <t>DK IONE</t>
  </si>
  <si>
    <t>13-14.09.2023</t>
  </si>
  <si>
    <t>13/09 Bến 5/10
tàu về sớm sẵn sàng đợi đến ngày 15 Sept do laycan.</t>
  </si>
  <si>
    <r>
      <rPr>
        <sz val="14"/>
        <color rgb="FFFF0000"/>
        <rFont val="Times New Roman"/>
        <family val="1"/>
      </rPr>
      <t xml:space="preserve">2400000320 - 138.2023/HPDQ-DP (LOT 1)  - ANTWERP - CE MARK </t>
    </r>
    <r>
      <rPr>
        <sz val="14"/>
        <color rgb="FF000000"/>
        <rFont val="Times New Roman"/>
        <family val="1"/>
      </rPr>
      <t xml:space="preserve">(Đã MAP 1K5 + 500T chiều 12 NK + 2000T sáng 13 NK)
</t>
    </r>
    <r>
      <rPr>
        <sz val="14"/>
        <color rgb="FFFF0000"/>
        <rFont val="Times New Roman"/>
        <family val="1"/>
      </rPr>
      <t xml:space="preserve">2400000312 - 138.2023/HPDQ-DP (LOT 2) - ANTWERP - CE MARK </t>
    </r>
    <r>
      <rPr>
        <sz val="14"/>
        <color rgb="FF000000"/>
        <rFont val="Times New Roman"/>
        <family val="1"/>
      </rPr>
      <t xml:space="preserve">(Đã MAP 1kt + 1kt sáng 13 NK + 500T 16 NK)
</t>
    </r>
    <r>
      <rPr>
        <sz val="14"/>
        <color rgb="FFFF0000"/>
        <rFont val="Times New Roman"/>
        <family val="1"/>
      </rPr>
      <t>2400000311 - 161.2023/HPDQ-DP  - ANTWERP - CE MARK</t>
    </r>
    <r>
      <rPr>
        <sz val="14"/>
        <color rgb="FF000000"/>
        <rFont val="Times New Roman"/>
        <family val="1"/>
      </rPr>
      <t xml:space="preserve"> (500t chiều 12 NK + 500T sáng 13 NK)
</t>
    </r>
    <r>
      <rPr>
        <sz val="14"/>
        <color rgb="FFFF0000"/>
        <rFont val="Times New Roman"/>
        <family val="1"/>
      </rPr>
      <t>2400000326 - 176.2023/HPDQ-DP (LOT 1) - LEIXOES - CE MARK</t>
    </r>
    <r>
      <rPr>
        <sz val="14"/>
        <color rgb="FF000000"/>
        <rFont val="Times New Roman"/>
        <family val="1"/>
      </rPr>
      <t xml:space="preserve"> (2K7 sáng 13NK + 3kt sáng 14 NK + 1KT sáng 16 NK)
</t>
    </r>
    <r>
      <rPr>
        <sz val="14"/>
        <color rgb="FFFF0000"/>
        <rFont val="Times New Roman"/>
        <family val="1"/>
      </rPr>
      <t xml:space="preserve">2400000327 - 176.2023/HPDQ-DP (LOT 2)  - LEIXOES - CE MARK </t>
    </r>
    <r>
      <rPr>
        <sz val="14"/>
        <color rgb="FF000000"/>
        <rFont val="Times New Roman"/>
        <family val="1"/>
      </rPr>
      <t xml:space="preserve">(Đã MAP 4.070T + 300T chiều 12 NK)
</t>
    </r>
    <r>
      <rPr>
        <sz val="14"/>
        <color rgb="FFFF0000"/>
        <rFont val="Times New Roman"/>
        <family val="1"/>
      </rPr>
      <t xml:space="preserve">2400000328 - 176.2023/HPDQ-DP (LOT 3)  - LEIXOES - CE MARK </t>
    </r>
    <r>
      <rPr>
        <sz val="14"/>
        <color rgb="FF000000"/>
        <rFont val="Times New Roman"/>
        <family val="1"/>
      </rPr>
      <t>(Đã MAP 2k2 + 330t chờ MAP + 470T chiều 12 NK)</t>
    </r>
  </si>
  <si>
    <t xml:space="preserve">Mọi người có thể cân đối xem tình hình sx và sắp xếp vào sớm nếu cần
</t>
  </si>
  <si>
    <t>SUNLIGHT</t>
  </si>
  <si>
    <t>13.09.2023</t>
  </si>
  <si>
    <t>23h 15/09 Bến 6/11</t>
  </si>
  <si>
    <t>Indonesisa</t>
  </si>
  <si>
    <t>2400000315 - KBI  (Hàng hóa ok)
2400000317 - KBI   (Hàng hóa ok)
2400000318 - KBI   (Hàng hóa ok)
2400000316 - KBI   (Hàng hóa ok)</t>
  </si>
  <si>
    <t>CÓ NHÃN PHỤ VÀ NHÃN MÀU</t>
  </si>
  <si>
    <t>17/09
NEO</t>
  </si>
  <si>
    <t>Ok chốt tàu này rồi nhé, cho KH vào làm nhé
19/09 Bến 1</t>
  </si>
  <si>
    <t>2200001428 - OTHY 3400T cân tải (Hàng hóa ok)
2200001425 - OTHY 1000T 
2000001888 - TCĐ 90T</t>
  </si>
  <si>
    <t>21h30 Ngày 18/09
Bến 3/5</t>
  </si>
  <si>
    <r>
      <rPr>
        <sz val="14"/>
        <color rgb="FF000000"/>
        <rFont val="Times New Roman"/>
        <family val="1"/>
      </rPr>
      <t xml:space="preserve">2200001418 - 1.000T THP (Hàng hóa ok)
2200001399 - THP - 4.000T (Chiều mai NK)
2000001886 - PVX - 600T (Hàng hóa ok) - lệnh ok
2000001893 - OT190 - 700T (Xuất hết mapping) - lệnh ok
2000001892 - KKBV - 3200T (Xuất hết mapping) - lệnh ok (Dự kiến 19 NK)
2200001423 - OTHY - 350T (Thiếu 50t hàng 5.50x1395 S275 II)
2200001420 - OTHY - 220T  (Hàng hóa ok)
2200001415 - OTHY 1,150T (Hàng hóa ok)
</t>
    </r>
    <r>
      <rPr>
        <sz val="14"/>
        <color rgb="FFFF0000"/>
        <rFont val="Times New Roman"/>
        <family val="1"/>
      </rPr>
      <t>2200001428 - OTHY 500T - cân tải
THÉP CUỘN HƯNG YẾN - 100 TẤN - LIÊN HỆ MR TÚ</t>
    </r>
  </si>
  <si>
    <t>20/09 Bến 1</t>
  </si>
  <si>
    <t>2400000297 - 137.2023/HPDQ-EP (LOT 1)- chuyển tải xuất khẩu (Đã MAP 1171t thiếu 130t)
2400000298 - 137.2023/HPDQ-EP (LOT 2)  (Hàng hóa ok)
2400000304 - 149.2023/HPDQ-TRASTEEL - chuyển tải xuất khẩu  (Đã MAP 400T thiếu 100t)
2200001426 - OTBD - 1.500T cân tải xuất từ dày tới mỏng (Hàng hóa ok)</t>
  </si>
  <si>
    <t>Tàu này có hàng thì cứ cho vào làm tại Dung Quất nhé, tàu vào cảng dỡ đợi tàu tây về</t>
  </si>
  <si>
    <t>PORT VERA CRUZ</t>
  </si>
  <si>
    <t>20/09</t>
  </si>
  <si>
    <t>18h00 22/09 Bến 5</t>
  </si>
  <si>
    <t>Manzanilo, MXC</t>
  </si>
  <si>
    <t>2400000287 - 134.2023 HPDQ-SSCNT (LOT 1) (Hàng hóa ok)
2400000296 - 134.2023 HPDQ-SSCNT (LOT 2) (Hàng hóa ok)
2400000308 - 158.2023 HPDQ-HYUNDAI (Dự kiến sáng 22 NK)
2400000341 - 184.2023 HPDQ-HYUNDAI (Dự kiến sáng 22 NK)</t>
  </si>
  <si>
    <t>23/09 Bến 3</t>
  </si>
  <si>
    <t>2200001429 - THP  - 1.832T (Hàng hóa ok)
2200001424 - THP - cân tải  (Hàng hóa ok)
2200001414 - THP 850T (Hàng hóa ok)
2200001419 - OTHY 409T (Hàng hóa ok)</t>
  </si>
  <si>
    <t>25-26.09
Neo</t>
  </si>
  <si>
    <t>26/09 Bến 2
XUẤT TRONG 
THÁNG 9</t>
  </si>
  <si>
    <t>2200001428 - OTHY 500T (Hàng hóa ok)
2200001424,1414 - THP - 3.080T cân tải (Đã MAP 1624T + 606t chờ MAP+ 240T chờ NK + 850T chiều mai NK)</t>
  </si>
  <si>
    <t>24.09
Neo</t>
  </si>
  <si>
    <t>25/09 Bến 1
XUẤT TRONG 
THÁNG 9</t>
  </si>
  <si>
    <r>
      <rPr>
        <sz val="14"/>
        <color rgb="FF000000"/>
        <rFont val="Times New Roman"/>
        <family val="1"/>
      </rPr>
      <t>2200001426 - OTBD</t>
    </r>
    <r>
      <rPr>
        <sz val="14"/>
        <color rgb="FFFF0000"/>
        <rFont val="Times New Roman"/>
        <family val="1"/>
      </rPr>
      <t xml:space="preserve"> (Đã MAP 1760 tấn)
2200001434 - OTBD cân tải (Hàng spot đợi điền lệnh)-Cơ bản ok</t>
    </r>
  </si>
  <si>
    <t>27.09.2023
Neo</t>
  </si>
  <si>
    <t>XUẤT TRONG 
THÁNG 9</t>
  </si>
  <si>
    <t>2200001436 - OTHY - 3000T (Hàng spot hàng hóa có sẵn/chờ MAP)</t>
  </si>
  <si>
    <t>28.09.2023
03h</t>
  </si>
  <si>
    <t>28/09 Bến 2
XUẤT TRONG 
THÁNG 9</t>
  </si>
  <si>
    <t>2200001422 - OTHP (Cargill) - 3.300T (Hàng hóa ok)</t>
  </si>
  <si>
    <t>28.09
10h</t>
  </si>
  <si>
    <t>28/09 Bến 3
XUẤT TRONG 
THÁNG 9</t>
  </si>
  <si>
    <r>
      <rPr>
        <sz val="14"/>
        <color rgb="FF000000"/>
        <rFont val="Times New Roman"/>
        <family val="1"/>
      </rPr>
      <t xml:space="preserve">2000001897 - 700T - KKBV (Hàng hóa ok)
2000001893 - 1.300T - OT190 (Hàng hóa ok) - cân tải
2000001898 - Nhật Quang - 1.000T (Hàng hóa ok)
</t>
    </r>
    <r>
      <rPr>
        <sz val="14"/>
        <color rgb="FFFF0000"/>
        <rFont val="Times New Roman"/>
        <family val="1"/>
      </rPr>
      <t>1.200T - 60 cuộn hàng XK - cập mạn tàu tây Hòn Gai
2400000288 (Hàng hóa ok)
2400000289  (Hàng hóa ok)
2400000290   (Hàng hóa ok)</t>
    </r>
  </si>
  <si>
    <t>29.09
Dỡ quặng</t>
  </si>
  <si>
    <t>29/09 Bến 3
Tàu này dỡ quặng xong cho sang xuất HRC, cần xuất trong tháng 9</t>
  </si>
  <si>
    <t>2200001431 - THP - 110T (Hàng hóa ok)
2200001414 - THP - 6.000T (Hàng hóa ok)</t>
  </si>
  <si>
    <t>12h 29/09 Bén 4/6
XUẤT TRONG 
THÁNG 9</t>
  </si>
  <si>
    <t>Nghi Sơn/Hải Phòng</t>
  </si>
  <si>
    <t>2000001894,1895 HS - 10.000T - 27/9 có hàng (Đã MAP 3.612t + 5.580 dự kiến 28NK)
2200001432,1433, 1435 - OTHY - 6.000T - Hàng sẵn (Hàng hóa ok)
Lên hàng của OTHY trước, dỡ sau</t>
  </si>
  <si>
    <t>Hoa Sen hàng nào có trước thì cho lên tàu này, 
hàng nào muộn thì cho lên tàu Thắng Lợi 568</t>
  </si>
  <si>
    <t>Tuấn Cường/ 
Thiên Phúc</t>
  </si>
  <si>
    <t>KIRAN MARMARA</t>
  </si>
  <si>
    <t>25-30.09.2023</t>
  </si>
  <si>
    <t>tàu này k về DQ nữa</t>
  </si>
  <si>
    <t>VIỆT THUẬN 11-02</t>
  </si>
  <si>
    <t>04-05.09.2023</t>
  </si>
  <si>
    <t>VIỆT THUẬN 10-03</t>
  </si>
  <si>
    <t>30.08.2023</t>
  </si>
  <si>
    <t>NORDIC MERCHANTS</t>
  </si>
  <si>
    <t>10.09.2023</t>
  </si>
  <si>
    <t>CẬP NHẬT TÌNH HÌNH XUẤT HÀNG HRC THÁNG 06/2023</t>
  </si>
  <si>
    <t>TẤT CẢ CÁC ĐƠN HÀNG THÁNG 6 GIAO DƯƠNG TỐI ĐA</t>
  </si>
  <si>
    <t>30/05/2023</t>
  </si>
  <si>
    <t>21:30 ngày 01/06 
Bến 5</t>
  </si>
  <si>
    <r>
      <rPr>
        <sz val="14"/>
        <color rgb="FF000000"/>
        <rFont val="Times New Roman"/>
        <family val="1"/>
      </rPr>
      <t xml:space="preserve">2000001768 - OTVĐ - 2.500 tấn - lệnh ok (Hàng hóa ok)
2000001772 - Nippon - 150 tấn   (Hàng hóa ok)
2000001770 - Mỹ Việt - 3.000mts - lệnh ok  (Hàng hóa ok)
</t>
    </r>
    <r>
      <rPr>
        <sz val="14"/>
        <color rgb="FFFF0000"/>
        <rFont val="Times New Roman"/>
        <family val="1"/>
      </rPr>
      <t xml:space="preserve">2200001316 - OTHY 115T   (Hàng hóa ok)
2200001321 - OTHY 500T  (Hàng hóa ok)
2200001336 - OTHY 2500T   (Hàng hóa ok)
2200001338 - NMCN 1650T   (Hàng hóa ok)
2200001340 - THP - 1.300T - 1/6 sản xuất
2200001333 - THP - 1800T
</t>
    </r>
    <r>
      <rPr>
        <sz val="14"/>
        <color rgb="FF000000"/>
        <rFont val="Times New Roman"/>
        <family val="1"/>
      </rPr>
      <t>1 cuộn hàng gửi kho 2200001239</t>
    </r>
  </si>
  <si>
    <t>18h 31/05/2023</t>
  </si>
  <si>
    <t>TÀU NÀY ĐẾN CHO VÀO LÀM HÀNG LUÔN</t>
  </si>
  <si>
    <t>2200001332 - OTBD
2200001337 - OTBD</t>
  </si>
  <si>
    <t>PERIDOT</t>
  </si>
  <si>
    <t>01/06</t>
  </si>
  <si>
    <t>13h 01/06 Bến 10</t>
  </si>
  <si>
    <t>CARGILL 6KT - ĐÃ SX XONG, COLOR MARK THEO LỆNH (HÀNG HÓA OK)
2400000091 - BLUE
2400000092 - RED
2400000093 - YELLOW</t>
  </si>
  <si>
    <t>Có color mark</t>
  </si>
  <si>
    <t>12:00 ngày 03/06
Bến 3</t>
  </si>
  <si>
    <t xml:space="preserve">2000001773 - Hoa Sen - 2950 tấn - Hàng okay </t>
  </si>
  <si>
    <t>10h00 3/6</t>
  </si>
  <si>
    <t>0:15 ngày 06/06 
Bến 5/10</t>
  </si>
  <si>
    <r>
      <rPr>
        <sz val="14"/>
        <color rgb="FF000000"/>
        <rFont val="Times New Roman"/>
        <family val="1"/>
      </rPr>
      <t>2000001774 - Hoa Sen - 4.750mts - cân tải - lệnh ok
2000001771 - SMCCK - 1.000mts - lệnh ok</t>
    </r>
    <r>
      <rPr>
        <sz val="14"/>
        <color rgb="FFFF0000"/>
        <rFont val="Times New Roman"/>
        <family val="1"/>
      </rPr>
      <t xml:space="preserve"> </t>
    </r>
    <r>
      <rPr>
        <sz val="14"/>
        <color rgb="FF000000"/>
        <rFont val="Times New Roman"/>
        <family val="1"/>
      </rPr>
      <t xml:space="preserve">(Hàng hóa ok) </t>
    </r>
    <r>
      <rPr>
        <sz val="14"/>
        <color rgb="FFFF0000"/>
        <rFont val="Times New Roman"/>
        <family val="1"/>
      </rPr>
      <t xml:space="preserve">- không xuất &gt; 1.000mts
</t>
    </r>
    <r>
      <rPr>
        <sz val="14"/>
        <color rgb="FF000000"/>
        <rFont val="Times New Roman"/>
        <family val="1"/>
      </rPr>
      <t>2000001767 - The One - 500mts - Phú Mỹ  (Hàng hóa ok) / lệnh ok (Hàng hóa ok) - xuất hết</t>
    </r>
  </si>
  <si>
    <t>ATALANTA</t>
  </si>
  <si>
    <t>04/06</t>
  </si>
  <si>
    <t>17:55 ngày 04/06
Bến 10</t>
  </si>
  <si>
    <t>Mazatlan</t>
  </si>
  <si>
    <r>
      <rPr>
        <sz val="14"/>
        <color rgb="FF000000"/>
        <rFont val="Times New Roman"/>
        <family val="1"/>
      </rPr>
      <t xml:space="preserve">2400000090 - Salgiztter 5kt </t>
    </r>
    <r>
      <rPr>
        <sz val="14"/>
        <color rgb="FFFF0000"/>
        <rFont val="Times New Roman"/>
        <family val="1"/>
      </rPr>
      <t>(Hàng hóa ok)</t>
    </r>
  </si>
  <si>
    <t>17h00 6/6/2023</t>
  </si>
  <si>
    <t xml:space="preserve">
12h00 Bến 1</t>
  </si>
  <si>
    <r>
      <rPr>
        <sz val="14"/>
        <color rgb="FF000000"/>
        <rFont val="Times New Roman"/>
        <family val="1"/>
      </rPr>
      <t xml:space="preserve">2000001769 - KKBV - 2.000mts (Hàng hóa ok) / lệnh ok
</t>
    </r>
    <r>
      <rPr>
        <sz val="14"/>
        <color rgb="FFFF0000"/>
        <rFont val="Times New Roman"/>
        <family val="1"/>
      </rPr>
      <t>2200001341 - THP 160T (Hàng hóa ok)
2200001342 - THP 300T(Hàng hóa ok)
2200001344 - NMCN cân tải (Đã có sẵn hàng chờ MAP)</t>
    </r>
  </si>
  <si>
    <t>PORTO LEONE</t>
  </si>
  <si>
    <t>Mac Shipping</t>
  </si>
  <si>
    <t>08:00 ngày 07/06
Bến 5</t>
  </si>
  <si>
    <t>2400000094 - Marce 35kt (Hàng hóa ok đã MAP 35.800t + 200t sáng mai NK MAP thêm)</t>
  </si>
  <si>
    <t>LOADING RATE: 6000MT/DAY</t>
  </si>
  <si>
    <t>8/6/2023
Dỡ đá</t>
  </si>
  <si>
    <t>Ngày 09/06 Bến 1</t>
  </si>
  <si>
    <t>2000001775 - TĐA - 3.000mts - Tân Thuận (Hàng hóa ok) - xuất hết - 9/6 duyệt lệnh
2000001778 - Nam Kim - 1.000mts - Tân Thuận - 7/6 có hàng (Hàng hóa ok)- cân tải -  9/6 duyệt lệnh</t>
  </si>
  <si>
    <t xml:space="preserve">Lệnh Nam Kim - hóa đơn Hải Âu 28 và Mạnh Thắng 68 tách riêng </t>
  </si>
  <si>
    <t>09/6</t>
  </si>
  <si>
    <t>Ngày 09/06 Bến 2</t>
  </si>
  <si>
    <t>2000001778 - Nam Kim - 4.000mts - Tân Thuận - 7/6 có hàng (Hàng hóa ok) -  9/6 duyệt lệnh
2000001776 - POSCO - 300T - Phú Mỹ (Hàng hóa ok) - xuất hết
2000001774 - Hoa Sen - Phú Mỹ - đi hết lượng còn lại (Hàng hóa ok)
2000001771 - SMCCK - Phú Mỹ - lệnh ok - cân tải    (Hàng hóa ok)</t>
  </si>
  <si>
    <t>11/6/2023
Quay đầu từ HP về</t>
  </si>
  <si>
    <t>9h40 ngày 11/06
Bến 3</t>
  </si>
  <si>
    <t>2000001773 - Hoa Sen - xuất hết lượng còn lại (Hàng hóa ok )</t>
  </si>
  <si>
    <t>TRUNG THẮNG 56</t>
  </si>
  <si>
    <t>11/06</t>
  </si>
  <si>
    <t>22h30 ngày 11/06
Bến5/10</t>
  </si>
  <si>
    <t xml:space="preserve">2200001343 - THP 2700T cân tải
2200001345 - OTHY 2940T
2200001349 - OTHY 190T
2200001344 - NMCN 3300T
2200001349 - OTHY 190T
2200001345 - OTHY </t>
  </si>
  <si>
    <t>15h 15/6</t>
  </si>
  <si>
    <t xml:space="preserve">2200001348 - OTBD 1100T (HÀNG HÓA OK) /
2200001351 - OTBD cân tải  (HÀNG CÓ SẴN CHỜ KCS MAP) / </t>
  </si>
  <si>
    <t>15/6</t>
  </si>
  <si>
    <t>2200001343 - THP 230T (HÀNG HÓA OK)
2200001350 - OTHY 2700T (HÀNG CÓ SẴN CHỜ KCS MAP)</t>
  </si>
  <si>
    <t>19/06</t>
  </si>
  <si>
    <t>06h10 ngày 19/06
Bến 5</t>
  </si>
  <si>
    <r>
      <rPr>
        <sz val="14"/>
        <color rgb="FF000000"/>
        <rFont val="Times New Roman"/>
        <family val="1"/>
      </rPr>
      <t xml:space="preserve">2000001752 - Tiến Lên - 100mts - đã duyệt - Tân Thuận (Hàng hóa ok)
2200001334 - OTHP (Cargill) - 1.100mts - Tân Thuận(Chiều 18 NK)
2000001781 - TLPM - 1.000mts - Phú Mỹ - đã duyệt   (Chiều 18 NK)
2000001771 - 680mts - SMCCK - Phú Mỹ - xuất hết (Hàng hóa ok)
</t>
    </r>
    <r>
      <rPr>
        <sz val="14"/>
        <color rgb="FFFF0000"/>
        <rFont val="Times New Roman"/>
        <family val="1"/>
      </rPr>
      <t>2200001315 - THP 2.2x1260,1264,1270 1289T, 2.3x1260 45T - Hàng sẵn - Phú Mỹ
2000001782 - Kỳ Đồng - 390mts- Tân Thuận - lệnh ok (Hàng hóa ok chờ MAP)</t>
    </r>
  </si>
  <si>
    <t>10h15 ngày 19/06
Bến 1</t>
  </si>
  <si>
    <r>
      <rPr>
        <sz val="14"/>
        <color rgb="FF000000"/>
        <rFont val="Times New Roman"/>
        <family val="1"/>
      </rPr>
      <t>2200001353 - THP - 2.400mts - cân tải  (Chưa sản xuất) -</t>
    </r>
    <r>
      <rPr>
        <sz val="14"/>
        <color rgb="FFFF0000"/>
        <rFont val="Times New Roman"/>
        <family val="1"/>
      </rPr>
      <t xml:space="preserve"> LỆNH OK
</t>
    </r>
    <r>
      <rPr>
        <sz val="14"/>
        <color rgb="FF000000"/>
        <rFont val="Times New Roman"/>
        <family val="1"/>
      </rPr>
      <t>2000001784 - Phúc Viên Xuân - 300mts (Hàng hóa ok) -</t>
    </r>
    <r>
      <rPr>
        <sz val="14"/>
        <color rgb="FFFF0000"/>
        <rFont val="Times New Roman"/>
        <family val="1"/>
      </rPr>
      <t xml:space="preserve"> LỆNH OK
</t>
    </r>
    <r>
      <rPr>
        <sz val="14"/>
        <color rgb="FF000000"/>
        <rFont val="Times New Roman"/>
        <family val="1"/>
      </rPr>
      <t>2000001785 - Khôi Nguyên - 300mts -</t>
    </r>
    <r>
      <rPr>
        <sz val="14"/>
        <color rgb="FFFF0000"/>
        <rFont val="Times New Roman"/>
        <family val="1"/>
      </rPr>
      <t xml:space="preserve"> LỆNH OK
</t>
    </r>
    <r>
      <rPr>
        <sz val="14"/>
        <color rgb="FF000000"/>
        <rFont val="Times New Roman"/>
        <family val="1"/>
      </rPr>
      <t xml:space="preserve">2000001783,1789 - Thành Đạt - 400mts (Hàng hóa đã sx xong 250t chờ điền SO-MAP) + 150t SÁNG 18NK - </t>
    </r>
    <r>
      <rPr>
        <sz val="14"/>
        <color rgb="FFFF0000"/>
        <rFont val="Times New Roman"/>
        <family val="1"/>
      </rPr>
      <t xml:space="preserve">LỆNH OK
</t>
    </r>
    <r>
      <rPr>
        <sz val="14"/>
        <color rgb="FF000000"/>
        <rFont val="Times New Roman"/>
        <family val="1"/>
      </rPr>
      <t xml:space="preserve">2000001788- Trường Thành - 600mts (Hàng hóa đã sx xong chờ điền SO-MAP) - </t>
    </r>
    <r>
      <rPr>
        <sz val="14"/>
        <color rgb="FFFF0000"/>
        <rFont val="Times New Roman"/>
        <family val="1"/>
      </rPr>
      <t>LỆNH OK</t>
    </r>
  </si>
  <si>
    <t>16/06
Neo</t>
  </si>
  <si>
    <t>21h10 ngày 19/06
Bến 2</t>
  </si>
  <si>
    <t>2200001352 - THP (hàng Hóa đã sx chờ MAP)
2200001353 - THP đi hết
2200001350 - OTHY (hàng hóa ok) - cân tải</t>
  </si>
  <si>
    <t>13/06
Neo</t>
  </si>
  <si>
    <t xml:space="preserve">Ngày 23/6 phải xếp xong hàng ở DQ.
ETA Phú Mỹ tàu Xk 27/6 </t>
  </si>
  <si>
    <t>Thiên Lộc Thành/
Phú Mỹ</t>
  </si>
  <si>
    <t>2000001786 - Tây Nam - 2.500mts  - Thiên Lộc Thành - (Đã có 1k5 hàng tồn) + 400t Dự kiến 19 nhập kho - LỆNH OK - cân tải
1.800MTS - Đơn xuất khẩu EP Steel - chuyển hàng vào Phú Mỹ tàu ETA 26/06 (hàng hóa ok) - LỆNH OK
2400000096 (hàng hóa ok) 
2400000097 (hàng hóa ok)
2400000114  (hàng hóa ok)
2400000115   (hàng hóa ok)
2200000</t>
  </si>
  <si>
    <r>
      <rPr>
        <sz val="14"/>
        <color theme="1"/>
        <rFont val="Times New Roman"/>
        <family val="1"/>
      </rPr>
      <t>CÁC LỆNH XK ĐỀU CẦN NHÃN PHỤ
KHÔNG DÙNG HÀNG XK ĐỂ BE, XẾP HÀNG XK Ở GIỮA ĐỂ CHUYỂN TẢI</t>
    </r>
  </si>
  <si>
    <t>18/06
Neo</t>
  </si>
  <si>
    <t>2200001353 - THP - 2.600mts cân tải
2200001350 - OTHY (hàng hóa ok)</t>
  </si>
  <si>
    <t xml:space="preserve">MV.Trawind Wisdom V-2314 </t>
  </si>
  <si>
    <t>21.06.2023</t>
  </si>
  <si>
    <t>Hoyer</t>
  </si>
  <si>
    <t>4h00 22/06 BẾN 6</t>
  </si>
  <si>
    <r>
      <rPr>
        <sz val="11"/>
        <color rgb="FF000000"/>
        <rFont val="Calibri"/>
        <family val="2"/>
      </rPr>
      <t xml:space="preserve">2400000106 - Hanwa 200mt  (hàng hóa ok)
2400000107 - Canova   (hàng hóa ok)
2400000108 - Hachita   (hàng hóa ok)
</t>
    </r>
    <r>
      <rPr>
        <sz val="14"/>
        <color rgb="FFFF0000"/>
        <rFont val="Times New Roman"/>
        <family val="1"/>
      </rPr>
      <t xml:space="preserve">2400000109 - JFE   (hàng hóa ok) - XUẤT TRƯỚC (XẾP DƯỚI CÙNG)
</t>
    </r>
    <r>
      <rPr>
        <sz val="14"/>
        <color rgb="FF000000"/>
        <rFont val="Times New Roman"/>
        <family val="1"/>
      </rPr>
      <t xml:space="preserve">2400000116 - GS - Wan Hong (XK) 36 T06	(hàng hóa ok)
2400000117 - GS - Chuan Huat (XK) 37 T06 (hàng hóa ok)	
2400000118 - GS - Winzu (XK) 56 T06	(hàng hóa ok)
2400000120 - GS - Leon (XK) 38 T06	 (hàng hóa ok)
2400000122 - GS - PT (XK) 39 T06	(hàng hóa ok)
2400000124 - GS - PE (XK) 40 T06	(hàng hóa ok)
</t>
    </r>
    <r>
      <rPr>
        <b/>
        <sz val="14"/>
        <color rgb="FF000000"/>
        <rFont val="Times New Roman"/>
        <family val="1"/>
      </rPr>
      <t xml:space="preserve">2400000121 - GS - Leon (XK) 38 T06	 (hàng hóa ok)
</t>
    </r>
    <r>
      <rPr>
        <sz val="14"/>
        <color rgb="FF000000"/>
        <rFont val="Times New Roman"/>
        <family val="1"/>
      </rPr>
      <t xml:space="preserve">2400000123 - GS - PT (XK) 39 T06	(hàng hóa ok)
</t>
    </r>
    <r>
      <rPr>
        <b/>
        <sz val="14"/>
        <color rgb="FF000000"/>
        <rFont val="Times New Roman"/>
        <family val="1"/>
      </rPr>
      <t xml:space="preserve">2400000119 - GS - Winzu (XK) 56 T06  (hàng hóa ok)
</t>
    </r>
    <r>
      <rPr>
        <sz val="14"/>
        <color rgb="FF000000"/>
        <rFont val="Times New Roman"/>
        <family val="1"/>
      </rPr>
      <t xml:space="preserve">2400000125 - GS - Wan Hong (XK) 36 T06	 (hàng hóa ok)
2400000126 - GS - Wan Hong (XK) 36 T06	 (hàng hóa ok)
</t>
    </r>
    <r>
      <rPr>
        <sz val="14"/>
        <color rgb="FFFF0000"/>
        <rFont val="Times New Roman"/>
        <family val="1"/>
      </rPr>
      <t>2400000127 - NIPPON (hàng hóa ok) - XUẤT TRƯỚC (XẾP DƯỚI CÙNG)
2400000128 - NIPPON  (hàng hóa ok) - XUẤT TRƯỚC (XẾP DƯỚI CÙNG)</t>
    </r>
  </si>
  <si>
    <t>TẤT CẢ CÁC LỆNH CẦN NHÃN PHỤ</t>
  </si>
  <si>
    <t>PUERTO ROSARIO</t>
  </si>
  <si>
    <t>2h30 22/06 BẾN 6/11</t>
  </si>
  <si>
    <t>Altamira, Mexico</t>
  </si>
  <si>
    <r>
      <rPr>
        <b/>
        <sz val="14"/>
        <color rgb="FF000000"/>
        <rFont val="Times New Roman"/>
        <family val="1"/>
      </rPr>
      <t xml:space="preserve">2400000102  (Hàng hóa ok) Hyundai
2400000104 (Hàng hóa ok) Hyumdai
</t>
    </r>
    <r>
      <rPr>
        <sz val="14"/>
        <color rgb="FF000000"/>
        <rFont val="Times New Roman"/>
        <family val="1"/>
      </rPr>
      <t xml:space="preserve">2400000098  (Hàng hóa ok) ATV
2400000110 (Đã MAP 432T + 50 ngày 22 sx 24 NK) ATV
</t>
    </r>
    <r>
      <rPr>
        <b/>
        <sz val="14"/>
        <color rgb="FF000000"/>
        <rFont val="Times New Roman"/>
        <family val="1"/>
      </rPr>
      <t xml:space="preserve">2400000105  (Hàng hóa ok) POSCO
2400000111  (Hàng hóa ok) ATV
</t>
    </r>
    <r>
      <rPr>
        <sz val="14"/>
        <color rgb="FF000000"/>
        <rFont val="Times New Roman"/>
        <family val="1"/>
      </rPr>
      <t>2400000103 (Đã MAP 276T + 400 ngày 22 sx 24 NK) Hyundai</t>
    </r>
  </si>
  <si>
    <t>14h 23/06</t>
  </si>
  <si>
    <t>25/06 Bến 2</t>
  </si>
  <si>
    <r>
      <rPr>
        <sz val="14"/>
        <color rgb="FF000000"/>
        <rFont val="Times New Roman"/>
        <family val="1"/>
      </rPr>
      <t xml:space="preserve">2200001355 OTHY </t>
    </r>
    <r>
      <rPr>
        <b/>
        <sz val="14"/>
        <color rgb="FF000000"/>
        <rFont val="Times New Roman"/>
        <family val="1"/>
      </rPr>
      <t>(Hàng hóa ok)</t>
    </r>
  </si>
  <si>
    <t>23h 26/6</t>
  </si>
  <si>
    <t>06:00 ngày 27/06
Bến 2</t>
  </si>
  <si>
    <t>Thiên Lộc Thành/
Tân Thuận</t>
  </si>
  <si>
    <t>2000001794 - VTS (tây nam) - 2.500mts - Thiên Lộc Thành - lệnh ok (Dự kiến 22 NK)
2000001777 - VNO - 500mts (hàng hóa ok) - Thiên Lộc Thành - Lệnh ok
2000001782 - Kỳ Đồng - 910mts - Tân Thuận - lệnh ok  (Hàng hóa ok)</t>
  </si>
  <si>
    <t>Dỡ Tân Thuận trước</t>
  </si>
  <si>
    <t>EQUINOX SEAS</t>
  </si>
  <si>
    <t>24.06.2023</t>
  </si>
  <si>
    <t>16h00 22/06 BẾN 5</t>
  </si>
  <si>
    <t>Marcegaglia's port
Ravenna, Italy</t>
  </si>
  <si>
    <r>
      <rPr>
        <sz val="14"/>
        <color rgb="FF000000"/>
        <rFont val="Times New Roman"/>
        <family val="1"/>
      </rPr>
      <t xml:space="preserve">2400000095 - Marce (Hàng hóa ok)
2400000129 - Marce S235JR (Hàng hóa ok) - </t>
    </r>
    <r>
      <rPr>
        <sz val="14"/>
        <color rgb="FFFF0000"/>
        <rFont val="Times New Roman"/>
        <family val="1"/>
      </rPr>
      <t>Cần CE MARKING</t>
    </r>
  </si>
  <si>
    <t>LOADING RATE: 6000MT/DAY
1 lệnh cần nhãn phụ</t>
  </si>
  <si>
    <t>27/06</t>
  </si>
  <si>
    <t>21h00 27/06 Bến 2</t>
  </si>
  <si>
    <t>2000001797 - HOA SEN</t>
  </si>
  <si>
    <t>22/06</t>
  </si>
  <si>
    <t>17:50 ngày 26/06
Bến 5/10</t>
  </si>
  <si>
    <t>CHỐT LƯỢNG THÁNG 6</t>
  </si>
  <si>
    <t>2000001790 - Nam Kim - 11.000mts (Dự kiến 7k9  chiều 25NK) + 3K1 khổ nhỏ dự kiến 30 NK  - Lệnh ok 
2000001799 - TĐA - 1.000mts  - Tân Thuận (Hàng 2.20x1264) - Lệnh ok
2000001799 - TĐA - 2.000mts - Phú Mỹ (Hàng 2.00x1217)  (Hàng hóa chờ MAP 1K4 + 600T sx xong chiều 26 NK) - đi Phú Mỹ dỡ hàng trước =&gt; lên sau cùng - Lệnh ok</t>
  </si>
  <si>
    <t>CHO ĐI HẾT SẠCH HÀNG CỦA TĐA., NAM KIM CÂN TẢI</t>
  </si>
  <si>
    <t>28/6</t>
  </si>
  <si>
    <t>23h30 ngày 28/06
Bến 3</t>
  </si>
  <si>
    <t>Đang Làm hàng / CHỐT LƯỢNG THÁNG 6</t>
  </si>
  <si>
    <t>2000001795 - SMCCK - 2.800mts (Hàng hóa ok) - Lệnh ok
2000001799 - TĐA (Hàng 2.00x1217) - cân tải - Lệnh ok</t>
  </si>
  <si>
    <t>14h00 29/06</t>
  </si>
  <si>
    <r>
      <rPr>
        <sz val="14"/>
        <color rgb="FFFF0000"/>
        <rFont val="Times New Roman"/>
        <family val="1"/>
      </rPr>
      <t xml:space="preserve">Tàu này 29/6 về thì cho KH vào làm luôn nhé
</t>
    </r>
    <r>
      <rPr>
        <sz val="14"/>
        <color rgb="FF000000"/>
        <rFont val="Times New Roman"/>
        <family val="1"/>
      </rPr>
      <t>29/06 Bến 5</t>
    </r>
  </si>
  <si>
    <t>Đang làm hàng / CHỐT LƯỢNG THÁNG 6</t>
  </si>
  <si>
    <t>2000001793 - Tấn Phát 1000mt - hàng &amp; lệnh ok  (Hàng hóa ok)
2200001350 - OTHY 2600T  (Hàng hóa ok)
2200001355 - OTHY 70T   (Hàng hóa ok)
2200001363 - OTHY 1570T (Đã có hàng chờ MAP)
2200001360 - OTHY 480T (Đã có hàng chờ MAP)
2200001352 - THP 630T
2200001366 - OTHY cân tải</t>
  </si>
  <si>
    <t>29/06
Dỡ đá xong</t>
  </si>
  <si>
    <t>29/06 Bến 1</t>
  </si>
  <si>
    <r>
      <rPr>
        <sz val="14"/>
        <color rgb="FF000000"/>
        <rFont val="Times New Roman"/>
        <family val="1"/>
      </rPr>
      <t>2000001804 - TĐA - 3.000 mts - Phú Mỹ -</t>
    </r>
    <r>
      <rPr>
        <sz val="14"/>
        <color rgb="FFFF0000"/>
        <rFont val="Times New Roman"/>
        <family val="1"/>
      </rPr>
      <t xml:space="preserve"> (Hàng hóa ok) - ra hóa đơn tháng 7 
</t>
    </r>
    <r>
      <rPr>
        <sz val="14"/>
        <color rgb="FF000000"/>
        <rFont val="Times New Roman"/>
        <family val="1"/>
      </rPr>
      <t>2000001803 - PVX - 1.000mts - Phú Mỹ - Lệnh ok  (Hàng hóa ok)</t>
    </r>
  </si>
  <si>
    <t>Hủy tàu</t>
  </si>
  <si>
    <t>XUẤT HÀNG ĐỦ DUNG SAI LỆNH XUẤT, THỪA TẢI TÀU MỚI XUẤT HẾT MAPPING DƯƠNG</t>
  </si>
  <si>
    <t>TỔNG DỰ KIẾN</t>
  </si>
  <si>
    <t>ETA 
DUNG QUẤT</t>
  </si>
  <si>
    <t>ETB 
DUNG QUẤT</t>
  </si>
  <si>
    <t>MINH CẨN 268</t>
  </si>
  <si>
    <t>02-03.11.2024
Dỡ đá -&gt; nhận HRC</t>
  </si>
  <si>
    <t>03/11 bến 3</t>
  </si>
  <si>
    <r>
      <rPr>
        <sz val="14"/>
        <color rgb="FF000000"/>
        <rFont val="Times New Roman"/>
        <family val="1"/>
      </rPr>
      <t xml:space="preserve">2200001767 - 1767.T10/2024/HPDQ-OTBD - 3,442,070 KG </t>
    </r>
    <r>
      <rPr>
        <sz val="14"/>
        <color rgb="FF7030A0"/>
        <rFont val="Times New Roman"/>
        <family val="1"/>
      </rPr>
      <t>Hàng hoá ok hàng spot</t>
    </r>
  </si>
  <si>
    <t>TRƯỜNG THÀNH 16</t>
  </si>
  <si>
    <t>01.11.2024
NEO</t>
  </si>
  <si>
    <t>19H00 04/11 Bến 3</t>
  </si>
  <si>
    <r>
      <rPr>
        <sz val="14"/>
        <color rgb="FF000000"/>
        <rFont val="Times New Roman"/>
        <family val="1"/>
      </rPr>
      <t xml:space="preserve">2200001768 - 1768.T10/2024/HPDQ-OTHY - 491,842 KG      Hàng hóa ok
2200001769 - 1769.T10/2024/HPDQ-OTHY - 2,181,728 KG     Hàng hóa ok
2200001765 - 1765.T10/2024/HPDQ-THP - 3,289,532 KG       Hàng hóa ok - </t>
    </r>
    <r>
      <rPr>
        <sz val="14"/>
        <color rgb="FFFF0000"/>
        <rFont val="Times New Roman"/>
        <family val="1"/>
      </rPr>
      <t xml:space="preserve">CÂN TẢI TÀU NÀY CÒN LẠI XUẤT LÊN HPS01
</t>
    </r>
    <r>
      <rPr>
        <sz val="14"/>
        <color rgb="FF000000"/>
        <rFont val="Times New Roman"/>
        <family val="1"/>
      </rPr>
      <t xml:space="preserve">2200001742 - THP - 5.300T    </t>
    </r>
    <r>
      <rPr>
        <sz val="14"/>
        <color rgb="FF7030A0"/>
        <rFont val="Times New Roman"/>
        <family val="1"/>
      </rPr>
      <t>Đã map đủ 5300 tấn</t>
    </r>
  </si>
  <si>
    <t>VIỆT THUẬN 095-01</t>
  </si>
  <si>
    <t>03.11.2024
NEO</t>
  </si>
  <si>
    <t>Việt Thành</t>
  </si>
  <si>
    <t>18H 04/11 Bến 3/5</t>
  </si>
  <si>
    <r>
      <rPr>
        <sz val="14"/>
        <color rgb="FF000000"/>
        <rFont val="Times New Roman"/>
        <family val="1"/>
      </rPr>
      <t xml:space="preserve">2000002383 - Nam Kim 2.500T - Tân Thuận       </t>
    </r>
    <r>
      <rPr>
        <sz val="14"/>
        <color rgb="FF7030A0"/>
        <rFont val="Times New Roman"/>
        <family val="1"/>
      </rPr>
      <t xml:space="preserve">Hàng hoá ok 
</t>
    </r>
    <r>
      <rPr>
        <sz val="14"/>
        <color rgb="FF000000"/>
        <rFont val="Times New Roman"/>
        <family val="1"/>
      </rPr>
      <t xml:space="preserve">2000002384 - Nam Kim 1.825T - Tân Thuận        </t>
    </r>
    <r>
      <rPr>
        <sz val="14"/>
        <color rgb="FF7030A0"/>
        <rFont val="Times New Roman"/>
        <family val="1"/>
      </rPr>
      <t xml:space="preserve">Hàng hoá ok
</t>
    </r>
    <r>
      <rPr>
        <sz val="14"/>
        <color rgb="FF000000"/>
        <rFont val="Times New Roman"/>
        <family val="1"/>
      </rPr>
      <t xml:space="preserve">2000002386 - Nam Kim  800T - Tân Thuận </t>
    </r>
    <r>
      <rPr>
        <sz val="14"/>
        <color rgb="FF7030A0"/>
        <rFont val="Times New Roman"/>
        <family val="1"/>
      </rPr>
      <t xml:space="preserve">      Hàng hoá ok    (Lệnh Nam Kim ok)
</t>
    </r>
    <r>
      <rPr>
        <sz val="14"/>
        <color rgb="FF000000"/>
        <rFont val="Times New Roman"/>
        <family val="1"/>
      </rPr>
      <t xml:space="preserve">2000002409 - 198B.TĐA - 3.000T - Tân Thuận    </t>
    </r>
    <r>
      <rPr>
        <sz val="14"/>
        <color rgb="FF7030A0"/>
        <rFont val="Times New Roman"/>
        <family val="1"/>
      </rPr>
      <t xml:space="preserve">Hàng hoá ok
</t>
    </r>
    <r>
      <rPr>
        <sz val="14"/>
        <color rgb="FF000000"/>
        <rFont val="Times New Roman"/>
        <family val="1"/>
      </rPr>
      <t xml:space="preserve">2000002406 - HSPM - 800T - Phú Mỹ          </t>
    </r>
    <r>
      <rPr>
        <sz val="14"/>
        <color rgb="FF7030A0"/>
        <rFont val="Times New Roman"/>
        <family val="1"/>
      </rPr>
      <t>Hàng hoá ok</t>
    </r>
  </si>
  <si>
    <t>04.11.2024
Dỡ đá -&gt; nhận HRC</t>
  </si>
  <si>
    <t>05/11 Bến tàu lai</t>
  </si>
  <si>
    <r>
      <rPr>
        <sz val="14"/>
        <color rgb="FF000000"/>
        <rFont val="Times New Roman"/>
        <family val="1"/>
      </rPr>
      <t xml:space="preserve">2000002412 - 2.000T - TVN - Phú Mỹ - LSD 5/11 - lệnh ok -  </t>
    </r>
    <r>
      <rPr>
        <sz val="14"/>
        <color rgb="FF7030A0"/>
        <rFont val="Times New Roman"/>
        <family val="1"/>
      </rPr>
      <t xml:space="preserve">Hàng hóa ok
</t>
    </r>
    <r>
      <rPr>
        <sz val="14"/>
        <color rgb="FF000000"/>
        <rFont val="Times New Roman"/>
        <family val="1"/>
      </rPr>
      <t xml:space="preserve">2000002413  - 250TAN- 188.T09.2024/HPDQ-THEONE -  Phú Mỹ      </t>
    </r>
    <r>
      <rPr>
        <sz val="14"/>
        <color rgb="FF7030A0"/>
        <rFont val="Times New Roman"/>
        <family val="1"/>
      </rPr>
      <t xml:space="preserve">Hàng hoá ok
</t>
    </r>
    <r>
      <rPr>
        <sz val="14"/>
        <color rgb="FF000000"/>
        <rFont val="Times New Roman"/>
        <family val="1"/>
      </rPr>
      <t xml:space="preserve">2000002414 - 150TAN - 217.T10.2024/HPDQ-THEONE - Phú Mỹ       </t>
    </r>
    <r>
      <rPr>
        <sz val="14"/>
        <color rgb="FF7030A0"/>
        <rFont val="Times New Roman"/>
        <family val="1"/>
      </rPr>
      <t xml:space="preserve">Hàng hoá ok
</t>
    </r>
    <r>
      <rPr>
        <sz val="14"/>
        <color rgb="FF000000"/>
        <rFont val="Times New Roman"/>
        <family val="1"/>
      </rPr>
      <t xml:space="preserve">2000002385 - Nam Kim 1.500T - Tân Thuận             </t>
    </r>
    <r>
      <rPr>
        <sz val="14"/>
        <color rgb="FF7030A0"/>
        <rFont val="Times New Roman"/>
        <family val="1"/>
      </rPr>
      <t xml:space="preserve">Hàng hoá ok Lệnh ok
</t>
    </r>
    <r>
      <rPr>
        <sz val="14"/>
        <color rgb="FFFF0000"/>
        <rFont val="Times New Roman"/>
        <family val="1"/>
      </rPr>
      <t>Dỡ Phú Mỹ -&gt; Tân Thuận</t>
    </r>
  </si>
  <si>
    <t>06.11.2024
NEO</t>
  </si>
  <si>
    <t>12h00 Bến 2</t>
  </si>
  <si>
    <r>
      <rPr>
        <sz val="14"/>
        <color rgb="FF000000"/>
        <rFont val="Times New Roman"/>
        <family val="1"/>
      </rPr>
      <t xml:space="preserve">2200001771 - 1771.T11/2024/HPDQ-THP - 4.000TAN </t>
    </r>
    <r>
      <rPr>
        <sz val="14"/>
        <color rgb="FF7030A0"/>
        <rFont val="Times New Roman"/>
        <family val="1"/>
      </rPr>
      <t>Hàng hoá ok hàng spot</t>
    </r>
  </si>
  <si>
    <t>HOÀNG SA 558
(thay cho MT Hà Nội 39)</t>
  </si>
  <si>
    <t>07.11.2024
Dỡ đá -&gt; nhận HRC</t>
  </si>
  <si>
    <t>07/11 Bến tàu lai</t>
  </si>
  <si>
    <r>
      <rPr>
        <sz val="14"/>
        <color rgb="FF000000"/>
        <rFont val="Times New Roman"/>
        <family val="1"/>
      </rPr>
      <t xml:space="preserve">2000002415 - KKNH - 2.000 T - Cẩm Nguyên - lệnh ok   </t>
    </r>
    <r>
      <rPr>
        <sz val="14"/>
        <color rgb="FF7030A0"/>
        <rFont val="Times New Roman"/>
        <family val="1"/>
      </rPr>
      <t xml:space="preserve">Hàng hóa ok
</t>
    </r>
    <r>
      <rPr>
        <sz val="14"/>
        <color rgb="FF000000"/>
        <rFont val="Times New Roman"/>
        <family val="1"/>
      </rPr>
      <t xml:space="preserve">2000002418 - 95A3 HWA (VNO)- 1.050T - Cẩm Nguyên (dự kiến 05/11 có lệnh) </t>
    </r>
    <r>
      <rPr>
        <sz val="14"/>
        <color rgb="FF7030A0"/>
        <rFont val="Times New Roman"/>
        <family val="1"/>
      </rPr>
      <t>hàng hoá ok
Ghép thép XD - cân tải</t>
    </r>
  </si>
  <si>
    <t>HPS 01</t>
  </si>
  <si>
    <t>06.11.2024</t>
  </si>
  <si>
    <t>HPS</t>
  </si>
  <si>
    <t>22h00 06/11 bến 3/5</t>
  </si>
  <si>
    <r>
      <rPr>
        <sz val="14"/>
        <color rgb="FF000000"/>
        <rFont val="Times New Roman"/>
        <family val="1"/>
      </rPr>
      <t xml:space="preserve">(Bỏ lệnh 22*1771 - THP không xuất trên tàu này nữa -&gt; chuyển sang Phương Nam 46)
2200001772 - 1772.T11/2024/HPDQ-NMCN - 4646TAN </t>
    </r>
    <r>
      <rPr>
        <sz val="14"/>
        <color rgb="FF7030A0"/>
        <rFont val="Times New Roman"/>
        <family val="1"/>
      </rPr>
      <t xml:space="preserve">Hàng hoá ok hàng spot
</t>
    </r>
    <r>
      <rPr>
        <sz val="14"/>
        <color rgb="FF000000"/>
        <rFont val="Times New Roman"/>
        <family val="1"/>
      </rPr>
      <t xml:space="preserve">2200001773 - 1773.T11/2024/HPDQ-OTHY - 94TAN </t>
    </r>
    <r>
      <rPr>
        <sz val="14"/>
        <color rgb="FF7030A0"/>
        <rFont val="Times New Roman"/>
        <family val="1"/>
      </rPr>
      <t xml:space="preserve">Hàng hoá ok hàng spot
</t>
    </r>
    <r>
      <rPr>
        <sz val="14"/>
        <color rgb="FF000000"/>
        <rFont val="Times New Roman"/>
        <family val="1"/>
      </rPr>
      <t xml:space="preserve">2200001774 - 1774.T11/2024/HPDQ-OTHY - 6719TAN </t>
    </r>
    <r>
      <rPr>
        <sz val="14"/>
        <color rgb="FF7030A0"/>
        <rFont val="Times New Roman"/>
        <family val="1"/>
      </rPr>
      <t>Hàng hoá ok hàng spot (thiếu 9 cuộn ok)
2200001765 - 1765.T10/2024/HPDQ-THP   Hàng hóa ok -</t>
    </r>
    <r>
      <rPr>
        <sz val="14"/>
        <color rgb="FFFF0000"/>
        <rFont val="Times New Roman"/>
        <family val="1"/>
      </rPr>
      <t xml:space="preserve"> CÂN TẢI TÀU TRƯỜNG THÀNH 16 CÒN LẠI XUẤT LÊN TÀU NÀY
</t>
    </r>
    <r>
      <rPr>
        <sz val="14"/>
        <color rgb="FF000000"/>
        <rFont val="Times New Roman"/>
        <family val="1"/>
      </rPr>
      <t xml:space="preserve">2000002402 + 2000002403 HSNS - 11.600T  </t>
    </r>
    <r>
      <rPr>
        <sz val="14"/>
        <color rgb="FF7030A0"/>
        <rFont val="Times New Roman"/>
        <family val="1"/>
      </rPr>
      <t xml:space="preserve">Hàng hoá ok  - Nghi Sơn
</t>
    </r>
    <r>
      <rPr>
        <sz val="14"/>
        <color rgb="FFFF0000"/>
        <rFont val="Times New Roman"/>
        <family val="1"/>
      </rPr>
      <t>Dỡ Nghi Sơn -&gt; Hải Phòng</t>
    </r>
  </si>
  <si>
    <t>Glory Forwarder</t>
  </si>
  <si>
    <t>07.11.2024</t>
  </si>
  <si>
    <t>Hansen</t>
  </si>
  <si>
    <t>18h00 07/11 Bến 3</t>
  </si>
  <si>
    <t>Dung Quat</t>
  </si>
  <si>
    <r>
      <rPr>
        <sz val="14"/>
        <color rgb="FF000000"/>
        <rFont val="Times New Roman"/>
        <family val="1"/>
      </rPr>
      <t xml:space="preserve">2400000938 - 208.T10-24/HPDQ-MI  (LOT 1)- LINH </t>
    </r>
    <r>
      <rPr>
        <sz val="14"/>
        <color rgb="FF7030A0"/>
        <rFont val="Times New Roman"/>
        <family val="1"/>
      </rPr>
      <t xml:space="preserve">Hàng hoá ok
</t>
    </r>
    <r>
      <rPr>
        <sz val="14"/>
        <color rgb="FF000000"/>
        <rFont val="Times New Roman"/>
        <family val="1"/>
      </rPr>
      <t xml:space="preserve">2400000936 - 208.T10-24/HPDQ-MI  (LOT 2)- LINH </t>
    </r>
    <r>
      <rPr>
        <sz val="14"/>
        <color rgb="FF7030A0"/>
        <rFont val="Times New Roman"/>
        <family val="1"/>
      </rPr>
      <t>Hàng hoá ok</t>
    </r>
  </si>
  <si>
    <t>MINH PHÚC 88</t>
  </si>
  <si>
    <t>09.11.2024</t>
  </si>
  <si>
    <t>23h00 09/11 Bến 5</t>
  </si>
  <si>
    <r>
      <rPr>
        <sz val="14"/>
        <color rgb="FF000000"/>
        <rFont val="Times New Roman"/>
        <family val="1"/>
      </rPr>
      <t xml:space="preserve">2000002386 - Nam Kim 3.500T  </t>
    </r>
    <r>
      <rPr>
        <sz val="14"/>
        <color rgb="FF7030A0"/>
        <rFont val="Times New Roman"/>
        <family val="1"/>
      </rPr>
      <t>Hàng hoá ok    LSD 10/11 lệnh ok</t>
    </r>
  </si>
  <si>
    <t>BINH NGUYEN 289</t>
  </si>
  <si>
    <t>Thái Sơn/ OPL</t>
  </si>
  <si>
    <t>09/11 Bến 3</t>
  </si>
  <si>
    <t>Map ta phut, Thailand</t>
  </si>
  <si>
    <r>
      <rPr>
        <sz val="14"/>
        <color rgb="FF000000"/>
        <rFont val="Times New Roman"/>
        <family val="1"/>
      </rPr>
      <t xml:space="preserve">2400000941 - 223.T11-24/HPDQ-SS - HẰNG/HÀ </t>
    </r>
    <r>
      <rPr>
        <sz val="14"/>
        <color rgb="FF7030A0"/>
        <rFont val="Times New Roman"/>
        <family val="1"/>
      </rPr>
      <t>Hàng hóa ok</t>
    </r>
  </si>
  <si>
    <t>NAM PHÁT 18</t>
  </si>
  <si>
    <t>09.11.2024
NEO</t>
  </si>
  <si>
    <t>11/11 Bến 1</t>
  </si>
  <si>
    <r>
      <rPr>
        <sz val="14"/>
        <color rgb="FF000000"/>
        <rFont val="Times New Roman"/>
        <family val="1"/>
      </rPr>
      <t xml:space="preserve">2000002426 - 507T hàng baby coils - Xuất hết lô hàng này </t>
    </r>
    <r>
      <rPr>
        <sz val="14"/>
        <color rgb="FF7030A0"/>
        <rFont val="Times New Roman"/>
        <family val="1"/>
      </rPr>
      <t>Hàng hoá ok
11/11 mới có lệnh</t>
    </r>
  </si>
  <si>
    <t>MT HÀ NỘI 39
thay cho Phương Nam 46</t>
  </si>
  <si>
    <t>10.11.2024
NEO</t>
  </si>
  <si>
    <t>14h00 12/11 Bến 2</t>
  </si>
  <si>
    <r>
      <rPr>
        <sz val="14"/>
        <color rgb="FF000000"/>
        <rFont val="Times New Roman"/>
        <family val="1"/>
      </rPr>
      <t xml:space="preserve">2200001771 - 1771.T11/2024/HPDQ-THP - 319TAN </t>
    </r>
    <r>
      <rPr>
        <sz val="14"/>
        <color rgb="FF7030A0"/>
        <rFont val="Times New Roman"/>
        <family val="1"/>
      </rPr>
      <t xml:space="preserve">Hàng hoá ok hàng spot
</t>
    </r>
    <r>
      <rPr>
        <sz val="14"/>
        <color rgb="FF000000"/>
        <rFont val="Times New Roman"/>
        <family val="1"/>
      </rPr>
      <t xml:space="preserve">2200001742 - THP hàng sản xuất - 3.600T            </t>
    </r>
    <r>
      <rPr>
        <sz val="14"/>
        <color rgb="FF7030A0"/>
        <rFont val="Times New Roman"/>
        <family val="1"/>
      </rPr>
      <t xml:space="preserve">Hàng hóa ok
</t>
    </r>
    <r>
      <rPr>
        <sz val="14"/>
        <color rgb="FF000000"/>
        <rFont val="Times New Roman"/>
        <family val="1"/>
      </rPr>
      <t xml:space="preserve">2000002427 - NSTV đơn 195 - 200T                     </t>
    </r>
    <r>
      <rPr>
        <sz val="14"/>
        <color rgb="FF7030A0"/>
        <rFont val="Times New Roman"/>
        <family val="1"/>
      </rPr>
      <t xml:space="preserve">Hàng hoá ok
</t>
    </r>
    <r>
      <rPr>
        <sz val="14"/>
        <color rgb="FF000000"/>
        <rFont val="Times New Roman"/>
        <family val="1"/>
      </rPr>
      <t xml:space="preserve">2000002405 - Phú Nam - 150T  (LSD 15/11)        DK 13/11 NK - LỆNH NÀY NM ĐANG CHECK LẠI XEM XUẤT ĐƯỢC KHÔNG ĐÃ. NẾU KHÔNG XUẤT ĐƯỢC THÌ LẤY LỆNH 22*1742 CÂN TẢI TÀU </t>
    </r>
    <r>
      <rPr>
        <sz val="14"/>
        <color rgb="FFFF0000"/>
        <rFont val="Times New Roman"/>
        <family val="1"/>
      </rPr>
      <t>=&gt; CHỐT KHÔNG XUẤT LỆNH NÀY TRÊN TÀU NÀY NỮA</t>
    </r>
  </si>
  <si>
    <t>13.11.2024
NEO</t>
  </si>
  <si>
    <t>8h00 13/11 Bến 5</t>
  </si>
  <si>
    <r>
      <rPr>
        <sz val="14"/>
        <color rgb="FF000000"/>
        <rFont val="Times New Roman"/>
        <family val="1"/>
      </rPr>
      <t xml:space="preserve">2200001742 - THP  5.400T    </t>
    </r>
    <r>
      <rPr>
        <sz val="14"/>
        <color rgb="FF7030A0"/>
        <rFont val="Times New Roman"/>
        <family val="1"/>
      </rPr>
      <t>Hàng hoá ok</t>
    </r>
    <r>
      <rPr>
        <sz val="14"/>
        <color rgb="FFFF0000"/>
        <rFont val="Times New Roman"/>
        <family val="1"/>
      </rPr>
      <t xml:space="preserve"> - CÂN TẢI TÀU MT HÀ NỘI 39, CÒN BAO NHIÊU XUẤT HẾT LÊN TÀU NÀY
</t>
    </r>
    <r>
      <rPr>
        <sz val="14"/>
        <color rgb="FF000000"/>
        <rFont val="Times New Roman"/>
        <family val="1"/>
      </rPr>
      <t xml:space="preserve">2200001777 - 1777.T11/2024/HPDQ-NMCN -  1,055TAN </t>
    </r>
    <r>
      <rPr>
        <sz val="14"/>
        <color rgb="FF7030A0"/>
        <rFont val="Times New Roman"/>
        <family val="1"/>
      </rPr>
      <t xml:space="preserve">Hàng hoá ok
</t>
    </r>
    <r>
      <rPr>
        <sz val="14"/>
        <color rgb="FF000000"/>
        <rFont val="Times New Roman"/>
        <family val="1"/>
      </rPr>
      <t xml:space="preserve">2200001778 - 1778.T11/2024/HPDQ-THP -  1,291TAN </t>
    </r>
    <r>
      <rPr>
        <sz val="14"/>
        <color rgb="FF7030A0"/>
        <rFont val="Times New Roman"/>
        <family val="1"/>
      </rPr>
      <t xml:space="preserve">Hàng hoá ok
</t>
    </r>
    <r>
      <rPr>
        <sz val="14"/>
        <color rgb="FF000000"/>
        <rFont val="Times New Roman"/>
        <family val="1"/>
      </rPr>
      <t>2200001779 - 1779.T11/2024/HPDQ-OTHY -  2,607TAN</t>
    </r>
    <r>
      <rPr>
        <sz val="14"/>
        <color rgb="FFFF0000"/>
        <rFont val="Times New Roman"/>
        <family val="1"/>
      </rPr>
      <t xml:space="preserve"> - cân tải</t>
    </r>
  </si>
  <si>
    <t>22*1779 hết hàng không map thêm</t>
  </si>
  <si>
    <t>GLORY CHALLENGER</t>
  </si>
  <si>
    <t>13.11.2024</t>
  </si>
  <si>
    <t>9h00 13/11 Bến 3/5</t>
  </si>
  <si>
    <t>Cigading, Indonesia</t>
  </si>
  <si>
    <r>
      <rPr>
        <sz val="14"/>
        <color rgb="FF000000"/>
        <rFont val="Times New Roman"/>
        <family val="1"/>
      </rPr>
      <t xml:space="preserve">2400000928 - LOT 1 SPHC - 213.T10-24/HPDQ-SI - HÀ/HẰNG </t>
    </r>
    <r>
      <rPr>
        <sz val="14"/>
        <color rgb="FF7030A0"/>
        <rFont val="Times New Roman"/>
        <family val="1"/>
      </rPr>
      <t xml:space="preserve">Hàng hoá ok
</t>
    </r>
    <r>
      <rPr>
        <sz val="14"/>
        <color rgb="FF000000"/>
        <rFont val="Times New Roman"/>
        <family val="1"/>
      </rPr>
      <t xml:space="preserve">2400000946 - LOT 2 SAE1006 -213.T10-24/HPDQ-SI - HÀ/HẰNG - </t>
    </r>
    <r>
      <rPr>
        <sz val="14"/>
        <color rgb="FF7030A0"/>
        <rFont val="Times New Roman"/>
        <family val="1"/>
      </rPr>
      <t xml:space="preserve">Hàng hoá ok
</t>
    </r>
    <r>
      <rPr>
        <sz val="14"/>
        <color rgb="FF000000"/>
        <rFont val="Times New Roman"/>
        <family val="1"/>
      </rPr>
      <t xml:space="preserve">2400000930 - LOT 3 SAE1006 - 213.T10-24/HPDQ-SI - HÀ/HẰNG - </t>
    </r>
    <r>
      <rPr>
        <sz val="14"/>
        <color rgb="FF7030A0"/>
        <rFont val="Times New Roman"/>
        <family val="1"/>
      </rPr>
      <t>Hàng hoá ok</t>
    </r>
  </si>
  <si>
    <t>Không map thêm</t>
  </si>
  <si>
    <t>20h 13/11 Bến 2</t>
  </si>
  <si>
    <r>
      <rPr>
        <sz val="14"/>
        <color rgb="FF000000"/>
        <rFont val="Times New Roman"/>
        <family val="1"/>
      </rPr>
      <t xml:space="preserve">2000002430/2000002431 - SMC - 1000T - LSD 30/11 - Phú Mỹ  </t>
    </r>
    <r>
      <rPr>
        <sz val="14"/>
        <color rgb="FF7030A0"/>
        <rFont val="Times New Roman"/>
        <family val="1"/>
      </rPr>
      <t xml:space="preserve"> Hàng hóa ok lệnh ok
</t>
    </r>
    <r>
      <rPr>
        <sz val="14"/>
        <color rgb="FF000000"/>
        <rFont val="Times New Roman"/>
        <family val="1"/>
      </rPr>
      <t xml:space="preserve">2200001776 - 1776.T11/2024/HPDQ-OTBD 1.200T - Long Bình </t>
    </r>
    <r>
      <rPr>
        <sz val="14"/>
        <color rgb="FF7030A0"/>
        <rFont val="Times New Roman"/>
        <family val="1"/>
      </rPr>
      <t xml:space="preserve">Hàng hoá ok hàng spot
</t>
    </r>
    <r>
      <rPr>
        <sz val="14"/>
        <color rgb="FF000000"/>
        <rFont val="Times New Roman"/>
        <family val="1"/>
      </rPr>
      <t>Ghép thép XD - cân tải</t>
    </r>
  </si>
  <si>
    <t>20*2430 và 20*2431 size 3.95 chỉ đạt 75% SO - Đã báo P.KD ok</t>
  </si>
  <si>
    <t>VIET THUAN 095-02</t>
  </si>
  <si>
    <t>07-08.11.2024</t>
  </si>
  <si>
    <t>16h00 15/11 Bến 3</t>
  </si>
  <si>
    <t>Jakarta &amp; Semarang</t>
  </si>
  <si>
    <r>
      <rPr>
        <sz val="14"/>
        <color rgb="FFFF0000"/>
        <rFont val="Times New Roman"/>
        <family val="1"/>
      </rPr>
      <t xml:space="preserve">JAKARTA
</t>
    </r>
    <r>
      <rPr>
        <sz val="14"/>
        <color rgb="FF000000"/>
        <rFont val="Times New Roman"/>
        <family val="1"/>
      </rPr>
      <t xml:space="preserve">2400000953 - 222.T11-24/HPDQ-JFE - LINH - 2,500 MTS      </t>
    </r>
    <r>
      <rPr>
        <sz val="14"/>
        <color rgb="FF7030A0"/>
        <rFont val="Times New Roman"/>
        <family val="1"/>
      </rPr>
      <t xml:space="preserve">Hàng hoá ok
</t>
    </r>
    <r>
      <rPr>
        <sz val="14"/>
        <color rgb="FFFF0000"/>
        <rFont val="Times New Roman"/>
        <family val="1"/>
      </rPr>
      <t xml:space="preserve">SEMARANG 
</t>
    </r>
    <r>
      <rPr>
        <sz val="14"/>
        <color rgb="FF000000"/>
        <rFont val="Times New Roman"/>
        <family val="1"/>
      </rPr>
      <t xml:space="preserve">2400000961 - 2.8x1200 (-0.1) - LOT 1 - 221.T11-24/HPDQ-ARS - 3000 MT  </t>
    </r>
    <r>
      <rPr>
        <sz val="14"/>
        <color rgb="FF7030A0"/>
        <rFont val="Times New Roman"/>
        <family val="1"/>
      </rPr>
      <t xml:space="preserve">Hàng hóa ok
</t>
    </r>
    <r>
      <rPr>
        <sz val="14"/>
        <color rgb="FF000000"/>
        <rFont val="Times New Roman"/>
        <family val="1"/>
      </rPr>
      <t xml:space="preserve">2400000962 - 2.8x1200 - LOT 1 - 221.T11-24/HPDQ-ARS - 700 MT </t>
    </r>
    <r>
      <rPr>
        <sz val="14"/>
        <color rgb="FF7030A0"/>
        <rFont val="Times New Roman"/>
        <family val="1"/>
      </rPr>
      <t>Hàng hóa ok</t>
    </r>
  </si>
  <si>
    <t>HẢI DƯƠNG 88</t>
  </si>
  <si>
    <t>14.11.2024
NEO</t>
  </si>
  <si>
    <t>13h00 18/11 Bến 3</t>
  </si>
  <si>
    <r>
      <rPr>
        <sz val="14"/>
        <color rgb="FF000000"/>
        <rFont val="Times New Roman"/>
        <family val="1"/>
      </rPr>
      <t xml:space="preserve">2000002428 - HSNS - 4.000T  </t>
    </r>
    <r>
      <rPr>
        <sz val="14"/>
        <color rgb="FF7030A0"/>
        <rFont val="Times New Roman"/>
        <family val="1"/>
      </rPr>
      <t>Map 4100 tấn</t>
    </r>
  </si>
  <si>
    <t>HOÀNG SA 558</t>
  </si>
  <si>
    <t>18.11.2024
NEO</t>
  </si>
  <si>
    <t>20/11 Bến 1</t>
  </si>
  <si>
    <r>
      <rPr>
        <sz val="14"/>
        <color rgb="FF000000"/>
        <rFont val="Times New Roman"/>
        <family val="1"/>
      </rPr>
      <t xml:space="preserve">2000002416 - 95A1 VNO - 600MT (LSD: 30/11) - Cẩm Nguyên    </t>
    </r>
    <r>
      <rPr>
        <sz val="14"/>
        <color rgb="FF7030A0"/>
        <rFont val="Times New Roman"/>
        <family val="1"/>
      </rPr>
      <t xml:space="preserve">Hàng hoá ok  lệnh ok
</t>
    </r>
    <r>
      <rPr>
        <sz val="14"/>
        <color rgb="FF000000"/>
        <rFont val="Times New Roman"/>
        <family val="1"/>
      </rPr>
      <t xml:space="preserve">2000002417 - 95A2 MOV(VNO) - 1400T (LSD: 30/11)- Cẩm Nguyên </t>
    </r>
    <r>
      <rPr>
        <sz val="14"/>
        <color rgb="FF7030A0"/>
        <rFont val="Times New Roman"/>
        <family val="1"/>
      </rPr>
      <t xml:space="preserve">Hàng hoá ok </t>
    </r>
    <r>
      <rPr>
        <sz val="14"/>
        <color rgb="FFFF0000"/>
        <rFont val="Times New Roman"/>
        <family val="1"/>
      </rPr>
      <t xml:space="preserve"> duyệt lệnh - cân tải
</t>
    </r>
    <r>
      <rPr>
        <sz val="14"/>
        <color rgb="FF000000"/>
        <rFont val="Times New Roman"/>
        <family val="1"/>
      </rPr>
      <t xml:space="preserve">2000002420 - 95B VNO - 700T (LSD: 30/11)- Cẩm Nguyên  </t>
    </r>
    <r>
      <rPr>
        <sz val="14"/>
        <color rgb="FFFF0000"/>
        <rFont val="Times New Roman"/>
        <family val="1"/>
      </rPr>
      <t xml:space="preserve">     lệnh ok
</t>
    </r>
    <r>
      <rPr>
        <sz val="14"/>
        <color rgb="FF000000"/>
        <rFont val="Times New Roman"/>
        <family val="1"/>
      </rPr>
      <t xml:space="preserve">2000002421 - 95C VNO - 500T (LSD: 30/11)- Cẩm Nguyên  </t>
    </r>
    <r>
      <rPr>
        <sz val="14"/>
        <color rgb="FFFF0000"/>
        <rFont val="Times New Roman"/>
        <family val="1"/>
      </rPr>
      <t xml:space="preserve">    lệnh ok </t>
    </r>
  </si>
  <si>
    <t xml:space="preserve">
2000002420 - DK 20/11 SX - 25/11 NK (size 1.80 có skin, các size còn lại nk Đủ 21/11)
2000002421 - (21/11 sx size 1.96 có skin, size 2.40 bố trí sx 21-28/11)</t>
  </si>
  <si>
    <t>TRƯỜNG TÂM 68</t>
  </si>
  <si>
    <t>19/11 Bến C.TH</t>
  </si>
  <si>
    <r>
      <rPr>
        <sz val="14"/>
        <color rgb="FF000000"/>
        <rFont val="Times New Roman"/>
        <family val="1"/>
      </rPr>
      <t xml:space="preserve">2200001780 - 1780.T11/2024/HPDQ-THP-KH - 4.280T  </t>
    </r>
    <r>
      <rPr>
        <sz val="14"/>
        <color rgb="FF7030A0"/>
        <rFont val="Times New Roman"/>
        <family val="1"/>
      </rPr>
      <t>Hàng hóa ok</t>
    </r>
  </si>
  <si>
    <t>19.11.2024
NEO</t>
  </si>
  <si>
    <t>20/11 Bến 5</t>
  </si>
  <si>
    <r>
      <rPr>
        <sz val="14"/>
        <color rgb="FF000000"/>
        <rFont val="Times New Roman"/>
        <family val="1"/>
      </rPr>
      <t xml:space="preserve">2200001780 - 1780.T11/2024/HPDQ-THP-KH - 3.300T </t>
    </r>
    <r>
      <rPr>
        <sz val="14"/>
        <color rgb="FF7030A0"/>
        <rFont val="Times New Roman"/>
        <family val="1"/>
      </rPr>
      <t xml:space="preserve"> Hàng hóa ok</t>
    </r>
  </si>
  <si>
    <t>GLORY HONOR</t>
  </si>
  <si>
    <t>19.11.2024</t>
  </si>
  <si>
    <t>18h 19/11 Bến 3</t>
  </si>
  <si>
    <t>Kuching, Malaysia</t>
  </si>
  <si>
    <r>
      <rPr>
        <sz val="14"/>
        <color rgb="FF000000"/>
        <rFont val="Times New Roman"/>
        <family val="1"/>
      </rPr>
      <t xml:space="preserve">2400000942 - 230.T11-24/HPDQ-MI (Weida) </t>
    </r>
    <r>
      <rPr>
        <sz val="14"/>
        <color rgb="FF7030A0"/>
        <rFont val="Times New Roman"/>
        <family val="1"/>
      </rPr>
      <t>Hàng hoá ok</t>
    </r>
  </si>
  <si>
    <t>Có thể Map thêm hàng size 5.00 P.KD báo lại giúp (143t)</t>
  </si>
  <si>
    <t>22.11.2024
NEO</t>
  </si>
  <si>
    <t>14H00 22/11 Bến 2</t>
  </si>
  <si>
    <r>
      <rPr>
        <sz val="14"/>
        <color rgb="FF000000"/>
        <rFont val="Times New Roman"/>
        <family val="1"/>
      </rPr>
      <t xml:space="preserve">2000002428 - HSNS - 3.726T - </t>
    </r>
    <r>
      <rPr>
        <sz val="14"/>
        <color rgb="FF7030A0"/>
        <rFont val="Times New Roman"/>
        <family val="1"/>
      </rPr>
      <t>Hàng hoá ok</t>
    </r>
  </si>
  <si>
    <t>ship lần 1: 3k9
map thêm 6k3
luỹ kế: 10k/12k tấn</t>
  </si>
  <si>
    <t>KIRAN ASYA</t>
  </si>
  <si>
    <t>20.11.2024</t>
  </si>
  <si>
    <t>AN TM Maritime</t>
  </si>
  <si>
    <t>5H00 19/11 Bến 6</t>
  </si>
  <si>
    <r>
      <rPr>
        <sz val="14"/>
        <color rgb="FF000000"/>
        <rFont val="Times New Roman"/>
        <family val="1"/>
      </rPr>
      <t xml:space="preserve">2400000947 - 225.T11-24/HPDQ-DF (LOT 1) - GIANG  </t>
    </r>
    <r>
      <rPr>
        <sz val="14"/>
        <color rgb="FF7030A0"/>
        <rFont val="Times New Roman"/>
        <family val="1"/>
      </rPr>
      <t xml:space="preserve">Hàng hoá ok
</t>
    </r>
    <r>
      <rPr>
        <sz val="14"/>
        <color rgb="FF000000"/>
        <rFont val="Times New Roman"/>
        <family val="1"/>
      </rPr>
      <t xml:space="preserve">2400000948 - 225.T11-24/HPDQ-DF (LOT 2)                  </t>
    </r>
    <r>
      <rPr>
        <sz val="14"/>
        <color rgb="FF7030A0"/>
        <rFont val="Times New Roman"/>
        <family val="1"/>
      </rPr>
      <t>Hàng hoá ok</t>
    </r>
  </si>
  <si>
    <t>Xếp tách hàng của 2 lệnh</t>
  </si>
  <si>
    <t>VIỆT THUẬN 045-03</t>
  </si>
  <si>
    <t>21.11.2024
NEO</t>
  </si>
  <si>
    <t>23/11 Bến  Tàu Lai</t>
  </si>
  <si>
    <t>2200001780 - 1780.T11/2024/HPDQ-THP-KH - 4.000 T   Hàng hóa ok
2200001753 - THP - 282T           Hàng hóa ok</t>
  </si>
  <si>
    <t>TRUNG THẮNG 66</t>
  </si>
  <si>
    <t>23-24.11.2024
Dỡ đá -&gt; nhận HRC</t>
  </si>
  <si>
    <t>24/11 Bến 3</t>
  </si>
  <si>
    <r>
      <rPr>
        <sz val="14"/>
        <color rgb="FF000000"/>
        <rFont val="Times New Roman"/>
        <family val="1"/>
      </rPr>
      <t xml:space="preserve">2200001780 - 1780.T11/2024/HPDQ-THP-KH - 7.650 T   </t>
    </r>
    <r>
      <rPr>
        <sz val="14"/>
        <color rgb="FF7030A0"/>
        <rFont val="Times New Roman"/>
        <family val="1"/>
      </rPr>
      <t xml:space="preserve">Hàng hóa ok
</t>
    </r>
    <r>
      <rPr>
        <sz val="14"/>
        <color rgb="FF000000"/>
        <rFont val="Times New Roman"/>
        <family val="1"/>
      </rPr>
      <t xml:space="preserve">2000002454- 269.T11.HYSC (LOT 1) (1600T BBC THANH DAT) </t>
    </r>
    <r>
      <rPr>
        <sz val="14"/>
        <color rgb="FF7030A0"/>
        <rFont val="Times New Roman"/>
        <family val="1"/>
      </rPr>
      <t xml:space="preserve">Hàng hóa ok, hàng BBC
</t>
    </r>
    <r>
      <rPr>
        <sz val="14"/>
        <color rgb="FF000000"/>
        <rFont val="Times New Roman"/>
        <family val="1"/>
      </rPr>
      <t xml:space="preserve">2000002463- 269.T11.HYSC (LOT 2) </t>
    </r>
    <r>
      <rPr>
        <sz val="14"/>
        <color rgb="FF7030A0"/>
        <rFont val="Times New Roman"/>
        <family val="1"/>
      </rPr>
      <t xml:space="preserve">Hàng hóa ok, hàng BBC
</t>
    </r>
    <r>
      <rPr>
        <sz val="16"/>
        <color rgb="FFFF0000"/>
        <rFont val="Times New Roman"/>
        <family val="1"/>
      </rPr>
      <t>Hàng baby coil xuất hết lệnh này mới đến lệnh kia, không được xếp lẫn</t>
    </r>
  </si>
  <si>
    <t>VIET THUAN 095-01</t>
  </si>
  <si>
    <t>18.11.2024</t>
  </si>
  <si>
    <t>22-23/11 Bến 3/5</t>
  </si>
  <si>
    <t xml:space="preserve"> Semarang</t>
  </si>
  <si>
    <r>
      <rPr>
        <sz val="14"/>
        <color rgb="FF000000"/>
        <rFont val="Times New Roman"/>
        <family val="1"/>
      </rPr>
      <t xml:space="preserve">2400000971 - LOT 2.1 - 221.T11-24/HPDQ-ARS - 4500 MT </t>
    </r>
    <r>
      <rPr>
        <sz val="14"/>
        <color rgb="FF7030A0"/>
        <rFont val="Times New Roman"/>
        <family val="1"/>
      </rPr>
      <t xml:space="preserve">Hàng hóa ok
</t>
    </r>
    <r>
      <rPr>
        <sz val="14"/>
        <color rgb="FF000000"/>
        <rFont val="Times New Roman"/>
        <family val="1"/>
      </rPr>
      <t xml:space="preserve">2400000972 - LOT 2.2 - 221.T11-24/HPDQ-ARS - 1800 MT </t>
    </r>
    <r>
      <rPr>
        <sz val="14"/>
        <color rgb="FF7030A0"/>
        <rFont val="Times New Roman"/>
        <family val="1"/>
      </rPr>
      <t xml:space="preserve">Hàng hóa ok 
</t>
    </r>
    <r>
      <rPr>
        <sz val="14"/>
        <color rgb="FF000000"/>
        <rFont val="Times New Roman"/>
        <family val="1"/>
      </rPr>
      <t xml:space="preserve">2400000967 - Lot RB - 228.T11-24/HPDQ-MI - 2270T - HẰNG  </t>
    </r>
    <r>
      <rPr>
        <sz val="14"/>
        <color rgb="FF7030A0"/>
        <rFont val="Times New Roman"/>
        <family val="1"/>
      </rPr>
      <t>Hàng hóa ok</t>
    </r>
    <r>
      <rPr>
        <sz val="14"/>
        <color rgb="FF000000"/>
        <rFont val="Times New Roman"/>
        <family val="1"/>
      </rPr>
      <t xml:space="preserve"> </t>
    </r>
  </si>
  <si>
    <t>25.11.2024
NEO</t>
  </si>
  <si>
    <t>15h00 25/11 Bén 2</t>
  </si>
  <si>
    <r>
      <rPr>
        <sz val="14"/>
        <color rgb="FF000000"/>
        <rFont val="Times New Roman"/>
        <family val="1"/>
      </rPr>
      <t xml:space="preserve">2200001784 - 1784.T11/2024/HPDQ-OTHY - 2,666TAN  Hàng hóa ok hàng spot
2200001782 - 1782.T11/2024/HPDQ-OTHY -  415TAN Hàng hóa ok hàng spot - </t>
    </r>
    <r>
      <rPr>
        <sz val="14"/>
        <color rgb="FFFF0000"/>
        <rFont val="Times New Roman"/>
        <family val="1"/>
      </rPr>
      <t>cân tải</t>
    </r>
  </si>
  <si>
    <t>MINH PHÁT 369</t>
  </si>
  <si>
    <t>8h00 26/11 Bến 2</t>
  </si>
  <si>
    <r>
      <rPr>
        <sz val="14"/>
        <color rgb="FF000000"/>
        <rFont val="Times New Roman"/>
        <family val="1"/>
      </rPr>
      <t xml:space="preserve">2000002433 - 683T baby coils - Nam Phát Hàng hóa ok hàng BBC - 26/11 duyệt lệnh
</t>
    </r>
    <r>
      <rPr>
        <sz val="14"/>
        <color rgb="FF0D0D0D"/>
        <rFont val="Times New Roman"/>
        <family val="1"/>
      </rPr>
      <t xml:space="preserve">2200001782 - 1782.T11/2024/HPDQ-OTHY -  1.358 TAN Hàng hóa ok hàng spot 
2200001781 - 1781.T11/2024/HPDQ-THP -  1,764TAN Hàng hóa ok hàng spot
</t>
    </r>
    <r>
      <rPr>
        <sz val="14"/>
        <color rgb="FF000000"/>
        <rFont val="Times New Roman"/>
        <family val="1"/>
      </rPr>
      <t>2200001779 - OTHP - 668T        Hàng hóa ok
2200001749 - THP - 134T          Hàng hóa ok</t>
    </r>
  </si>
  <si>
    <t>LILA TOCHIGI</t>
  </si>
  <si>
    <t>23.11.2024</t>
  </si>
  <si>
    <t>18h00 26/11 Bến 6/11</t>
  </si>
  <si>
    <t>Port Klang, Malaysia</t>
  </si>
  <si>
    <r>
      <rPr>
        <sz val="14"/>
        <color rgb="FF000000"/>
        <rFont val="Times New Roman"/>
        <family val="1"/>
      </rPr>
      <t>2400000952</t>
    </r>
    <r>
      <rPr>
        <sz val="14"/>
        <color rgb="FFFF0000"/>
        <rFont val="Times New Roman"/>
        <family val="1"/>
      </rPr>
      <t xml:space="preserve"> </t>
    </r>
    <r>
      <rPr>
        <sz val="14"/>
        <color rgb="FF000000"/>
        <rFont val="Times New Roman"/>
        <family val="1"/>
      </rPr>
      <t xml:space="preserve">- 231.T11-24/HPDQ-GS (LOT 1-SPHC-skinpass) - GIANG </t>
    </r>
    <r>
      <rPr>
        <sz val="14"/>
        <color rgb="FF7030A0"/>
        <rFont val="Times New Roman"/>
        <family val="1"/>
      </rPr>
      <t xml:space="preserve">Hàng hoá ok
</t>
    </r>
    <r>
      <rPr>
        <sz val="14"/>
        <color rgb="FF000000"/>
        <rFont val="Times New Roman"/>
        <family val="1"/>
      </rPr>
      <t>2400000951</t>
    </r>
    <r>
      <rPr>
        <sz val="14"/>
        <color rgb="FFFF0000"/>
        <rFont val="Times New Roman"/>
        <family val="1"/>
      </rPr>
      <t xml:space="preserve"> </t>
    </r>
    <r>
      <rPr>
        <sz val="14"/>
        <color rgb="FF000000"/>
        <rFont val="Times New Roman"/>
        <family val="1"/>
      </rPr>
      <t>- 231.T11-24/HPDQ-GS (LOT 1-S275JR-skinpass)</t>
    </r>
    <r>
      <rPr>
        <sz val="14"/>
        <color rgb="FFFF0000"/>
        <rFont val="Times New Roman"/>
        <family val="1"/>
      </rPr>
      <t xml:space="preserve"> </t>
    </r>
    <r>
      <rPr>
        <sz val="14"/>
        <color rgb="FF000000"/>
        <rFont val="Times New Roman"/>
        <family val="1"/>
      </rPr>
      <t>- GIANG</t>
    </r>
    <r>
      <rPr>
        <sz val="14"/>
        <color rgb="FFFF0000"/>
        <rFont val="Times New Roman"/>
        <family val="1"/>
      </rPr>
      <t xml:space="preserve"> </t>
    </r>
    <r>
      <rPr>
        <sz val="14"/>
        <color rgb="FF7030A0"/>
        <rFont val="Times New Roman"/>
        <family val="1"/>
      </rPr>
      <t xml:space="preserve">Hàng hoá ok 
</t>
    </r>
    <r>
      <rPr>
        <sz val="14"/>
        <color rgb="FF000000"/>
        <rFont val="Times New Roman"/>
        <family val="1"/>
      </rPr>
      <t xml:space="preserve">2400000969 - 231.T11-24/HPDQ-GS (LOT 1-S275JR- non skinpass) - GIANG </t>
    </r>
    <r>
      <rPr>
        <sz val="14"/>
        <color rgb="FF7030A0"/>
        <rFont val="Times New Roman"/>
        <family val="1"/>
      </rPr>
      <t xml:space="preserve">Hàng hoá ok
</t>
    </r>
    <r>
      <rPr>
        <sz val="14"/>
        <color rgb="FF000000"/>
        <rFont val="Times New Roman"/>
        <family val="1"/>
      </rPr>
      <t xml:space="preserve">2400000970 - 231.T11-24/HPDQ-GS (LOT 2 - skinpass) - HÀ </t>
    </r>
    <r>
      <rPr>
        <sz val="14"/>
        <color rgb="FF7030A0"/>
        <rFont val="Times New Roman"/>
        <family val="1"/>
      </rPr>
      <t xml:space="preserve">Hàng hoá ok
</t>
    </r>
    <r>
      <rPr>
        <sz val="14"/>
        <color rgb="FF000000"/>
        <rFont val="Times New Roman"/>
        <family val="1"/>
      </rPr>
      <t xml:space="preserve">2400000965 - 231.T11-24/HPDQ-GS (LOT 2 - non skinpass) - HÀ </t>
    </r>
    <r>
      <rPr>
        <sz val="14"/>
        <color rgb="FF7030A0"/>
        <rFont val="Times New Roman"/>
        <family val="1"/>
      </rPr>
      <t xml:space="preserve">Hàng hoá ok - HÀ
</t>
    </r>
    <r>
      <rPr>
        <sz val="14"/>
        <color rgb="FF000000"/>
        <rFont val="Times New Roman"/>
        <family val="1"/>
      </rPr>
      <t xml:space="preserve">2400000959 - 232.T11-24/HPDQ-GS (skinpass)- LINH  </t>
    </r>
    <r>
      <rPr>
        <sz val="14"/>
        <color rgb="FF7030A0"/>
        <rFont val="Times New Roman"/>
        <family val="1"/>
      </rPr>
      <t xml:space="preserve">Hàng hóa ok
</t>
    </r>
    <r>
      <rPr>
        <sz val="14"/>
        <color rgb="FF000000"/>
        <rFont val="Times New Roman"/>
        <family val="1"/>
      </rPr>
      <t xml:space="preserve">2400000968 - 232.T11-24/HPDQ-GS (non-skinpass)- LINH </t>
    </r>
    <r>
      <rPr>
        <sz val="14"/>
        <color rgb="FF7030A0"/>
        <rFont val="Times New Roman"/>
        <family val="1"/>
      </rPr>
      <t xml:space="preserve">Hàng hoá ok 
</t>
    </r>
    <r>
      <rPr>
        <sz val="14"/>
        <color rgb="FF000000"/>
        <rFont val="Times New Roman"/>
        <family val="1"/>
      </rPr>
      <t xml:space="preserve">2400000945 - 233.T11-24/HPDQ-GS Ngọc </t>
    </r>
    <r>
      <rPr>
        <sz val="14"/>
        <color rgb="FF7030A0"/>
        <rFont val="Times New Roman"/>
        <family val="1"/>
      </rPr>
      <t xml:space="preserve">Hàng hoá ok
</t>
    </r>
    <r>
      <rPr>
        <sz val="14"/>
        <color rgb="FF000000"/>
        <rFont val="Times New Roman"/>
        <family val="1"/>
      </rPr>
      <t xml:space="preserve">2400000944 - 234.T11-24/HPDQ-GS Ngọc </t>
    </r>
    <r>
      <rPr>
        <sz val="14"/>
        <color rgb="FF7030A0"/>
        <rFont val="Times New Roman"/>
        <family val="1"/>
      </rPr>
      <t>Hàng hoá ok</t>
    </r>
    <r>
      <rPr>
        <sz val="14"/>
        <color rgb="FF00B050"/>
        <rFont val="Times New Roman"/>
        <family val="1"/>
      </rPr>
      <t xml:space="preserve"> 
</t>
    </r>
    <r>
      <rPr>
        <sz val="14"/>
        <color rgb="FF000000"/>
        <rFont val="Times New Roman"/>
        <family val="1"/>
      </rPr>
      <t xml:space="preserve">2400000966 (skin) - 234.T11-24/HPDQ-GS Ngọc </t>
    </r>
    <r>
      <rPr>
        <sz val="14"/>
        <color rgb="FFFF0000"/>
        <rFont val="Times New Roman"/>
        <family val="1"/>
      </rPr>
      <t xml:space="preserve"> </t>
    </r>
    <r>
      <rPr>
        <sz val="14"/>
        <color rgb="FF7030A0"/>
        <rFont val="Times New Roman"/>
        <family val="1"/>
      </rPr>
      <t>Hàng hoá ok</t>
    </r>
  </si>
  <si>
    <t>24.11.2024
NEO</t>
  </si>
  <si>
    <t>15h00 27/11 Bến 3/5</t>
  </si>
  <si>
    <r>
      <rPr>
        <sz val="14"/>
        <color rgb="FF000000"/>
        <rFont val="Times New Roman"/>
        <family val="1"/>
      </rPr>
      <t xml:space="preserve">2000002429 - HSPM - 7.000T  - Phú Mỹ </t>
    </r>
    <r>
      <rPr>
        <sz val="14"/>
        <color rgb="FF7030A0"/>
        <rFont val="Times New Roman"/>
        <family val="1"/>
      </rPr>
      <t xml:space="preserve"> háng hóa ok</t>
    </r>
    <r>
      <rPr>
        <sz val="14"/>
        <color rgb="FFFF0000"/>
        <rFont val="Times New Roman"/>
        <family val="1"/>
      </rPr>
      <t xml:space="preserve"> phải có khổ 1230 ở trên tàu này. và load sau cùng của lệnh Hoa Sen để đc dỡ sớm
NOTE lệnh HOA SEN: KHÔNG XUẤT CÁC HÀNG SAU: 
- 2.3x101x
- 2.5x101x
- 2.8x101x
- 3.2x101x
- 2.0x112x
- 2.3x112x
- 2.8x112x: ko xuất 160 tấn
</t>
    </r>
    <r>
      <rPr>
        <sz val="14"/>
        <color rgb="FF000000"/>
        <rFont val="Times New Roman"/>
        <family val="1"/>
      </rPr>
      <t xml:space="preserve">2000002422 - 95D VNO - 2500T (LSD: 30/11) - Phú Mỹ  </t>
    </r>
    <r>
      <rPr>
        <b/>
        <sz val="14"/>
        <color rgb="FF7030A0"/>
        <rFont val="Times New Roman"/>
        <family val="1"/>
      </rPr>
      <t xml:space="preserve">hàng hoá ok   lệnh ok - xuất hết mapping
</t>
    </r>
    <r>
      <rPr>
        <sz val="14"/>
        <color rgb="FF000000"/>
        <rFont val="Times New Roman"/>
        <family val="1"/>
      </rPr>
      <t xml:space="preserve">2000002423  - 95D VNO - 1500T (LSD: 30/11) - Phú Mỹ </t>
    </r>
    <r>
      <rPr>
        <sz val="14"/>
        <color rgb="FF7030A0"/>
        <rFont val="Times New Roman"/>
        <family val="1"/>
      </rPr>
      <t xml:space="preserve">hàng hoá ok    lệnh ok - xuất hết mapping
2000002434 - 200 HWA (TL) - 100T - Tân Thuận (LSD: 30/11) - LỆNH OK Hàng hoá ok - xuất hết mapping
</t>
    </r>
    <r>
      <rPr>
        <sz val="14"/>
        <color rgb="FF000000"/>
        <rFont val="Times New Roman"/>
        <family val="1"/>
      </rPr>
      <t xml:space="preserve">2000002449 - 239.JFE - Tân Thuận - 1.000T
</t>
    </r>
    <r>
      <rPr>
        <sz val="14"/>
        <color rgb="FFFF0000"/>
        <rFont val="Times New Roman"/>
        <family val="1"/>
      </rPr>
      <t>Dỡ Tân Thuận -&gt; Phú Mỹ</t>
    </r>
  </si>
  <si>
    <t>STAR LYGRA</t>
  </si>
  <si>
    <t>26.11.2024</t>
  </si>
  <si>
    <t>9h00 29/11 Bến 5/10</t>
  </si>
  <si>
    <r>
      <rPr>
        <sz val="14"/>
        <color rgb="FF000000"/>
        <rFont val="Times New Roman"/>
        <family val="1"/>
      </rPr>
      <t xml:space="preserve">2400000949 - 220.T11-24/HPDQ-Stemcor (LOT 1) (LC) - GIANG </t>
    </r>
    <r>
      <rPr>
        <sz val="14"/>
        <color rgb="FF7030A0"/>
        <rFont val="Times New Roman"/>
        <family val="1"/>
      </rPr>
      <t xml:space="preserve">Hàng hoá ok
</t>
    </r>
    <r>
      <rPr>
        <sz val="14"/>
        <color rgb="FF000000"/>
        <rFont val="Times New Roman"/>
        <family val="1"/>
      </rPr>
      <t>2400000950</t>
    </r>
    <r>
      <rPr>
        <sz val="14"/>
        <color rgb="FFFF0000"/>
        <rFont val="Times New Roman"/>
        <family val="1"/>
      </rPr>
      <t xml:space="preserve"> </t>
    </r>
    <r>
      <rPr>
        <sz val="14"/>
        <color rgb="FF000000"/>
        <rFont val="Times New Roman"/>
        <family val="1"/>
      </rPr>
      <t xml:space="preserve">- 220.T11-24/HPDQ-Stemcor (LOT 2) - GIANG </t>
    </r>
    <r>
      <rPr>
        <sz val="14"/>
        <color rgb="FF7030A0"/>
        <rFont val="Times New Roman"/>
        <family val="1"/>
      </rPr>
      <t xml:space="preserve">Hàng hoá ok
</t>
    </r>
    <r>
      <rPr>
        <sz val="14"/>
        <color rgb="FF000000"/>
        <rFont val="Times New Roman"/>
        <family val="1"/>
      </rPr>
      <t>2400000954</t>
    </r>
    <r>
      <rPr>
        <sz val="14"/>
        <color rgb="FFFF0000"/>
        <rFont val="Times New Roman"/>
        <family val="1"/>
      </rPr>
      <t xml:space="preserve"> </t>
    </r>
    <r>
      <rPr>
        <sz val="14"/>
        <color rgb="FF000000"/>
        <rFont val="Times New Roman"/>
        <family val="1"/>
      </rPr>
      <t>- 224.T11-24/HPDQ-PPL (TT) - LINH</t>
    </r>
    <r>
      <rPr>
        <sz val="14"/>
        <color rgb="FFFF0000"/>
        <rFont val="Times New Roman"/>
        <family val="1"/>
      </rPr>
      <t xml:space="preserve"> </t>
    </r>
    <r>
      <rPr>
        <sz val="14"/>
        <color rgb="FF7030A0"/>
        <rFont val="Times New Roman"/>
        <family val="1"/>
      </rPr>
      <t xml:space="preserve">Hàng hoá ok
</t>
    </r>
    <r>
      <rPr>
        <sz val="14"/>
        <color rgb="FFFF0000"/>
        <rFont val="Times New Roman"/>
        <family val="1"/>
      </rPr>
      <t xml:space="preserve">2400000960 </t>
    </r>
    <r>
      <rPr>
        <sz val="14"/>
        <color rgb="FF000000"/>
        <rFont val="Times New Roman"/>
        <family val="1"/>
      </rPr>
      <t xml:space="preserve">-226.T11-24/HPDQ-ATV (TT) - LINH </t>
    </r>
    <r>
      <rPr>
        <sz val="14"/>
        <color rgb="FF7030A0"/>
        <rFont val="Times New Roman"/>
        <family val="1"/>
      </rPr>
      <t xml:space="preserve"> hàng hóa ok
</t>
    </r>
    <r>
      <rPr>
        <sz val="14"/>
        <color rgb="FF000000"/>
        <rFont val="Times New Roman"/>
        <family val="1"/>
      </rPr>
      <t xml:space="preserve">2400000943- 229.T11-24/HPDQ-HWA (LC) NGỌC - </t>
    </r>
    <r>
      <rPr>
        <sz val="14"/>
        <color rgb="FF7030A0"/>
        <rFont val="Times New Roman"/>
        <family val="1"/>
      </rPr>
      <t>Hàng hoá ok</t>
    </r>
  </si>
  <si>
    <t>chốt mapping</t>
  </si>
  <si>
    <t>27-28.11.2024
Dỡ đá -&gt; nhận hrc</t>
  </si>
  <si>
    <t>9h00 28/11 Bến 3
(Thay thế TRUNG THẮNG 66)</t>
  </si>
  <si>
    <r>
      <rPr>
        <sz val="14"/>
        <color rgb="FF000000"/>
        <rFont val="Times New Roman"/>
        <family val="1"/>
      </rPr>
      <t xml:space="preserve">2000002428 - HSNS - 4.400T - </t>
    </r>
    <r>
      <rPr>
        <sz val="14"/>
        <color rgb="FFFF0000"/>
        <rFont val="Times New Roman"/>
        <family val="1"/>
      </rPr>
      <t xml:space="preserve">Nghi Sơn  </t>
    </r>
    <r>
      <rPr>
        <sz val="14"/>
        <color rgb="FF7030A0"/>
        <rFont val="Times New Roman"/>
        <family val="1"/>
      </rPr>
      <t xml:space="preserve">hàng hóa ok
</t>
    </r>
    <r>
      <rPr>
        <sz val="14"/>
        <color rgb="FFFF0000"/>
        <rFont val="Times New Roman"/>
        <family val="1"/>
      </rPr>
      <t xml:space="preserve">Các lệnh sau đi Hải Phòng:
</t>
    </r>
    <r>
      <rPr>
        <sz val="14"/>
        <color rgb="FF000000"/>
        <rFont val="Times New Roman"/>
        <family val="1"/>
      </rPr>
      <t xml:space="preserve">2000002461 - HNS - 2.300T - Đã map 2.050/2.300T </t>
    </r>
    <r>
      <rPr>
        <sz val="14"/>
        <color rgb="FF7030A0"/>
        <rFont val="Times New Roman"/>
        <family val="1"/>
      </rPr>
      <t xml:space="preserve">hàng hóa ok
</t>
    </r>
    <r>
      <rPr>
        <sz val="14"/>
        <color rgb="FF000000"/>
        <rFont val="Times New Roman"/>
        <family val="1"/>
      </rPr>
      <t xml:space="preserve">2200001761 - OTHP - 541T       Hàng hóa ok
2200001760 - THP - 482T           Hàng hóa ok
2200001791 - 1791.T11/2024/HPDQ-OTHY -  900 TAN           Hàng hóa ok, hàng spot
2200001785 - OTHY 700T          Hàng hóa ok, hàng spot
2200001789 - 1789.T11/2024/HPDQ-THP - 1,864 TAN       Hàng hóa ok, hàng spot
2200001780 - 1780.T11/2024/HPDQ-THP-KH - 1.300T   Hàng hóa ok cân tải </t>
    </r>
    <r>
      <rPr>
        <sz val="14"/>
        <color rgb="FFFF0000"/>
        <rFont val="Times New Roman"/>
        <family val="1"/>
      </rPr>
      <t xml:space="preserve">(chuyển 5c đã xuất của lệnh 22*1770 sang lệnh này để xuất)
</t>
    </r>
    <r>
      <rPr>
        <sz val="14"/>
        <color rgb="FF000000"/>
        <rFont val="Times New Roman"/>
        <family val="1"/>
      </rPr>
      <t xml:space="preserve">
</t>
    </r>
    <r>
      <rPr>
        <sz val="14"/>
        <color rgb="FFFF0000"/>
        <rFont val="Times New Roman"/>
        <family val="1"/>
      </rPr>
      <t>Dỡ Nghi Sơn -&gt; Hải Phòng</t>
    </r>
  </si>
  <si>
    <t>20*2428: chốt mapping
20*2461: chốt mapping
22*1760 1761: chốt mapping
22*1785: chốt mapping
22*1789: chốt mapping
22*1791: chốt mapping</t>
  </si>
  <si>
    <t>27.11.2024</t>
  </si>
  <si>
    <t>20h00 28/11 Bến Tàu Lai</t>
  </si>
  <si>
    <t>2200001788 - 1788.T11/2024/HPDQ-OTHY - 3,369 TAN- xuất hết               Hàng hóa ok, hàng spot
2200001791 - 1791.T11/2024/HPDQ-OTHY - 130t cân tải            Hàng hóa ok, hàng spot</t>
  </si>
  <si>
    <t>29-30.11.2024
Tàu chạy ngược sóng ngược gió về nên chậm lắm :((((</t>
  </si>
  <si>
    <t>30/11-01/12 Bến 2</t>
  </si>
  <si>
    <t>Cho tập kết hàng ra trước, xuất hóa đơn muộn nhất 30/11</t>
  </si>
  <si>
    <r>
      <rPr>
        <sz val="14"/>
        <color rgb="FF000000"/>
        <rFont val="Times New Roman"/>
        <family val="1"/>
      </rPr>
      <t>2000002435 - 95A2 MOV(VNO) - 800T (LSD: 30/11)- Cẩm Nguyên  LỆNH OK</t>
    </r>
    <r>
      <rPr>
        <sz val="14"/>
        <color rgb="FF7030A0"/>
        <rFont val="Times New Roman"/>
        <family val="1"/>
      </rPr>
      <t xml:space="preserve"> hàng hoá ok - cân tải
</t>
    </r>
    <r>
      <rPr>
        <sz val="14"/>
        <color rgb="FF000000"/>
        <rFont val="Times New Roman"/>
        <family val="1"/>
      </rPr>
      <t>2000002420 - 95B VNO - 2250T (LSD: 30/11)- Cẩm Nguyên  - lệnh ok h</t>
    </r>
    <r>
      <rPr>
        <sz val="14"/>
        <color rgb="FF7030A0"/>
        <rFont val="Times New Roman"/>
        <family val="1"/>
      </rPr>
      <t xml:space="preserve">àng hoá ok
</t>
    </r>
    <r>
      <rPr>
        <sz val="14"/>
        <color rgb="FF000000"/>
        <rFont val="Times New Roman"/>
        <family val="1"/>
      </rPr>
      <t xml:space="preserve">2000002421 - 95C VNO - 1100T (LSD: 30/11)- Cẩm Nguyên   - lệnh ok </t>
    </r>
    <r>
      <rPr>
        <sz val="14"/>
        <color rgb="FF7030A0"/>
        <rFont val="Times New Roman"/>
        <family val="1"/>
      </rPr>
      <t>hàng hóa ok</t>
    </r>
  </si>
  <si>
    <t>ETA DUNG QUẤT</t>
  </si>
  <si>
    <t>ETB DUNG QUẤT</t>
  </si>
  <si>
    <t>23h00 31.08.2024</t>
  </si>
  <si>
    <r>
      <rPr>
        <sz val="14"/>
        <color rgb="FF000000"/>
        <rFont val="Times New Roman"/>
        <family val="1"/>
      </rPr>
      <t xml:space="preserve">2000002333 - 160.T08.TĐA - 3.100T - Phú Mỹ  Đã MAP 2K1 + 900T chiều 30/8 NK
2000002334 - 160.T08.TĐA - 1.000T - Posco    Hàng hóa ok đã NK ngày 28/9
2000002330 - TYTS - 500T - Tân Thuận  Hàng hóa ok đã NK ngày 1/9
</t>
    </r>
    <r>
      <rPr>
        <sz val="14"/>
        <color rgb="FFFF0000"/>
        <rFont val="Times New Roman"/>
        <family val="1"/>
      </rPr>
      <t>Dỡ Tân Thuận -&gt; Phú Mỹ --&gt; Posco</t>
    </r>
  </si>
  <si>
    <t>30.08.2024 
NEO</t>
  </si>
  <si>
    <t>01/09 Bến 5</t>
  </si>
  <si>
    <r>
      <rPr>
        <sz val="14"/>
        <color rgb="FF000000"/>
        <rFont val="Times New Roman"/>
        <family val="1"/>
      </rPr>
      <t xml:space="preserve">2000002335 -Tây Nam 116.T07- 4.000T </t>
    </r>
    <r>
      <rPr>
        <sz val="14"/>
        <color rgb="FFFF0000"/>
        <rFont val="Times New Roman"/>
        <family val="1"/>
      </rPr>
      <t xml:space="preserve">(lsd 10/09) </t>
    </r>
    <r>
      <rPr>
        <sz val="14"/>
        <color rgb="FF000000"/>
        <rFont val="Times New Roman"/>
        <family val="1"/>
      </rPr>
      <t xml:space="preserve"> hàng hóa ok đã NK ngày 28/8</t>
    </r>
  </si>
  <si>
    <t>NEO SẴN</t>
  </si>
  <si>
    <r>
      <rPr>
        <sz val="14"/>
        <color rgb="FF000000"/>
        <rFont val="Times New Roman"/>
        <family val="1"/>
      </rPr>
      <t xml:space="preserve">2000002321 +2000002322 + 2000002323 HSNS - 10.000T (Dự kiến 4/9 NK hết)
</t>
    </r>
    <r>
      <rPr>
        <sz val="14"/>
        <color rgb="FFFF0000"/>
        <rFont val="Times New Roman"/>
        <family val="1"/>
      </rPr>
      <t xml:space="preserve">xuất hết lệnh 2321 và 2322 rồi mới xuất lệnh 2323 ạ
</t>
    </r>
    <r>
      <rPr>
        <sz val="14"/>
        <color rgb="FF000000"/>
        <rFont val="Times New Roman"/>
        <family val="1"/>
      </rPr>
      <t>Hàng hóa đã MAP 8K9 đã NK ngày 28/8 + 1K3 dự kiến chiều 31/8 NK -&gt; xuất hết</t>
    </r>
  </si>
  <si>
    <t>Đã NK đủ 10kt</t>
  </si>
  <si>
    <t>04.09.2024
NEO</t>
  </si>
  <si>
    <t>07/09 bến 3</t>
  </si>
  <si>
    <r>
      <rPr>
        <sz val="14"/>
        <color rgb="FF000000"/>
        <rFont val="Times New Roman"/>
        <family val="1"/>
      </rPr>
      <t xml:space="preserve">2000002337 - VNO 68A.T05 - 1.300T - Cẩm Nguyên   Hàng hóa ok đã NK ngày 3/9 - lệnh ok
2000002341 - Tây Nam 116.T07- 2.000T (LSD 10/9) - Thiên Lộc Thành  - lệnh ok   Đã MAP 1k1 + 900 tấn dự kiến 7/9 NK  </t>
    </r>
    <r>
      <rPr>
        <sz val="14"/>
        <color rgb="FFFF0000"/>
        <rFont val="Times New Roman"/>
        <family val="1"/>
      </rPr>
      <t>- Hàng ra hết + xuất hóa đơn muộn nhất 10/9</t>
    </r>
  </si>
  <si>
    <t>VIỆT THUẬN 215-06
(Thay thế Trung Thắng 558)</t>
  </si>
  <si>
    <t>07.09.2024
Chạy rỗng về</t>
  </si>
  <si>
    <t>07/09 Bến 5</t>
  </si>
  <si>
    <r>
      <rPr>
        <sz val="14"/>
        <color rgb="FF000000"/>
        <rFont val="Times New Roman"/>
        <family val="1"/>
      </rPr>
      <t xml:space="preserve">2000002342/2000002343/2000002346 Nam Kim - 10.000T - Tân Thuận - </t>
    </r>
    <r>
      <rPr>
        <sz val="14"/>
        <color rgb="FFFF0000"/>
        <rFont val="Times New Roman"/>
        <family val="1"/>
      </rPr>
      <t xml:space="preserve">   (LSD 10/9)    </t>
    </r>
    <r>
      <rPr>
        <sz val="14"/>
        <color rgb="FF262626"/>
        <rFont val="Times New Roman"/>
        <family val="1"/>
      </rPr>
      <t xml:space="preserve">Đã MAP 7K5 + 2K5 dự kiến chiều 7/9 NK </t>
    </r>
    <r>
      <rPr>
        <sz val="14"/>
        <color rgb="FFFF0000"/>
        <rFont val="Times New Roman"/>
        <family val="1"/>
      </rPr>
      <t xml:space="preserve">- Hàng ra hết + xuất hóa đơn muộn nhất 10/9
</t>
    </r>
    <r>
      <rPr>
        <sz val="14"/>
        <color rgb="FF000000"/>
        <rFont val="Times New Roman"/>
        <family val="1"/>
      </rPr>
      <t>2000002336 - 160.T08.TĐA - 1.600T - Phú Mỹ     Hàng hóa ok đã NK ngày 31/8
2</t>
    </r>
    <r>
      <rPr>
        <sz val="14"/>
        <color rgb="FF262626"/>
        <rFont val="Times New Roman"/>
        <family val="1"/>
      </rPr>
      <t xml:space="preserve">000002327- TLPM - 1.000T - Phú Mỹ (LSD: 15/09)   Hàng hóa ok đã NK ngày 1/9 - lệnh ok
2000002351, 2358 The One - 350T - Phú Mỹ    Hàng hóa ok đã NK ngày 4/9
</t>
    </r>
    <r>
      <rPr>
        <sz val="14"/>
        <color rgb="FFFF0000"/>
        <rFont val="Times New Roman"/>
        <family val="1"/>
      </rPr>
      <t xml:space="preserve">
TÀU ĐI THIẾU TẢI</t>
    </r>
  </si>
  <si>
    <t>+2342 đã MAP  Hàng hóa ok dã NK 6/9 NK
+2343 đã MAP  Hàng hóa ok dã NK 6/9 NK
+2346 HÀNG HÓA OK ĐÃ nk ngày 28/8</t>
  </si>
  <si>
    <t>08-09.09.2024
NEO</t>
  </si>
  <si>
    <t>2200001727 OTHY 145T    Hàng hóa ok hàng spot hàng sẵn
2200001704 THP 400T       Hàng hóa ok hàng spot hàng sẵn
2200001721 THP 68T             Hàng hóa ok hàng spot hàng sẵn
2200001728 THP cân tải       Hàng hóa ok hàng spot hàng sẵn</t>
  </si>
  <si>
    <t>Trưa 10.09.2024</t>
  </si>
  <si>
    <t>2000002331 HSQN - 4.100T    Hàng hóa ok
2.00 	 1,010 	SAE1006	 
 2.30 	 1,010 	SAE1006	
 2.80 	 1,010 	SAE1006 (các size này load cuối để đc dỡ đầu)</t>
  </si>
  <si>
    <t>GIA ĐỨC 111</t>
  </si>
  <si>
    <t>09.09.2024
NEO</t>
  </si>
  <si>
    <t>10/09 Bến 3</t>
  </si>
  <si>
    <t>2000002361 - 172.TĐA - 4.500T - Tân Thuận   Hàng hóa ok đã NK ngày 9/9
Sáng 10/9 duyệt lệnh</t>
  </si>
  <si>
    <t>11.09.2024</t>
  </si>
  <si>
    <t>11/09 Bến 1</t>
  </si>
  <si>
    <t>2000002337 - VNO 68A.T05 - 650T - Cẩm Nguyên        Lệnh ok    Hàng hóa ok
2000002338 - VNO 68B.T05 - 1850T - Cẩm Nguyên       Lệnh ok    Hàng hóa ok
2200001726 - OTBD - 800T - Long Bình   Hàng hóa ok hàng spot hàng sẵn
Ghép thép XD cân tải</t>
  </si>
  <si>
    <t>NAM DƯƠNG 01</t>
  </si>
  <si>
    <t>11-12.09.2024</t>
  </si>
  <si>
    <t>11/09 Bến 3</t>
  </si>
  <si>
    <t>2000002323 - HSNS 140C.T08   Đã MAP 3454T +  3K2 dự kiến chiều 14/9 NK</t>
  </si>
  <si>
    <t>13.9.2024
NEO</t>
  </si>
  <si>
    <t>Miền Bắc</t>
  </si>
  <si>
    <r>
      <rPr>
        <sz val="14"/>
        <color rgb="FF000000"/>
        <rFont val="Times New Roman"/>
        <family val="1"/>
      </rPr>
      <t xml:space="preserve">2000002323 - HSNS 140C.T08 - Nghi Sơn
2000002344 - KIM KHÍ BẮC VIỆT - 1.000T (LSD 15/9) - Hải Phòng - </t>
    </r>
    <r>
      <rPr>
        <sz val="14"/>
        <color rgb="FFFF0000"/>
        <rFont val="Times New Roman"/>
        <family val="1"/>
      </rPr>
      <t>HÀNG NÀY CẦN RA HẾT XUẤT HÓA ĐƠN MUỘN NHẤT 15/9   hàng hóa ok đã NK ngày 26/8
DỠ NGHI SƠN -&gt; HẢI PHÒNG</t>
    </r>
  </si>
  <si>
    <t>14-15.09.2024
NEO</t>
  </si>
  <si>
    <t>16/9 Bến 3/5</t>
  </si>
  <si>
    <r>
      <rPr>
        <sz val="14"/>
        <color rgb="FF000000"/>
        <rFont val="Times New Roman"/>
        <family val="1"/>
      </rPr>
      <t xml:space="preserve">2000002340 - VNO 68D.T05 - 800T - Cẩm Nguyên         Hàng hóa ok đã NK ngày 12/9
2000002348 - VNO 68G - 1500T - Cẩm Nguyên    LSD 30/9    đã MAP 1462T + 50T đã NK NGÀY 14
2200001730 - OTBD - 1.700T - Long Bình   Hàng hóa ok hàng spot hàng sẵn
</t>
    </r>
    <r>
      <rPr>
        <sz val="14"/>
        <color rgb="FFFF0000"/>
        <rFont val="Times New Roman"/>
        <family val="1"/>
      </rPr>
      <t>Dỡ Cẩm Nguyên -&gt; Long Bình</t>
    </r>
  </si>
  <si>
    <t>HUY HOÀNG 66</t>
  </si>
  <si>
    <t>17.09.2024</t>
  </si>
  <si>
    <t>16-17/09 Bến 2</t>
  </si>
  <si>
    <t>2000002340 - VNO 68D.T05 - 1.450T - Cẩm Nguyên      Hàng hóa ok đã NK ngày 12/9
2000002339 - VNO 68C.T05 - 2950T - Cẩm Nguyên      Đã MAP 1K9 + 1KT dự kiến sáng 16 NK</t>
  </si>
  <si>
    <t>15.09.2024
NEO</t>
  </si>
  <si>
    <t>16/9 Bến 3</t>
  </si>
  <si>
    <r>
      <rPr>
        <sz val="14"/>
        <color rgb="FF000000"/>
        <rFont val="Times New Roman"/>
        <family val="1"/>
      </rPr>
      <t>2000002353 - SEAH 500T (lệnh ok) - Tân Thuận  Hàng hóa ok
2000002362 - Tây Nam - 3.000T - Thiên Lộc Thành (</t>
    </r>
    <r>
      <rPr>
        <sz val="14"/>
        <color rgb="FFFF0000"/>
        <rFont val="Times New Roman"/>
        <family val="1"/>
      </rPr>
      <t>check hàng hóa giúp Được ơi</t>
    </r>
    <r>
      <rPr>
        <sz val="14"/>
        <color rgb="FF000000"/>
        <rFont val="Times New Roman"/>
        <family val="1"/>
      </rPr>
      <t>)  Đã MAP 1281 tấn + 1k8 dự kiến 16 NK</t>
    </r>
  </si>
  <si>
    <t>17.09.2024
Quy Nhơn về</t>
  </si>
  <si>
    <t>17/09 Bến 5</t>
  </si>
  <si>
    <r>
      <rPr>
        <sz val="14"/>
        <color rgb="FF000000"/>
        <rFont val="Times New Roman"/>
        <family val="1"/>
      </rPr>
      <t xml:space="preserve">2000002325 - HSPM - 4.860T - Phú Mỹ     Hàng hóa ok đã NK ngày 12/9
2000002313 - SMC - 2.000T - Phú Mỹ  Hàng hóa ok đã NK ngày 8/8 -&gt; lệnh ok
2000002360- 172.T09.TĐA - 3.000T - Posco   Hàng hóa ok đã NK ngày 12/9
</t>
    </r>
    <r>
      <rPr>
        <sz val="14"/>
        <color rgb="FFFF0000"/>
        <rFont val="Times New Roman"/>
        <family val="1"/>
      </rPr>
      <t>TÀU ĐI THIẾU TẢI, GIAO POSCO -&gt; PHÚ MỸ</t>
    </r>
  </si>
  <si>
    <t>PACIFIC MELODY</t>
  </si>
  <si>
    <t>13.09.2024</t>
  </si>
  <si>
    <t>15H00 17/09 Bến 5</t>
  </si>
  <si>
    <r>
      <rPr>
        <sz val="14"/>
        <color rgb="FF000000"/>
        <rFont val="Times New Roman"/>
        <family val="1"/>
      </rPr>
      <t xml:space="preserve">2400000901  (RAJA BESI) - 184.T09-24HPDQ-MI - HÀ   Hàng hóa ok đã NK ngày 16
</t>
    </r>
    <r>
      <rPr>
        <sz val="14"/>
        <color rgb="FFFF0000"/>
        <rFont val="Times New Roman"/>
        <family val="1"/>
      </rPr>
      <t xml:space="preserve">2400000900 </t>
    </r>
    <r>
      <rPr>
        <sz val="14"/>
        <color rgb="FF000000"/>
        <rFont val="Times New Roman"/>
        <family val="1"/>
      </rPr>
      <t>(BBM)- 184.T09-24HPDQ-MI - HÀ                Hàng hóa ok đã NK ngày 16</t>
    </r>
  </si>
  <si>
    <t>Đến laycan mới cho tàu vào làm</t>
  </si>
  <si>
    <t>GLORY VOYAGER</t>
  </si>
  <si>
    <t>18.09.2024</t>
  </si>
  <si>
    <t>6h 19/09 Bến 5</t>
  </si>
  <si>
    <t>Pasir Gudang &amp; Port Klang, Malaysia</t>
  </si>
  <si>
    <r>
      <rPr>
        <b/>
        <sz val="14"/>
        <color rgb="FFFF0000"/>
        <rFont val="Times New Roman"/>
        <family val="1"/>
      </rPr>
      <t xml:space="preserve">Port Klang - nhãn đỏ/RED
</t>
    </r>
    <r>
      <rPr>
        <sz val="14"/>
        <color rgb="FF000000"/>
        <rFont val="Times New Roman"/>
        <family val="1"/>
      </rPr>
      <t xml:space="preserve">2400000875 186.T09-24/HPDQ-DFT - NGỌC   Hàng hóa ok đã NK ngày 30/8
2400000869 - 187.T09-24/HPDQ-JFE - GIANG    Hàng hóa ok đã NK ngày 30/8
2400000870 (LOT 1) - 188.T09-24/HPDQ-STEMCOR - GIANG   Hàng hóa ok đã NK ngày 30/8
2400000871 (LOT 2 - S275JR) - 188.T09-24/HPDQ-STEMCOR  Đã MAP 153/190 size 9.40x121x mở thêm dung sai
2400000872 (LOT 2 - SPHC) - 188.T09-24/HPDQ-STEMCOR    Hnagf hóa ok đã NK 7/9 NK
2400000865 -189.T09-24/HPDQ-MI -LINH       Hàng hóa ok đã NK ngày 30/8
2400000866 -192.T09-24/HPDQ-MI -LINH       Hàng hóa ok đã NK ngày 30/8
2400000867 -193.T09-24/HPDQ-MI -LINH        Hàng hóa ok đã NK ngày 30/8
2400000893 - 194.T09-24/HPDQ-HWA - HÀ     Hàng hóa ok đã NK ngày 4/9
2400000897 - 197.T09-24/HPDQ-HWA - HÀ      Hàng hóa ok đã NK 7/9 NK
</t>
    </r>
    <r>
      <rPr>
        <b/>
        <sz val="14"/>
        <color rgb="FF0070C0"/>
        <rFont val="Times New Roman"/>
        <family val="1"/>
      </rPr>
      <t xml:space="preserve">Pasir Gudang - nhãn xanh/BLUE
</t>
    </r>
    <r>
      <rPr>
        <sz val="14"/>
        <color rgb="FF000000"/>
        <rFont val="Times New Roman"/>
        <family val="1"/>
      </rPr>
      <t>2400000888 (1) /     Hàng hóa ok đã NK 7/9 NK
2400000887 (2) - 183.T09-24/HPDQ-NI - NGỌC      Hàng hóa ok đã NK ngày 30/8</t>
    </r>
  </si>
  <si>
    <r>
      <rPr>
        <sz val="14"/>
        <color rgb="FF000000"/>
        <rFont val="Times New Roman"/>
        <family val="1"/>
      </rPr>
      <t xml:space="preserve">Cần nhãn màu tách hàng 2 cảng
</t>
    </r>
    <r>
      <rPr>
        <sz val="14"/>
        <color rgb="FFFF0000"/>
        <rFont val="Times New Roman"/>
        <family val="1"/>
      </rPr>
      <t xml:space="preserve">Port Klang - nhãn đỏ
</t>
    </r>
    <r>
      <rPr>
        <sz val="14"/>
        <color rgb="FF0070C0"/>
        <rFont val="Times New Roman"/>
        <family val="1"/>
      </rPr>
      <t>Pasir Gudang - nhãn xanh</t>
    </r>
  </si>
  <si>
    <t>YANGTZE GRACE</t>
  </si>
  <si>
    <t>22H 17/09 Bến 5/10</t>
  </si>
  <si>
    <r>
      <rPr>
        <sz val="14"/>
        <color rgb="FF000000"/>
        <rFont val="Times New Roman"/>
        <family val="1"/>
      </rPr>
      <t>2400000890 (S275JR) - 200.T09-24/HPDQ-GS - HÀ  Đã MAP 4690 + 150T dự kiến 16 NK
2400000891  (SPHC) - 200.T09-24/HPDQ-GS - HÀ                          Hàng hóa ok đã NK ngày 16
2400000885 -201.T09-24/HPDQ-GS (SPHC) - LINH   Hàng hóa ok đã NK ngày 31/08
2400000879 - 201.T09-24/HPDQ-GS (SPHT1) - LINH   Hàng hóa ok chờ MAP
2400000902 - 201.T09-24/HPDQ-GS (S275JR) - LINH            Hàng hóa ok đã NK ngày 16
2400000876 - 202.T09-24/HPDQ-GS - NGỌC    Hàng hóa ok đã NK ngày 12/9
2400000877</t>
    </r>
    <r>
      <rPr>
        <sz val="14"/>
        <color rgb="FFFF0000"/>
        <rFont val="Times New Roman"/>
        <family val="1"/>
      </rPr>
      <t xml:space="preserve"> </t>
    </r>
    <r>
      <rPr>
        <sz val="14"/>
        <color rgb="FF000000"/>
        <rFont val="Times New Roman"/>
        <family val="1"/>
      </rPr>
      <t xml:space="preserve">- 202.T09-24/HPDQ-GS - NGỌC      Hàng hóa ok đã NK ngày 16
</t>
    </r>
    <r>
      <rPr>
        <sz val="14"/>
        <color rgb="FFFF0000"/>
        <rFont val="Times New Roman"/>
        <family val="1"/>
      </rPr>
      <t xml:space="preserve">2400000873 </t>
    </r>
    <r>
      <rPr>
        <sz val="14"/>
        <color rgb="FF000000"/>
        <rFont val="Times New Roman"/>
        <family val="1"/>
      </rPr>
      <t>(SPHC) - 203.T09-24/HPDQ-GS - GIANG             Hàng hóa ok đã NK ngày 16
2400000874 (S275JR) - 203.T09-24/HPDQ-GS - GIANG    Hàng hóa ok đã NK ngày  6/9
2400000892 - 204.T09-24/HPDQ-GS - HÀ                           Hàng hóa ok đã NK ngày  6/9
2400000880 - 205.T09-24/HPDQ-GS - LINH                       Hàng hóa ok đã NK ngày 16</t>
    </r>
  </si>
  <si>
    <t>19/9 Bến 3</t>
  </si>
  <si>
    <r>
      <rPr>
        <sz val="14"/>
        <color rgb="FF000000"/>
        <rFont val="Times New Roman"/>
        <family val="1"/>
      </rPr>
      <t xml:space="preserve">2000002347 - VNO 68F - 4500T- Phú Mỹ      Hàng hóa ok đã NK ngày 18/9
2000002349 - VNO 68E - 2000T - Phú Mỹ      Hàng hóa ok đã NK ngày 14/9
2000002350 - VNO 68E - 2000T - Phú Mỹ     Đã MAP 300T + 2K7 dự kiến 19 NK
2000002365 - TLPM T09 - 1.000T - Phú Mỹ
</t>
    </r>
    <r>
      <rPr>
        <sz val="14"/>
        <color rgb="FFFF0000"/>
        <rFont val="Times New Roman"/>
        <family val="1"/>
      </rPr>
      <t>Xuất âm theo lượng tàu nhận được, đảm bảo đủ dung sai các lệnh</t>
    </r>
  </si>
  <si>
    <t>20.09.2024</t>
  </si>
  <si>
    <t>20.09 bến 1</t>
  </si>
  <si>
    <t>2200001733 - THP  Hàng hóa ok đã NK ngày 18/9 MAP 6K8 ưu tiên xuất hàng 1212</t>
  </si>
  <si>
    <t>Đơn THP tháng 8-9 ĐÃ MAP 11kt</t>
  </si>
  <si>
    <t>19.09.2024</t>
  </si>
  <si>
    <t>20/9 Bến 2</t>
  </si>
  <si>
    <t>2200001731 OTHY 390T    Hàng spot hàng hóa ok
2200001704 THP 590T        Hàng spot hàng hóa ok
2200001721 THP 44T          Hàng spot hàng hóa ok
2200001728 THP 440T         Hàng spot hàng hóa ok
2200001732 THP 3600T cân tải        Hàng spot hàng hóa ok</t>
  </si>
  <si>
    <t>Hàng hóa - Lệnh okay</t>
  </si>
  <si>
    <t>10h00 20.09.2024</t>
  </si>
  <si>
    <t>10h30 20.09 bến 5</t>
  </si>
  <si>
    <t>+Đơn THP tháng 8-9 ĐÃ MAP 11kt</t>
  </si>
  <si>
    <t>21-22.09.2024</t>
  </si>
  <si>
    <t xml:space="preserve"> 22/9 Bến 2</t>
  </si>
  <si>
    <t>2200001735 - OTBD - 3.300T           Hàng hóa ok</t>
  </si>
  <si>
    <t>20h00 23.09.2024</t>
  </si>
  <si>
    <t>23/09 bến 1</t>
  </si>
  <si>
    <t>2200001704 - THP  Hàng hóa ok đã NK ngày 18/9 MAP 5K9</t>
  </si>
  <si>
    <t>EASTERN VENTURE</t>
  </si>
  <si>
    <t>11H00 21/09 Bến 5/10</t>
  </si>
  <si>
    <t xml:space="preserve">2400000868 -198.T09-24/HPDQ-PPL - LINH      Hàng hóa ok đã NK ngày 31/8
2400000881 - 185.T09-24 HPDQ-DF (LOT 1) - GIANG   Hàng hóa ok đã NK ngày 17/9
2400000882 - 185.T09-24 HPDQ-DF (LOT 2)     hàng hóa ok đã NK ngày 16/9
2400000883 - 185.T09-24 HPDQ-DF (LOT 3)      hàng hóa ok đã NK ngày 16/9
2400000884 - 185.T09-24 HPDQ-DF (LOT 4) - NGỌC       hàng hóa ok đã NK ngày 16/9 
2400000886 - 185.T09-24 HPDQ-DF (LOT 5) - NGỌC       hàng hóa ok đã NK ngày 16/9 
2400000904 -156.T07-24/HPDQ-DP - LINH      Hàng hóa ok đã NK ngày 11/8
2400000905 - 157.T07-24/HPDQ-DP - NGỌC   Hàng hóa ok đã NK ngày 11/8 </t>
  </si>
  <si>
    <t>TRƯỜNG HƯNG 556</t>
  </si>
  <si>
    <t>22.09.2024
NEO</t>
  </si>
  <si>
    <t>11H00 24/09 bến 3</t>
  </si>
  <si>
    <t>2200001733 THP cho vào làm dần
2200001704 THP
2200001737 THP cân tải</t>
  </si>
  <si>
    <t>24.09.2024</t>
  </si>
  <si>
    <t>25/09 bến 2</t>
  </si>
  <si>
    <r>
      <rPr>
        <sz val="14"/>
        <color rgb="FF000000"/>
        <rFont val="Times New Roman"/>
        <family val="1"/>
      </rPr>
      <t xml:space="preserve">2000002363 - Tây Nam T08 - 2.400T  - đơn sx lại (LSD: 10/10) - Thiên Lộc Thành Hàng hóa ok chờ MAP đủ lượng   - Lệnh ok
2000002370 - 188.T09.JFE - 2.000 - Posco        Đã MAP 809T + 1058 tấn chiều 25/9 NK + 120T sáng 26 NK   Chiều 25/9 duyệt lệnh
</t>
    </r>
    <r>
      <rPr>
        <sz val="14"/>
        <color rgb="FFFF0000"/>
        <rFont val="Times New Roman"/>
        <family val="1"/>
      </rPr>
      <t>Dỡ Thiên Lộc Thành -&gt; Posco</t>
    </r>
  </si>
  <si>
    <t>25.09.2024
neo</t>
  </si>
  <si>
    <t>26/09 bến 2</t>
  </si>
  <si>
    <r>
      <rPr>
        <sz val="14"/>
        <color rgb="FF000000"/>
        <rFont val="Times New Roman"/>
        <family val="1"/>
      </rPr>
      <t xml:space="preserve">2000002364 - CSVC - 500T (lệnh ok) - Phú Mỹ         Hàng hóa ok đã NK ngày 17/9
2000002368 - 188.T09.JFE  - 1.500 - Phú Mỹ     Hàng hóa ok đã NK ngày 25/9   Ưu tiên xuất
2000002369 - 188.T09.JFE  - 1.500 - Posco       Đã MAP 1265/1500T+    Ưu tiên xuất
2000002359 - QHP T08 - 500T  </t>
    </r>
    <r>
      <rPr>
        <b/>
        <sz val="14"/>
        <color rgb="FFFF0000"/>
        <rFont val="Times New Roman"/>
        <family val="1"/>
      </rPr>
      <t>LSD 30/9</t>
    </r>
    <r>
      <rPr>
        <sz val="14"/>
        <color rgb="FF000000"/>
        <rFont val="Times New Roman"/>
        <family val="1"/>
      </rPr>
      <t xml:space="preserve">    - Tân Thuận   Hàng hóa ok  - lệnh ok
</t>
    </r>
    <r>
      <rPr>
        <sz val="14"/>
        <color rgb="FFFF0000"/>
        <rFont val="Times New Roman"/>
        <family val="1"/>
      </rPr>
      <t xml:space="preserve">Dỡ  Phú Mỹ --&gt; Posco -&gt; Tân Thuận </t>
    </r>
  </si>
  <si>
    <t>HPS 02</t>
  </si>
  <si>
    <t>26/09 bến 5</t>
  </si>
  <si>
    <r>
      <rPr>
        <sz val="14"/>
        <color rgb="FF000000"/>
        <rFont val="Times New Roman"/>
        <family val="1"/>
      </rPr>
      <t xml:space="preserve">2000002365 - TLPM T09 - 4.000T - Phú Mỹ        </t>
    </r>
    <r>
      <rPr>
        <sz val="14"/>
        <color rgb="FFFF0000"/>
        <rFont val="Times New Roman"/>
        <family val="1"/>
      </rPr>
      <t xml:space="preserve">(LSD: 05/10)   Lệnh ok  (Đã MAP 4217T + 700T chiều 27 Nk + 50 chiều 30 NK)
</t>
    </r>
    <r>
      <rPr>
        <sz val="14"/>
        <color rgb="FF000000"/>
        <rFont val="Times New Roman"/>
        <family val="1"/>
      </rPr>
      <t xml:space="preserve">2000002350 - VNO 68E - 900T - Phú Mỹ </t>
    </r>
    <r>
      <rPr>
        <sz val="14"/>
        <color rgb="FFFF0000"/>
        <rFont val="Times New Roman"/>
        <family val="1"/>
      </rPr>
      <t xml:space="preserve">    Lệnh ok - Ra hết hàng và xuất hóa đơn muộn nhất ngày 30/9
</t>
    </r>
    <r>
      <rPr>
        <sz val="14"/>
        <color rgb="FF000000"/>
        <rFont val="Times New Roman"/>
        <family val="1"/>
      </rPr>
      <t xml:space="preserve">2000002380 - Tân Phước Khanh - 1000T - Phú Mỹ (lệnh ok) Hàng hóa ok đã NK ngày 28
</t>
    </r>
    <r>
      <rPr>
        <u/>
        <sz val="14"/>
        <color rgb="FFFF0000"/>
        <rFont val="Times New Roman"/>
        <family val="1"/>
      </rPr>
      <t xml:space="preserve">2000002387  - 209A.JFE (TĐA) - 3.000T - Phú Mỹ  -  (Hàng hóa ok đã NK ngày 28/9)  (HỦY LỆNH CỦA NAM SƠN THAY BẰNG TÔN ĐÔNG Á) - Lệnh ok
</t>
    </r>
    <r>
      <rPr>
        <sz val="14"/>
        <color rgb="FF000000"/>
        <rFont val="Times New Roman"/>
        <family val="1"/>
      </rPr>
      <t xml:space="preserve">2000002378 - Tân Phước Khanh - 2.000T - Phú Mỹ           Hàng hóa ok đã NK ngày 28   - Lệnh ok
2000002367 - Posco T07 - 5.000T (lệnh ok) - Posco      Dự kiến 28NK    </t>
    </r>
    <r>
      <rPr>
        <sz val="14"/>
        <color rgb="FFFF0000"/>
        <rFont val="Times New Roman"/>
        <family val="1"/>
      </rPr>
      <t xml:space="preserve">- Ra hết hàng và xuất hóa đơn muộn nhất ngày 30/9
   </t>
    </r>
    <r>
      <rPr>
        <sz val="14"/>
        <color rgb="FF000000"/>
        <rFont val="Times New Roman"/>
        <family val="1"/>
      </rPr>
      <t xml:space="preserve">  
</t>
    </r>
    <r>
      <rPr>
        <sz val="14"/>
        <color rgb="FFFF0000"/>
        <rFont val="Times New Roman"/>
        <family val="1"/>
      </rPr>
      <t>DỠ PHÚ MỸ -&gt; POSCO</t>
    </r>
  </si>
  <si>
    <t>SSI VIGILANT</t>
  </si>
  <si>
    <t>27.09.2024</t>
  </si>
  <si>
    <t>18h 27/9 Bến 6/11</t>
  </si>
  <si>
    <t>UK</t>
  </si>
  <si>
    <t xml:space="preserve">2400000898 / 2400000903 - 190.T09-24/HPDQ-BK - NGỌC   Hàng bóa ok đã NK ngày 20/9
2400000896 - 199.T09-24/HPDQ-ASP - LINH   hàng hóa ok đã NK ngày 18/9 </t>
  </si>
  <si>
    <t>21h30 28.09.2024
Tàu chạy rỗng về</t>
  </si>
  <si>
    <t>21h30 28/09 bến 3
Đẩy nhanh để kịp trong tháng 09</t>
  </si>
  <si>
    <t>2200001738 - OTHY 1245T   Hàng hóa ok
2200001740 - OTHY 1500T    Hàng hóa ok
2200001732 - THP 470T           Hàng hóa ok
2200001733 - THP 3150T           Hàng hóa ok
2200001736 - THP 160T             Hàng hóa ok
2200001737 - THP 2600T          Hàng hóa ok</t>
  </si>
  <si>
    <t>PHƯƠNG NAM 46
(Thay thế Việt Hòa 68)</t>
  </si>
  <si>
    <t>12h00 02.10.2024</t>
  </si>
  <si>
    <t>02/10 bến 2</t>
  </si>
  <si>
    <t xml:space="preserve"> - HSQN - 3.800T - Quy Nhơn     Hàng hóa ok đã NK ngày 28/9</t>
  </si>
  <si>
    <t>02-04.10.2024</t>
  </si>
  <si>
    <t>03/09 bến 3</t>
  </si>
  <si>
    <r>
      <rPr>
        <sz val="14"/>
        <color rgb="FF000000"/>
        <rFont val="Times New Roman"/>
        <family val="1"/>
      </rPr>
      <t xml:space="preserve">2000002382 - 250T - The One - Phú Mỹ  </t>
    </r>
    <r>
      <rPr>
        <b/>
        <sz val="14"/>
        <color rgb="FF000000"/>
        <rFont val="Times New Roman"/>
        <family val="1"/>
      </rPr>
      <t xml:space="preserve">Đơn này 200t thôi chứ nhỉ
</t>
    </r>
    <r>
      <rPr>
        <sz val="14"/>
        <color rgb="FF000000"/>
        <rFont val="Times New Roman"/>
        <family val="1"/>
      </rPr>
      <t>2000002371 - 190.T09.TĐA - 1.500T - Posco                Hàng hóa ok đã NK ngày 2/10
2000002375 - 190.T09.TDA - 1.000T - Tân Thuận        Hàng hóa ok đã NK ngày 2/10
2000002363 - Tây Nam T08 - 600T - Thiên Lộc Thành (LSD: 10/10) - lệnh ok  Hàng hóa ok đã NK ngày 30/9
Dỡ Posco --&gt; Tân Thuận -&gt; Thiên Lộc Thành
(Xuất âm lệnh 2371 + 2375 của TĐA để cân tải tàu nhưng phải đủ dung sai)</t>
    </r>
  </si>
  <si>
    <t>02.10.2024
Neo</t>
  </si>
  <si>
    <t>05/10 bến 2</t>
  </si>
  <si>
    <t>2200001744 - OTBD - 3.100T   hàng spot hàng sẵn
Ghép thép XD cân tải</t>
  </si>
  <si>
    <t>Glory Challenger</t>
  </si>
  <si>
    <t>06-07.10.2024</t>
  </si>
  <si>
    <t>06/10 Bến 5</t>
  </si>
  <si>
    <r>
      <rPr>
        <sz val="14"/>
        <color rgb="FF000000"/>
        <rFont val="Times New Roman"/>
        <family val="1"/>
      </rPr>
      <t xml:space="preserve">2400000915 - 196.T09-24/HPDQ-JFE (GIANG)  Hàng hóa ok đã NK ngày 1/10
2400000921 - SAE1006 - 206.T10-24/HPDQ-AMI </t>
    </r>
    <r>
      <rPr>
        <sz val="14"/>
        <color rgb="FFFF0000"/>
        <rFont val="Times New Roman"/>
        <family val="1"/>
      </rPr>
      <t xml:space="preserve">(LSD 10/10) </t>
    </r>
    <r>
      <rPr>
        <sz val="14"/>
        <color rgb="FF000000"/>
        <rFont val="Times New Roman"/>
        <family val="1"/>
      </rPr>
      <t xml:space="preserve">- Hà - 05/10 DUYỆT LỆNH
2400000926 - SAE1006 - 206.T10-24/HPDQ-AMI (LSD 10/10) - Hà - 05/10 DUYỆT LỆNH
</t>
    </r>
    <r>
      <rPr>
        <sz val="14"/>
        <color rgb="FFFF0000"/>
        <rFont val="Times New Roman"/>
        <family val="1"/>
      </rPr>
      <t xml:space="preserve">2400000922 </t>
    </r>
    <r>
      <rPr>
        <sz val="14"/>
        <color rgb="FF000000"/>
        <rFont val="Times New Roman"/>
        <family val="1"/>
      </rPr>
      <t xml:space="preserve">- S275JR - 206.T10-24/HPDQ-AMI </t>
    </r>
    <r>
      <rPr>
        <sz val="14"/>
        <color rgb="FFFF0000"/>
        <rFont val="Times New Roman"/>
        <family val="1"/>
      </rPr>
      <t>(LSD 10/10)</t>
    </r>
    <r>
      <rPr>
        <sz val="14"/>
        <color rgb="FF000000"/>
        <rFont val="Times New Roman"/>
        <family val="1"/>
      </rPr>
      <t xml:space="preserve"> - Hà - 05/10 DUYỆT LỆNH</t>
    </r>
  </si>
  <si>
    <t>06/10 bến 5</t>
  </si>
  <si>
    <t xml:space="preserve"> - HSQN T09 - 3.000T    Hàng hóa ok đã NK ngày 4/10
Tàu đi thiếu tải</t>
  </si>
  <si>
    <t>06.10.2024</t>
  </si>
  <si>
    <t>2000002383/2000002384/2000002385 - Nam Kim - 4.000T   (xuất hết 20*83, 20*84, 20*85 cân tải) Hàng hóa ok dã NK ngày 6/10</t>
  </si>
  <si>
    <t>VIỆT HÒA 68
( Thay thế tàu Minh Tú 28)</t>
  </si>
  <si>
    <t>07-08.09.2024</t>
  </si>
  <si>
    <t>08/10 bến 5</t>
  </si>
  <si>
    <t>2000002389 - OT190 - 1.000T (LSD 15/10)
2200001742 THP  - 2.500T    Hàng hóa ok- cân tải
2000002374 - Vinas - 100T - NGA</t>
  </si>
  <si>
    <t>HPS 01
(Thay thế tàu Trường Thành 16)</t>
  </si>
  <si>
    <t>07.10.2024</t>
  </si>
  <si>
    <t xml:space="preserve">2200001745 OTHY 6483T     Hàng hóa ok hàng sẵn spot
2200001746 OTHY 683T       Hàng hóa ok hàng sẵn spot
2200001747 OTHY 184T       Hàng hóa ok hàng sẵn spot
2200001733 THP 200T          Hàng hóa ok hàng sẵn spot
2200001742 THP cân tải        Hàng hóa ok
</t>
  </si>
  <si>
    <t>15.10.2024
NEO</t>
  </si>
  <si>
    <t>16/10 bến 3/5</t>
  </si>
  <si>
    <t>2200001742 - THP - 3.930 tấn Hàng hóa ok
2000002366 (lệnh ok) - Nhật Quang - 300T - Hải Phòng - LSD 30/10  Hàng hóa ok</t>
  </si>
  <si>
    <t>UNISON POWER</t>
  </si>
  <si>
    <t>14.10.2024</t>
  </si>
  <si>
    <t>16/10 Bến 6</t>
  </si>
  <si>
    <t>2400000911 (LOT 1) - 214.T10-24/HPDQ-GS (GIANG)        Hàng hóa ok đã NK ngày 11/10
2400000912 (LOT 2 - SPHC) - 214.T10-24/HPDQ-GS           Đã MAP 269/300
2400000913 ( LOT 2 - S275JR) - 214.T10-24/HPDQ-GS         Hàng hóa ok đã NK ngày 10/10
2400000914 ( LOT 3) - 214.T10-24/HPDQ-GS                          Hàng hóa ok đã NK ngày 10/10 
2400000917 - 215.T10-24/HPDQ-GS (LOT 1 -S275JR) - LINH       Hàng hóa ok đã NK ngày 10/10 
2400000918 - 215.T10-24/HPDQ-GS (LOT 1 -SPHT1) - LINH       Hàng hóa ok đã NK ngày 10/10 
2400000919 - 215.T10-24/HPDQ-GS (LOT 1 -SPHC) - LINH          Hàng hóa ok đã NK ngày 10/10 
2400000920 - 215.T10-24/HPDQ-GS (LOT 2) - LINH                    Hàng hóa ok đã NK ngày 10/10 
2400000927 - 216.T10-24/HPDQ-GS - HÀ                                   Hàng hóa ok đã NK ngày 10/10 
2400000916 - 217.T10-24/HPDQ-GS - NGỌC                               Hàng hóa ok đã NK ngày 10/10 
2400000933 (1)/ - 218.T10-24/HPDQ-GS - UYÊN       Đã MAP 270/300t 
2400000934 (2) - 218.T10-24/HPDQ-GS - UYÊN          Hàng hóa ok đã NK ngày 10/10 
2400000935 - 219.T10-24/HPDQ-GS - UYÊN                                 Đã MAP 522/550</t>
  </si>
  <si>
    <t>17-18.10.2024</t>
  </si>
  <si>
    <t>17/10 bến 5</t>
  </si>
  <si>
    <t>2000002384/2000002385/2000002386 - Nam Kim - 6.000T - Tân Thuận - cân tải   17/10 duyệt lệnh  Đã MAP 4280 + 1720 dự kiến sáng 18 NK
2000002395 - Tiến Lên - 100T (LSD: 30/10) - Tân Thuận - đi hết   Hàng hóa ok  17/10 duyệt lệnh</t>
  </si>
  <si>
    <t>PAPA JOHN</t>
  </si>
  <si>
    <t>13-14.10.2024</t>
  </si>
  <si>
    <t>18/10 Bến 5/10</t>
  </si>
  <si>
    <t>Đủ hàng mới cho tàu vào làm CCD</t>
  </si>
  <si>
    <r>
      <rPr>
        <sz val="14"/>
        <color rgb="FF000000"/>
        <rFont val="Times New Roman"/>
        <family val="1"/>
      </rPr>
      <t>2400000923 - 207.T10-24/HPDQ-STEMCOR - LINH              Hàng hóa ok đã NK ngày 10.10
2400000931 (1)/                                                                           Hàng hóa ok đã NK ngày 10.10
2400000932 (2) - 209.T10-24/HPDQ-HUYNDAI - UYÊN        Hàng hóa ok đã NK ngày 10.10 
2400000909</t>
    </r>
    <r>
      <rPr>
        <sz val="14"/>
        <color rgb="FFFF0000"/>
        <rFont val="Times New Roman"/>
        <family val="1"/>
      </rPr>
      <t xml:space="preserve"> </t>
    </r>
    <r>
      <rPr>
        <sz val="14"/>
        <color rgb="FF000000"/>
        <rFont val="Times New Roman"/>
        <family val="1"/>
      </rPr>
      <t xml:space="preserve">- 210.T10-24/HPDQ-NI (GIANG)                          Hàng hóa ok đã NK ngày 10.10 
2400000910 - 211.T10-24/HPDQ-HPI (GIANG)                         Hàng hóa ok đã NK ngày 14.10 
2400000924 (1)/                                                                       Hàng hóa ok đã NK ngày 10.10
2400000925 (2) - 212.T10-24/HPDQ-SAL - NGỌC                 Hàng hóa ok đã NK ngày 14.10 </t>
    </r>
  </si>
  <si>
    <t>Dự kiến 12 NK 7k8 + 200t 14 NK đủ</t>
  </si>
  <si>
    <t>14.10.2024
NEO</t>
  </si>
  <si>
    <t>tối 17/10 bến 3/5</t>
  </si>
  <si>
    <t>2000002388 - Hoàn Phúc - Tân Thuận   Hàng hóa ok spot, chiều 17/10 có lệnh</t>
  </si>
  <si>
    <t>17.10.2024
NEO</t>
  </si>
  <si>
    <t>19/10 Bến 1</t>
  </si>
  <si>
    <t>2200001742 - THP - 2.900 tấn  (hàng hóa ok đợi MAP)
2000002373 - Hùng Nguyên (200 tấn)  Hàng hoá ok</t>
  </si>
  <si>
    <t>EUCALYPTUS</t>
  </si>
  <si>
    <t>17.10.2024</t>
  </si>
  <si>
    <t>PTSC/Macshipping</t>
  </si>
  <si>
    <t>18/10 Bến 6</t>
  </si>
  <si>
    <t>Ravenna, Italy 
(Marcegaglie berth)</t>
  </si>
  <si>
    <t>2400000906 - 128.T06-24/HPDQ-MARCE (SAE1006)   Hàng hoá ok đã NK ngày 16/10
2400000907 - 128.T06-24/HPDQ-MARCE (S235JR)     Hàng hoá ok đã NK ngày 16/10</t>
  </si>
  <si>
    <t>Loading rate 6k/day
Dem rate 14,000 $/day</t>
  </si>
  <si>
    <t>18.10.2024
NEO</t>
  </si>
  <si>
    <t>19/10 Bến 5</t>
  </si>
  <si>
    <t>2000002402 - HSNS - 3.700T  Hàng hoá ok</t>
  </si>
  <si>
    <t>MINH TÚ 28</t>
  </si>
  <si>
    <t>2200001749 - THP - 3.750T - Hàng hóa ok Spot</t>
  </si>
  <si>
    <t>MINH PHÚC 282</t>
  </si>
  <si>
    <t>19.10.2024
Trả hàng Quy Nhơn
-&gt; về DQ nhận HRC</t>
  </si>
  <si>
    <t>19/10 bến 1</t>
  </si>
  <si>
    <t>2000002399 - Tây Nam - 4.350T - Thiên Lộc Thành    lệnh OK  Hàng hoá ok</t>
  </si>
  <si>
    <t>Tàu chờ đến 21 có hàng NK cho vào làm luôn giúp em ạ</t>
  </si>
  <si>
    <t>2000002402 - HSNS - 2.950T    Dự kiến 21/10 NK</t>
  </si>
  <si>
    <t>21-22.10.2024</t>
  </si>
  <si>
    <t>21/10 bến 5</t>
  </si>
  <si>
    <t>22*1753/2200001742 - THP - 3.240 tấn  Hàng hóa ok
2200001748 - OTHY - 2.000   Hàng hóa ok spot
2200001754 - THP - 1.100T   Hàng spot
2200001755/2200001756 - OTHY - 3.626T   Hàng spot
2000002394 - Chính Đại - 500T (LSD 30/10)
2200001752 - OTHY - 800     Hàng hóa ok spot - CÂN TẢI</t>
  </si>
  <si>
    <t>VIỆT THUẬN QN-02</t>
  </si>
  <si>
    <t>21.10.2024</t>
  </si>
  <si>
    <t>22/10 bến 3</t>
  </si>
  <si>
    <r>
      <rPr>
        <sz val="14"/>
        <color rgb="FF000000"/>
        <rFont val="Times New Roman"/>
        <family val="1"/>
      </rPr>
      <t xml:space="preserve">2000002390 - TVN - 2.000T - Phú Mỹ     Lệnh ok         Hàng hoá ok
2200001763 - HPC - 200T - Phú Mỹ        Lệnh ok       chỉ giao được 160/200t đã thông tin với P.KD
2000002379 - TPK - 2.000T - Phú Mỹ         Hàng hóa ok  Lệnh ok
2200001757 - OTBD - 2.263 T - Long Bình  Hàng hoá Sport ok - cân tải
</t>
    </r>
    <r>
      <rPr>
        <sz val="14"/>
        <color rgb="FFFF0000"/>
        <rFont val="Times New Roman"/>
        <family val="1"/>
      </rPr>
      <t>Dỡ Phú Mỹ -&gt; Long Bình</t>
    </r>
  </si>
  <si>
    <t>24.06.2024
NEO</t>
  </si>
  <si>
    <t>18h 27/10 Bến 3/5</t>
  </si>
  <si>
    <r>
      <rPr>
        <sz val="14"/>
        <color rgb="FF000000"/>
        <rFont val="Times New Roman"/>
        <family val="1"/>
      </rPr>
      <t xml:space="preserve">2000002381 - HSPM - 4.000T - Phú Mỹ   </t>
    </r>
    <r>
      <rPr>
        <sz val="14"/>
        <color rgb="FF7030A0"/>
        <rFont val="Times New Roman"/>
        <family val="1"/>
      </rPr>
      <t>Hàng hoá ok</t>
    </r>
  </si>
  <si>
    <t>HẢI NAM 68</t>
  </si>
  <si>
    <t>25.10.2024
NEO</t>
  </si>
  <si>
    <t>19h 27/10 Bến 3</t>
  </si>
  <si>
    <r>
      <rPr>
        <sz val="14"/>
        <color rgb="FF000000"/>
        <rFont val="Times New Roman"/>
        <family val="1"/>
      </rPr>
      <t xml:space="preserve">2000002393 - 183.Visa - 3.000T - Cẩm Nguyên      </t>
    </r>
    <r>
      <rPr>
        <sz val="14"/>
        <color rgb="FF7030A0"/>
        <rFont val="Times New Roman"/>
        <family val="1"/>
      </rPr>
      <t>Hàng hoá ok</t>
    </r>
    <r>
      <rPr>
        <sz val="14"/>
        <color rgb="FF000000"/>
        <rFont val="Times New Roman"/>
        <family val="1"/>
      </rPr>
      <t xml:space="preserve"> - cân tải - 25/10 duyệt lệnh
2000002404 - TYTS - 1.000T - Tân Thuận (</t>
    </r>
    <r>
      <rPr>
        <sz val="14"/>
        <color rgb="FFFF0000"/>
        <rFont val="Times New Roman"/>
        <family val="1"/>
      </rPr>
      <t>sang ngày 29/10 mới quét xuất hàng ra và xuất hóa đơn trước 16h ngày 29/10</t>
    </r>
    <r>
      <rPr>
        <sz val="14"/>
        <color rgb="FF000000"/>
        <rFont val="Times New Roman"/>
        <family val="1"/>
      </rPr>
      <t>)</t>
    </r>
    <r>
      <rPr>
        <sz val="14"/>
        <color rgb="FF7030A0"/>
        <rFont val="Times New Roman"/>
        <family val="1"/>
      </rPr>
      <t xml:space="preserve"> Hàng hoá ok </t>
    </r>
    <r>
      <rPr>
        <sz val="14"/>
        <color rgb="FFFF0000"/>
        <rFont val="Times New Roman"/>
        <family val="1"/>
      </rPr>
      <t>-</t>
    </r>
    <r>
      <rPr>
        <sz val="14"/>
        <color rgb="FF000000"/>
        <rFont val="Times New Roman"/>
        <family val="1"/>
      </rPr>
      <t xml:space="preserve"> lệnh ok
2000002397 - SEAH - 500T - Tân Thuận        lệnh ok ; </t>
    </r>
    <r>
      <rPr>
        <sz val="14"/>
        <color rgb="FF7030A0"/>
        <rFont val="Times New Roman"/>
        <family val="1"/>
      </rPr>
      <t xml:space="preserve">Hàng hoá ok
</t>
    </r>
    <r>
      <rPr>
        <sz val="14"/>
        <color rgb="FF000000"/>
        <rFont val="Times New Roman"/>
        <family val="1"/>
      </rPr>
      <t xml:space="preserve">2000002388 - Hoàn Phúc 100T - Tân Thuận  lệnh ok </t>
    </r>
    <r>
      <rPr>
        <sz val="14"/>
        <color rgb="FFFF0000"/>
        <rFont val="Times New Roman"/>
        <family val="1"/>
      </rPr>
      <t xml:space="preserve">(LSD 30/10) </t>
    </r>
    <r>
      <rPr>
        <sz val="14"/>
        <color rgb="FF7030A0"/>
        <rFont val="Times New Roman"/>
        <family val="1"/>
      </rPr>
      <t xml:space="preserve">hàng spot ok
</t>
    </r>
    <r>
      <rPr>
        <sz val="14"/>
        <color rgb="FFFF0000"/>
        <rFont val="Times New Roman"/>
        <family val="1"/>
      </rPr>
      <t>Dỡ Tân Thuận -&gt; Cẩm Nguyên</t>
    </r>
  </si>
  <si>
    <t>Quy Nhơn/Miền Nam</t>
  </si>
  <si>
    <r>
      <rPr>
        <sz val="14"/>
        <color rgb="FF000000"/>
        <rFont val="Times New Roman"/>
        <family val="1"/>
      </rPr>
      <t xml:space="preserve">2000002376 - HSQN - 7.800T - Quy Nhơn  </t>
    </r>
    <r>
      <rPr>
        <sz val="14"/>
        <color rgb="FF7030A0"/>
        <rFont val="Times New Roman"/>
        <family val="1"/>
      </rPr>
      <t xml:space="preserve">Hàng hóa ok
</t>
    </r>
    <r>
      <rPr>
        <sz val="14"/>
        <color rgb="FF000000"/>
        <rFont val="Times New Roman"/>
        <family val="1"/>
      </rPr>
      <t xml:space="preserve">2000002381 - HSPM - 1.740T - Phú Mỹ  </t>
    </r>
    <r>
      <rPr>
        <sz val="14"/>
        <color rgb="FF7030A0"/>
        <rFont val="Times New Roman"/>
        <family val="1"/>
      </rPr>
      <t xml:space="preserve">Hàng hóa ok  </t>
    </r>
    <r>
      <rPr>
        <sz val="14"/>
        <color rgb="FF000000"/>
        <rFont val="Times New Roman"/>
        <family val="1"/>
      </rPr>
      <t xml:space="preserve">   
2000002406 - HSPM - 4.000T đơn 171 - Phú Mỹ sx thêm (</t>
    </r>
    <r>
      <rPr>
        <sz val="14"/>
        <color rgb="FF7030A0"/>
        <rFont val="Times New Roman"/>
        <family val="1"/>
      </rPr>
      <t>đã map đủ 4000t</t>
    </r>
    <r>
      <rPr>
        <sz val="14"/>
        <color rgb="FF000000"/>
        <rFont val="Times New Roman"/>
        <family val="1"/>
      </rPr>
      <t xml:space="preserve">)
2000002398 - CSVC (lệnh ok) - 500T - Phú Mỹ  </t>
    </r>
    <r>
      <rPr>
        <sz val="14"/>
        <color rgb="FF7030A0"/>
        <rFont val="Times New Roman"/>
        <family val="1"/>
      </rPr>
      <t xml:space="preserve">Hàng hoá ok
</t>
    </r>
    <r>
      <rPr>
        <sz val="14"/>
        <color rgb="FF000000"/>
        <rFont val="Times New Roman"/>
        <family val="1"/>
      </rPr>
      <t xml:space="preserve">2000002408 - 198A.TĐA - 2.000T - Posco - </t>
    </r>
    <r>
      <rPr>
        <sz val="14"/>
        <color rgb="FF7030A0"/>
        <rFont val="Times New Roman"/>
        <family val="1"/>
      </rPr>
      <t xml:space="preserve">Hàng hóa ok </t>
    </r>
    <r>
      <rPr>
        <sz val="14"/>
        <color rgb="FF000000"/>
        <rFont val="Times New Roman"/>
        <family val="1"/>
      </rPr>
      <t xml:space="preserve">- 26/10 duyệt lệnh
2000002410 - 209B.JFE - 2.000T - Posco - </t>
    </r>
    <r>
      <rPr>
        <sz val="14"/>
        <color rgb="FFFF0000"/>
        <rFont val="Times New Roman"/>
        <family val="1"/>
      </rPr>
      <t>Dự kiến 29/10 NK</t>
    </r>
    <r>
      <rPr>
        <sz val="14"/>
        <color rgb="FF000000"/>
        <rFont val="Times New Roman"/>
        <family val="1"/>
      </rPr>
      <t xml:space="preserve"> - 25/10 duyệt lệnh
</t>
    </r>
    <r>
      <rPr>
        <sz val="14"/>
        <color rgb="FFFF0000"/>
        <rFont val="Times New Roman"/>
        <family val="1"/>
      </rPr>
      <t>Dỡ Quy Nhơn -&gt; Phú Mỹ -&gt; Posco</t>
    </r>
  </si>
  <si>
    <t>28.10.2024</t>
  </si>
  <si>
    <t>29/10 Bến 3/5
làm xong HRC shifting ra khu neo đợi slot bến 1,2.</t>
  </si>
  <si>
    <r>
      <rPr>
        <sz val="14"/>
        <color rgb="FF000000"/>
        <rFont val="Times New Roman"/>
        <family val="1"/>
      </rPr>
      <t xml:space="preserve">2000002399 - Tây Nam - 1.650T - Thiên Lộc Thành     lệnh OK </t>
    </r>
    <r>
      <rPr>
        <sz val="14"/>
        <color rgb="FF7030A0"/>
        <rFont val="Times New Roman"/>
        <family val="1"/>
      </rPr>
      <t xml:space="preserve">hàng hóa ok
</t>
    </r>
    <r>
      <rPr>
        <sz val="14"/>
        <color rgb="FFFF0000"/>
        <rFont val="Times New Roman"/>
        <family val="1"/>
      </rPr>
      <t>Ghép hàng thép XD</t>
    </r>
  </si>
  <si>
    <t>28.10.2024
NEO</t>
  </si>
  <si>
    <t>28/10 bến 5</t>
  </si>
  <si>
    <r>
      <rPr>
        <sz val="14"/>
        <color rgb="FF000000"/>
        <rFont val="Times New Roman"/>
        <family val="1"/>
      </rPr>
      <t xml:space="preserve">2000002402 + 2000002407 - HSNS - 6.000T  - Nghi Sơn       </t>
    </r>
    <r>
      <rPr>
        <sz val="14"/>
        <color rgb="FF7030A0"/>
        <rFont val="Times New Roman"/>
        <family val="1"/>
      </rPr>
      <t xml:space="preserve"> Tổng lượng MAP 8K5</t>
    </r>
  </si>
  <si>
    <t xml:space="preserve">
29.10.2024</t>
  </si>
  <si>
    <t>29/10 bến 3</t>
  </si>
  <si>
    <t>2200001751 - OTHY - 1.300T   Hàng hóa ok hàng spot
2200001760 - THP - 1.800T Hàng hóa ok hàng spot
2200001762 - OTHY - 250T Hàng hóa ok hàng spot
2200001761 - OTHY - 1.480T Hàng hóa ok hàng spot   - CÂN TẢI</t>
  </si>
  <si>
    <t>29.10.2024</t>
  </si>
  <si>
    <t>29/10 bến 3/5
thế slot Hải Dương 99</t>
  </si>
  <si>
    <t>2000002407 - HSNS - 1.300T (nằm trong 10kt xuất được trong tháng 10 như Được báo) - cân tải
2000002405 - Phú Nam - 850T  (LSD 5/11)   Hàng hoá ok  - Hải Phòng (Xuất hóa đơn trong T10)
2200001751 - OTHY - 1.000T - Hải Phòng   Hàng hóa ok hàng spot</t>
  </si>
  <si>
    <t>VIỆT THUẬN 095-02</t>
  </si>
  <si>
    <t>31.10.2024</t>
  </si>
  <si>
    <t>31/10 bến 3/5</t>
  </si>
  <si>
    <r>
      <rPr>
        <sz val="14"/>
        <color rgb="FF000000"/>
        <rFont val="Times New Roman"/>
        <family val="1"/>
      </rPr>
      <t xml:space="preserve">2000002407 HSNS - 5.700T - xuất hết lượng mapping còn lại  - </t>
    </r>
    <r>
      <rPr>
        <sz val="14"/>
        <color rgb="FF7030A0"/>
        <rFont val="Times New Roman"/>
        <family val="1"/>
      </rPr>
      <t xml:space="preserve">Hàng hoá Ok
</t>
    </r>
    <r>
      <rPr>
        <sz val="14"/>
        <color rgb="FF000000"/>
        <rFont val="Times New Roman"/>
        <family val="1"/>
      </rPr>
      <t>2000002403 HSNS - 3.000T  -</t>
    </r>
    <r>
      <rPr>
        <sz val="14"/>
        <color rgb="FF7030A0"/>
        <rFont val="Times New Roman"/>
        <family val="1"/>
      </rPr>
      <t xml:space="preserve"> (Map 3000 tấn)
</t>
    </r>
    <r>
      <rPr>
        <sz val="14"/>
        <color rgb="FFFF0000"/>
        <rFont val="Times New Roman"/>
        <family val="1"/>
      </rPr>
      <t>Xuất hết lệnh 2407 rồi đến 2403 (ko được thì nhắn Nga trước nhé)</t>
    </r>
  </si>
  <si>
    <t>01.08.2024
Dỡ than -&gt; nhận HRC</t>
  </si>
  <si>
    <t>đêm 01/08 bến 2</t>
  </si>
  <si>
    <t>2000002290 - HSPM - 2.980T - Phú Mỹ
2200001700 - OTBD - 1.600T - Long Bình - cân tải  Hàng hóa ok hàng spot</t>
  </si>
  <si>
    <t>01.08.2024
NEO</t>
  </si>
  <si>
    <t>3/8 đủ hết lệnh; bến 3/5</t>
  </si>
  <si>
    <r>
      <rPr>
        <sz val="14"/>
        <color rgb="FF000000"/>
        <rFont val="Times New Roman"/>
        <family val="1"/>
      </rPr>
      <t xml:space="preserve">2000002287 Hàng hóa ok đã NK ngày 22/7 + 2000002288 - HSNS T07 - 10.700T - Nghi Sơn - lệnh + hàng hóa ok (Size 1.80x121x SKIN dự kiến mùng 6 NK)
2200001698 THP - 2.620T hàng stock - Hải Phòng   Hàng hoa ok hàng sẵn
2200001685 OTHY  - 530T                                       Hàng hoa ok hàng sẵn
2200001694 OTHY 2500T                                             Hàng hoa ok hàng sẵn
2200001696 OTHY 110T                                               Hàng hoa ok hàng sẵn
2200001703 OTHY  9400T cân tải
2200001702 NMCN 3200T
</t>
    </r>
    <r>
      <rPr>
        <sz val="14"/>
        <color rgb="FFFF0000"/>
        <rFont val="Times New Roman"/>
        <family val="1"/>
      </rPr>
      <t>Dỡ hàng Nghi Sơn - Hải Phòng</t>
    </r>
  </si>
  <si>
    <t>+2000002287 Hàng hóa ok đã NK ngày 22/7</t>
  </si>
  <si>
    <t>WELL SAILING</t>
  </si>
  <si>
    <t>04.08.2024</t>
  </si>
  <si>
    <t>2400000803 - 75.T04-24/HPDQ-ARS  Hàng hóa ok đã sản xuất ngày 26/6</t>
  </si>
  <si>
    <t>02-03.08.2024
NEO</t>
  </si>
  <si>
    <t>06/08 bến 1
Tàu này 5/8 mới có hàng NK</t>
  </si>
  <si>
    <r>
      <rPr>
        <sz val="14"/>
        <color rgb="FF323130"/>
        <rFont val="Times New Roman"/>
        <family val="1"/>
      </rPr>
      <t xml:space="preserve">2000002302 - TĐA.148.T08 - 1.000T - Tân Thuận (Đã MAP 562 tấn)-Lượng thiếu dự kiến chiều 7/8 NK 
2000002303 - TĐA.148.T08 - 1.000T - Tân Thuận (Đã MAP 896T/100 tấn)-Lượng thiếu dự kiến chiều 7/8 NK 
2000002304 - TĐA.148.T08 - 2.000T - Posco (Đã MAP 1590/2000 tấn)-Lượng thiếu dự kiến chiều 7/8 NK 
</t>
    </r>
    <r>
      <rPr>
        <sz val="14"/>
        <color rgb="FFFF0000"/>
        <rFont val="Times New Roman"/>
        <family val="1"/>
      </rPr>
      <t>DỠ TÂN THUẬN --&gt; POSCO</t>
    </r>
    <r>
      <rPr>
        <sz val="14"/>
        <color rgb="FF323130"/>
        <rFont val="Times New Roman"/>
        <family val="1"/>
      </rPr>
      <t xml:space="preserve"> Lệnh ok hết</t>
    </r>
  </si>
  <si>
    <t>Ngày lập</t>
  </si>
  <si>
    <t>Tên loại phiếu</t>
  </si>
  <si>
    <t>Mã lệnh</t>
  </si>
  <si>
    <t>Tên khách hàng</t>
  </si>
  <si>
    <t>Vận chuyển</t>
  </si>
  <si>
    <t>Ship Name</t>
  </si>
  <si>
    <t>Lô SX yêu cầu</t>
  </si>
  <si>
    <t>Ghi chú</t>
  </si>
  <si>
    <t>Tên người dùng</t>
  </si>
  <si>
    <t>Transporter Unit</t>
  </si>
  <si>
    <t>Mã phiếu</t>
  </si>
  <si>
    <t>Tên hàng hóa</t>
  </si>
  <si>
    <t>Khối lượng vào</t>
  </si>
  <si>
    <t>Khối lượng NET</t>
  </si>
  <si>
    <t>Chốt phiếu</t>
  </si>
  <si>
    <t>DIRECTION SW</t>
  </si>
  <si>
    <t>06.08.2024</t>
  </si>
  <si>
    <t>17h 07/08 Bến 5</t>
  </si>
  <si>
    <t>2400000804 - S275JR - 147.T07-24/HPDQ-GS - Hà   Hàng hóa ok đã NK ngày 17/7
2400000809 - SPHC - 147.T07-24/HPDQ-GS - Hà       Hàng skin hàng hóa ok đã NK 16/7 NK
2400000789 - 148.T07-24/HPDQ-GS (LOT 1) (LINH)   Hàng hóa ok đã NK ngày 28/7
2400000788 - 148.T07-24/HPDQ-GS (LOT 2) (LINH)   Hàng hóa ok đã NK ngày 7/7
2400000805 - 149.T07-24/HPDQ-GS - GIANG               Hàng hóa ok đã NK ngày 16/7
2400000799 150.T07-24/HPDQ-GS NGỌC                    Hàng hóa ok đã NK ngày 17/7
2400000800 151.T07-24/HPDQ-GS NGỌC   Hàng hóa ok đã NK ngày 6/7
2400000801 152.T07-24/HPDQ-GS NGỌC   Hàng hóa ok đã NK ngày 28/7</t>
  </si>
  <si>
    <t>08/08 bến 1</t>
  </si>
  <si>
    <t>2000002253 (lệnh ok) - Nam Kim - 500 tấn xuất bù - Tân Thuận ( Hàng hóa ok đã NK ngày 8/8) 644/500T
2000002305 (lệnh ok) - Nam Kim - 1.000 T - Tân Thuận - xuất hết mapping Hàng hóa ok đã NK ngày 2/8 (1039/1000T) 
2000002300 - Tây Nam - 2.000T - Thiên Lộc Thành - (Đã MAP 1918/2000T) (lệnh ok) 
MAP ĐỦ 3.600 TẤN XUẤT CHO TÀU NÀY NHÉ</t>
  </si>
  <si>
    <t>XUẤT HÀNG XUẤT KHẨU</t>
  </si>
  <si>
    <t>2400000803 - 75.T04-24/HPDQ-ARS Ngày 05-07-2024</t>
  </si>
  <si>
    <t>ARSEN INTERNATIONAL (HK) LIMITED</t>
  </si>
  <si>
    <t>76G-00408</t>
  </si>
  <si>
    <t>Không VLPOD 
XUẤT HÀNG THEO MAPPING, LIST PKD 
xuất cuộn có KL lớn trước 
DÁN NHÃN PHỤ 
Trần Văn Tuyển 212668004</t>
  </si>
  <si>
    <t>Nguyễn Như Đạt</t>
  </si>
  <si>
    <t>Thảo Thịnh</t>
  </si>
  <si>
    <t>Chưa chốt</t>
  </si>
  <si>
    <t>08.08.2024</t>
  </si>
  <si>
    <t>09/08 bến 1</t>
  </si>
  <si>
    <t>2200001703 OTHY - hàng stock - cân tải   Hàng spot hàng sẵn
2000002312 -  Vinas - 50T    hàng hóa ok đã NK ngày 27/7</t>
  </si>
  <si>
    <t>7h 09/08 Bến 3/5</t>
  </si>
  <si>
    <r>
      <rPr>
        <sz val="14"/>
        <color rgb="FF000000"/>
        <rFont val="Times New Roman"/>
        <family val="1"/>
      </rPr>
      <t xml:space="preserve">2400000812 -159.T08-24/HPDQ-MI (LINH)  Hàng hóa ok đã NK ngày 30/7
2400000813 - 160.T08-24/HPDQ-MI (LINH)  Hàng hóa ok đã NK ngày 30/7
</t>
    </r>
    <r>
      <rPr>
        <b/>
        <sz val="14"/>
        <color rgb="FFFF0000"/>
        <rFont val="Times New Roman"/>
        <family val="1"/>
      </rPr>
      <t>2400000810/
2400000834</t>
    </r>
    <r>
      <rPr>
        <sz val="14"/>
        <color rgb="FFFF0000"/>
        <rFont val="Times New Roman"/>
        <family val="1"/>
      </rPr>
      <t xml:space="preserve">- 161.T08-24/HPDQ-STEMCOR (NGỌC)   Hàng hóa ok đã NK ngày 30/7
</t>
    </r>
    <r>
      <rPr>
        <sz val="14"/>
        <color rgb="FF000000"/>
        <rFont val="Times New Roman"/>
        <family val="1"/>
      </rPr>
      <t xml:space="preserve">2400000811 - 161.T08-24/HPDQ-STEMCOR (NGỌC)    Hàng hóa ok đã NK ngày 23/7
2400000814 - 162.T08-24/HPDQ-JFE (GIANG)               Hàng hóa ok đã NK ngày 23/7
2400000819 - S275JR - 181.T08-24/HPDQ-HWA (HÀ)    Hàng hóa ok đã NK ngày 23/7
</t>
    </r>
    <r>
      <rPr>
        <sz val="14"/>
        <color rgb="FFFF0000"/>
        <rFont val="Times New Roman"/>
        <family val="1"/>
      </rPr>
      <t>2400000820 - SPHC- 181.T08-24/HPDQ-HWA (HÀ)        Hàng hóa ok đã NK ngày 4/8
2400000833 - 182.T08-24/HPDQ-HWA (HÀ)  Hàng hóa ok đã NK ngày 23/7</t>
    </r>
  </si>
  <si>
    <t>10-11.08.2024
Dỡ đá -&gt; nhận HRC</t>
  </si>
  <si>
    <t>10/08 bến 1</t>
  </si>
  <si>
    <t>2200001703 OTHY - 700T    Hàng spot hàng sẵn
2200001708 OTHY - 1600T    Hàng spot hàng sẵn
2200001709 NMCN -  550T    Hàng spot hàng sẵn
2200001701 THP cân tải          Hàng spot hàng sẵn</t>
  </si>
  <si>
    <t>10.08.2024
NEO</t>
  </si>
  <si>
    <t>15h00 12/08 bến 5</t>
  </si>
  <si>
    <r>
      <rPr>
        <sz val="14"/>
        <color rgb="FF000000"/>
        <rFont val="Times New Roman"/>
        <family val="1"/>
      </rPr>
      <t xml:space="preserve">2000002318 - 160.T08.TDA - 1.500T - Phú Mỹ  đã duyệt lệnh   Hàng hóa ok đã NK ngày 12/8 1434/1500t
2000002319 - 160.T08.TDA - 1.000T - Posco      đã duyệt lệnh   Hàng hóa ok đã NK ngày 12/8 926/1000
2000002320 - 161.T08.JFE - 500T - Posco          SÁNG 13/8 duyệt lệnh    Đã MAP 216T + 240T dự kiến chiều 12 NK
2000002280 (lệnh ok) Tân Phước Khanh - 3.000T - Phú Mỹ                     đã duyệt lệnh    Hàng hóa ok đã NK ngày 8/7
</t>
    </r>
    <r>
      <rPr>
        <sz val="14"/>
        <color rgb="FFFF0000"/>
        <rFont val="Times New Roman"/>
        <family val="1"/>
      </rPr>
      <t>Dỡ Phú Mỹ -&gt; Posco</t>
    </r>
  </si>
  <si>
    <t>12.08.2024
NEO</t>
  </si>
  <si>
    <t>12/08 bến 2</t>
  </si>
  <si>
    <t>2000002306 (lệnh ok) Nam Kim T08 -  4.250T - Tân Thuận   Hàng hóa ok đã NK ngày 10/8</t>
  </si>
  <si>
    <t>09.08.2024
NEO</t>
  </si>
  <si>
    <t>13h00 13/08 bến 1</t>
  </si>
  <si>
    <t>2200001704 THP 4,300T</t>
  </si>
  <si>
    <t>11.08.2024
NEO</t>
  </si>
  <si>
    <t>13h30 13/08 bến 5</t>
  </si>
  <si>
    <t>2200001704 THP 600T
2200001701 THP 720T
2200001705 THP 2000T</t>
  </si>
  <si>
    <t>ULTRA CRIMSON</t>
  </si>
  <si>
    <t>15.08.2024</t>
  </si>
  <si>
    <t>16/08 Bến 5</t>
  </si>
  <si>
    <t>2400000847 - LOT 1 A36 - 168.T08-24/HPDQ-STEMCOR - HÀ           Hàng hóa ok đã NK ngày 8/8
2400000848 - LOT 1 SAE1008 - 168.T08-24/HPDQ-STEMCOR - HÀ           Hàng hóa ok đã NK ngày 8/8
2400000851 - LOT 2 A36 - 168.T08-24/HPDQ-STEMCOR - HÀ           Hàng hóa ok đã NK ngày 8/8
2400000850 - LOT 2 SAE1008 - 168.T08-24/HPDQ-STEMCOR - HÀ           Hàng hóa ok đã NK ngày 8/8
2400000824 - LOT 1 - 169.T08-24/HPDQ-HUYNDAI - NGỌC    Hàng hóa ok đã NK ngày 2/8
2400000825 - LOT 2 - 169.T08-24/HPDQ-HUYNDAI - NGỌC    Hàng hóa ok đã NK ngày 2/8
2400000832 - 170.T08-24/HPDQ-HPI - GIANG                             Hàng hóa ok đã NK ngày 2/8
2400000839 - 171.T08-24/HPDQ-HPI - GIANG
2400000844 - 108A.T08-24/HPDQ-NI - NGỌC
2400000843 - 108B.T08-24/HPDQ-NI - NGỌC</t>
  </si>
  <si>
    <t>15.08.2024
NEO</t>
  </si>
  <si>
    <t>15/08 Bến 1</t>
  </si>
  <si>
    <t>2000002316,2317 TCĐ 1000T   Hàng hóa ok đã NK ngày 13/8
2200001713 NMCN 2540T       Hàng spot hàng sẵn
2200001711 THP cân tải            Hàng spot hàng sẵn</t>
  </si>
  <si>
    <t>15/08 Bến 2</t>
  </si>
  <si>
    <t>2200001714 OTHY cân tải            Hàng spot hàng sẵn</t>
  </si>
  <si>
    <t>16/08 bến 1</t>
  </si>
  <si>
    <t>2000002300 - Tây Nam - 3.000T (LSD 20/8) - Thiên Lộc Thành (lệnh ok) Hàng hóa ok đã NK ngày 15/8
2000002309 - CSVC - 1.000T (LSD 15/9) - lệnh ok - Phú Mỹ    Hàng hóa ok đã NK ngày 5/8</t>
  </si>
  <si>
    <t>16-17.08.2024</t>
  </si>
  <si>
    <t>16/08 bến 2</t>
  </si>
  <si>
    <t>2000002307 (lệnh ok) Nam Kim T08 - 4.500T (LSD 30/8) - Tân Thuận   Hàng hóa ok đã NK 10/8
2000002306 (lệnh ok) Nam Kim T08 -  250T - Tân Thuận   Hàng hóa ok đã NK ngày 10/8 - cân tải</t>
  </si>
  <si>
    <t>ARKONA</t>
  </si>
  <si>
    <t>18.08.2024</t>
  </si>
  <si>
    <t>Macs Shipping/PTSC</t>
  </si>
  <si>
    <t>18/8 Bến 10</t>
  </si>
  <si>
    <t>BIZERTE, TUNISIA</t>
  </si>
  <si>
    <t>2400000828 - P09676   Hàng hóa ok đã NK ngày 14/8
2400000829 - P09847   Hàng hóa ok đẫ NK ngày 13/8</t>
  </si>
  <si>
    <t>22.08.2024</t>
  </si>
  <si>
    <t>22/08 bến 3
Xong</t>
  </si>
  <si>
    <r>
      <rPr>
        <sz val="14"/>
        <color rgb="FF000000"/>
        <rFont val="Times New Roman"/>
        <family val="1"/>
      </rPr>
      <t xml:space="preserve">2200001680 THP 1500T    hàng hóa ok đã NK ngày 18/8
2200001704 THP 1700T      hàng hóa ok đã NK ngày 18/8
2200001711 THP 3000T     Hàng spot hàng sẵn 
</t>
    </r>
    <r>
      <rPr>
        <sz val="14"/>
        <color rgb="FFFF0000"/>
        <rFont val="Times New Roman"/>
        <family val="1"/>
      </rPr>
      <t>2200001715 THP 1800T cân tảiTàu dwt 8kt, có thêm hàng thì cho lên, không thì đi thiếu tải</t>
    </r>
  </si>
  <si>
    <t>CHANG MIN</t>
  </si>
  <si>
    <t>21.08.2024</t>
  </si>
  <si>
    <t>AN TM MARITIME</t>
  </si>
  <si>
    <t>21/08 Bến 5
Đang làm hàng</t>
  </si>
  <si>
    <t>2400000817 -156.T07-24/HPDQ-DP - LINH       Hàng hóa ok đã NK ngày 11/8 5637/6000t
2400000821 - 157.T07-24/HPDQ-DP - NGỌC   Hàng hóa ok đã NK ngày 11/8</t>
  </si>
  <si>
    <t>CSE CLIPPER EXPRESS</t>
  </si>
  <si>
    <t>19.08.2024</t>
  </si>
  <si>
    <t>13h00 21/08 Bến 6/11
Đang làm hàng</t>
  </si>
  <si>
    <r>
      <rPr>
        <sz val="14"/>
        <color rgb="FFFF0000"/>
        <rFont val="Times New Roman"/>
        <family val="1"/>
      </rPr>
      <t xml:space="preserve">2400000840 </t>
    </r>
    <r>
      <rPr>
        <sz val="14"/>
        <color rgb="FF000000"/>
        <rFont val="Times New Roman"/>
        <family val="1"/>
      </rPr>
      <t xml:space="preserve">- 173.T08-24/HPDQ-GS (lot 1 S275JR) - LINH       Hàng hóa ok đã MAP 5265t (265t NK ngày 23/8)
</t>
    </r>
    <r>
      <rPr>
        <sz val="14"/>
        <color rgb="FFFF0000"/>
        <rFont val="Times New Roman"/>
        <family val="1"/>
      </rPr>
      <t xml:space="preserve">2400000841 </t>
    </r>
    <r>
      <rPr>
        <sz val="14"/>
        <color rgb="FF000000"/>
        <rFont val="Times New Roman"/>
        <family val="1"/>
      </rPr>
      <t xml:space="preserve">- 173.T08-24/HPDQ-GS (lot 1 SPHC) - LINH          Đã MAP 145T + 600T dự kiến chiều 22 NK
</t>
    </r>
    <r>
      <rPr>
        <sz val="14"/>
        <color rgb="FFFF0000"/>
        <rFont val="Times New Roman"/>
        <family val="1"/>
      </rPr>
      <t xml:space="preserve">2400000842 </t>
    </r>
    <r>
      <rPr>
        <sz val="14"/>
        <color rgb="FF000000"/>
        <rFont val="Times New Roman"/>
        <family val="1"/>
      </rPr>
      <t xml:space="preserve">- 173.T08-24/HPDQ-GS (lot 2) - LINH                     Hàng hóa ok đã MAP 6274t
2400000831 (SPHC) - 174.T08-24/HPDQ-GS (GIANG)               Hàng hóa ok đã NK ngày   17/8   
</t>
    </r>
    <r>
      <rPr>
        <sz val="14"/>
        <color rgb="FFFF0000"/>
        <rFont val="Times New Roman"/>
        <family val="1"/>
      </rPr>
      <t xml:space="preserve">2400000860 </t>
    </r>
    <r>
      <rPr>
        <sz val="14"/>
        <color rgb="FF000000"/>
        <rFont val="Times New Roman"/>
        <family val="1"/>
      </rPr>
      <t xml:space="preserve">(S275JR) - 174.T08-24/HPDQ-GS (GIANG) Hàng hóa ok đã MAP 5037t + 50 tấn 3.80x121x đang chờ duyệt
</t>
    </r>
    <r>
      <rPr>
        <sz val="14"/>
        <color rgb="FFFF0000"/>
        <rFont val="Times New Roman"/>
        <family val="1"/>
      </rPr>
      <t xml:space="preserve">2400000861 </t>
    </r>
    <r>
      <rPr>
        <sz val="14"/>
        <color rgb="FF000000"/>
        <rFont val="Times New Roman"/>
        <family val="1"/>
      </rPr>
      <t xml:space="preserve">(S275JR) - 174.T08-24/HPDQ-GS (GIANG)            Đã MAP 4500T+ lượng còn lại dự kiến sáng 22 NK
</t>
    </r>
    <r>
      <rPr>
        <sz val="14"/>
        <color rgb="FFFF0000"/>
        <rFont val="Times New Roman"/>
        <family val="1"/>
      </rPr>
      <t xml:space="preserve">2400000838 </t>
    </r>
    <r>
      <rPr>
        <sz val="14"/>
        <color rgb="FF000000"/>
        <rFont val="Times New Roman"/>
        <family val="1"/>
      </rPr>
      <t xml:space="preserve">- 175.T08-24/HPDQ-GS - NGỌC                              Hàng hóa ok đã MAP 472t (100t NK ngày 23/8)
2400000837 -176.T08-24/HPDQ-GS - NGỌC                                Hàng hóa ok đã MAP 285t Nk ngày 17/8
</t>
    </r>
    <r>
      <rPr>
        <sz val="14"/>
        <color rgb="FFFF0000"/>
        <rFont val="Times New Roman"/>
        <family val="1"/>
      </rPr>
      <t>2400000859</t>
    </r>
    <r>
      <rPr>
        <sz val="14"/>
        <color rgb="FF000000"/>
        <rFont val="Times New Roman"/>
        <family val="1"/>
      </rPr>
      <t xml:space="preserve">(SPHC) -176.T08-24/HPDQ-GS - NGỌC                   Hàng hóa ok đã NK ngày 23/8
</t>
    </r>
    <r>
      <rPr>
        <sz val="14"/>
        <color rgb="FFFF0000"/>
        <rFont val="Times New Roman"/>
        <family val="1"/>
      </rPr>
      <t xml:space="preserve">2400000846 </t>
    </r>
    <r>
      <rPr>
        <sz val="14"/>
        <color rgb="FF000000"/>
        <rFont val="Times New Roman"/>
        <family val="1"/>
      </rPr>
      <t xml:space="preserve">- 177.T08-24/HPDQ-GS - HÀ                                     Đã MAP 390T +50t đang xử lý 
2400000858 - 178.T08-24/HPDQ-GS - Hà                                      Hàng hóa ok đã NK ngày 23/8
</t>
    </r>
    <r>
      <rPr>
        <sz val="14"/>
        <color rgb="FFFF0000"/>
        <rFont val="Times New Roman"/>
        <family val="1"/>
      </rPr>
      <t>2400000836</t>
    </r>
    <r>
      <rPr>
        <sz val="14"/>
        <color rgb="FF000000"/>
        <rFont val="Times New Roman"/>
        <family val="1"/>
      </rPr>
      <t xml:space="preserve"> - 179.T08-24/HPDQ-GS - NGỌC                                 Hàng hóa ok đã NK ngày 23/8
</t>
    </r>
    <r>
      <rPr>
        <sz val="14"/>
        <color rgb="FFFF0000"/>
        <rFont val="Times New Roman"/>
        <family val="1"/>
      </rPr>
      <t xml:space="preserve">2400000862 </t>
    </r>
    <r>
      <rPr>
        <sz val="14"/>
        <color rgb="FF000000"/>
        <rFont val="Times New Roman"/>
        <family val="1"/>
      </rPr>
      <t>- 179.T08-24/HPDQ-GS - NGỌC                                  Hàng hóa ok đã NK ngày 23/8</t>
    </r>
  </si>
  <si>
    <t>Dem rate 12k$/day</t>
  </si>
  <si>
    <t>20.08.2024</t>
  </si>
  <si>
    <t>23/08 Bến 2
Đang làm hàng</t>
  </si>
  <si>
    <t>2000002326 - Posco VN - 2.750T (LSD 15/9) - Lệnh ok - Posco   Hàng hóa ok đã NK ngày 3/7 - xuất hết
2000002310 - SEAH - 1.000T (Dự kiến 23 duyệt lệnh) - Tân Thuận  Hàng hóa ok đã NK ngày 17/8 - cân tải</t>
  </si>
  <si>
    <t xml:space="preserve">HẢI DƯƠNG 88 </t>
  </si>
  <si>
    <t>24.08.2024
Tàu chạy rỗng về</t>
  </si>
  <si>
    <t>24/08 bến 3</t>
  </si>
  <si>
    <r>
      <rPr>
        <sz val="14"/>
        <color rgb="FF000000"/>
        <rFont val="Times New Roman"/>
        <family val="1"/>
      </rPr>
      <t xml:space="preserve">2000002329 - Tây Nam T06 - 2000mt - Thiên Lộc Thành (LSD: 05/09)    Hàng hóa ok đã NK ngày 23/8        lệnh ok
2000002315 - Tiến Lên T07 - 100mt - Tân Thuận (LSD: 30/08)    Hàng hóa ok đã NK ngày  12/8          lệnh ok
2000002328 - Tiến Lên T08 - 100mt - Tân Thuận (LSD: 10/09)    Háng hóa ok đã NK ngày 18/8          lệnh ok                                                                                                   
2200001700+1707 OTBD - 1.800 tấn - Long Bình      cân tải   Hàng spot hàng sẵn
</t>
    </r>
    <r>
      <rPr>
        <sz val="14"/>
        <color rgb="FFFF0000"/>
        <rFont val="Times New Roman"/>
        <family val="1"/>
      </rPr>
      <t>Dỡ Tân Thuận -&gt; Long Bình -&gt; Thiên Lộc Thành</t>
    </r>
  </si>
  <si>
    <t>24-25.08.2024
dỡ đá</t>
  </si>
  <si>
    <t>26/08 bến 2</t>
  </si>
  <si>
    <t>2200001717 OTBD - 3.300T            Hàng sẵn</t>
  </si>
  <si>
    <t>GLORY EXPLORER</t>
  </si>
  <si>
    <t>24-25/08 Bến 3</t>
  </si>
  <si>
    <t>Indonesia</t>
  </si>
  <si>
    <r>
      <rPr>
        <sz val="14"/>
        <color rgb="FF000000"/>
        <rFont val="Times New Roman"/>
        <family val="1"/>
      </rPr>
      <t xml:space="preserve">2400000857 - (1) 167A.T08-24/HPDQ-SI - NGỌC                          Dự kiến 25 NK
2400000852 - (2.1) 167A.T08-24/HPDQ-SI - NGỌC                       Dự kiến 25 NK
2400000853 - (2.2) 167A.T08-24/HPDQ-SI - NGỌC                        Dự kiến 25 NK
2400000854 - (2.3) 167A.T08-24/HPDQ-SI - NGỌC                        Dự kiến 25 NK
</t>
    </r>
    <r>
      <rPr>
        <b/>
        <sz val="14"/>
        <color rgb="FF000000"/>
        <rFont val="Times New Roman"/>
        <family val="1"/>
      </rPr>
      <t xml:space="preserve">2400000863 - (1) 167B.T08-24/HPDQ-SI - NGỌC/H.A                    Dự kiến 25 NK
2400000864 - (2) 167B.T08-24/HPDQ-SI - NGỌC/H.A   </t>
    </r>
    <r>
      <rPr>
        <sz val="14"/>
        <color rgb="FF000000"/>
        <rFont val="Times New Roman"/>
        <family val="1"/>
      </rPr>
      <t xml:space="preserve">                  Dự kiến 25 NK
2400000835- 163.T08-24/HPDQ-JFE (LINH)   Hàng hóa ok đã NK ngày 31/7
2400000845 - 164.T08-24/HPDQ-AMI - HÀ                                      Hàng hóa ok đã NK ngày 17/8 </t>
    </r>
  </si>
  <si>
    <t>Dem rate 6k$/day
Chuẩn bị hàng của AMI và JFE trước</t>
  </si>
  <si>
    <t>19h00 24.08.2024</t>
  </si>
  <si>
    <t>24/08 bến 3/5</t>
  </si>
  <si>
    <t xml:space="preserve">2000002321 + 2000002322 - HSNS - 11.000T   Đã MAP 13kt </t>
  </si>
  <si>
    <t>26.08.2024</t>
  </si>
  <si>
    <t>26/08 bến 3</t>
  </si>
  <si>
    <t>2000002331 - HSQN - 4.000T   Đã MAP 8k6 hàng hóa ok đã Nk ngày 25/8</t>
  </si>
  <si>
    <t>27.08.2024</t>
  </si>
  <si>
    <t>27/08 bến 1</t>
  </si>
  <si>
    <t>2000002332 - 160.T08.TĐA - 1.300T - Posco    Hàng hóa ok đã NK ngày 25/8
Ghép hàng thép XD cân tải</t>
  </si>
  <si>
    <t>HÀ PHƯƠNG 02</t>
  </si>
  <si>
    <t>27/08 bến 2</t>
  </si>
  <si>
    <t>2200001721 - THP - đi hết    Dự kiến chiều 27 NK đủ
2200001720 OTHY cân tải    hàng hóa ok hàng spot hàng sẵn</t>
  </si>
  <si>
    <t>GLORY PIONEER</t>
  </si>
  <si>
    <t>6h 28/08 Bến 3</t>
  </si>
  <si>
    <t xml:space="preserve">2400000826 (LOT 1) - 158.T08-24/HPDQ-SI (GIANG)                Hàng hóa ok đã NK ngày 26/8      
2400000827 (LOT 2) - 158.T08-24/HPDQ-SI (GIANG)                 Hàng hóa ok đã NK ngày 26/8    </t>
  </si>
  <si>
    <t>Dem rate 6k$/day</t>
  </si>
  <si>
    <t>25.08.2024
NEO</t>
  </si>
  <si>
    <t>28/08 bến 5</t>
  </si>
  <si>
    <t>2200001721 - THP - 6.000T  Hàng hóa  ok đã NK ngày 27/8</t>
  </si>
  <si>
    <t>29.08.2024</t>
  </si>
  <si>
    <t>28/08 Bến 1</t>
  </si>
  <si>
    <t>2000002331 - HSQN - 4.400T      Đã MAP 8k6 hàng hóa ok đã Nk ngày 25/8</t>
  </si>
  <si>
    <t>28.08.2024
NEO</t>
  </si>
  <si>
    <t>29/08 bến 1</t>
  </si>
  <si>
    <t>2200001723 -OTBD - 3.600T - Long Bình   Hàng spot hàng hóa ok</t>
  </si>
  <si>
    <t>31.08.2024</t>
  </si>
  <si>
    <t>31/08 bến 3</t>
  </si>
  <si>
    <t>2200001724 OTHY 670T        Hàng spot hàng hóa ok
2200001710 OTHY 1100T       Hàng spot hàng hóa ok
2200001716 OTHY 150T         Hàng spot hàng hóa ok
2200001720 OTHY 110T          Hàng spot hàng hóa ok
2200001704 THP 4900T             Hàng hóa ok
Tàu dwt 12.000 tấn, còn hàng thì cho lên, không thì đi thiếu tải</t>
  </si>
  <si>
    <t>02-03.07.2024</t>
  </si>
  <si>
    <t>02/07 bến 1
Đang làm hàng</t>
  </si>
  <si>
    <t>2000002241 - TĐA - 1.450T - Posco - lệnh ok          Hàng hóa ok đã NK ngày 20/6 
2000002254 - VNO 54B- 3.000T (LSD 05/07) - Cẩm Nguyên  hàng hóa ok đã NK ngày 1/7</t>
  </si>
  <si>
    <t>03.07.2024
Dỡ phế -&gt; nhận HRC</t>
  </si>
  <si>
    <t>03/07 bến 5</t>
  </si>
  <si>
    <t>2000002259 - HSPM T06 - 3.720T  - Phú Mỹ  Hàng hóa ok đã NK ngày 2/7</t>
  </si>
  <si>
    <t>03-04.07.2024</t>
  </si>
  <si>
    <t>2000002260 - HSQN T06 - 3.000T - Quy Nhơn (sau 5/7 mới dỡ hàng)  Hàng hóa ok đã NK ngày 1/7</t>
  </si>
  <si>
    <t>TỐI 03.07.2024</t>
  </si>
  <si>
    <t>04/07 bến 1</t>
  </si>
  <si>
    <t>2200001675 - OTBD - 4.000T   hàng spot hàng sẵn</t>
  </si>
  <si>
    <t>06.07.2024</t>
  </si>
  <si>
    <t>06/07 bến 2</t>
  </si>
  <si>
    <t>2000002241 - TĐA - 500T - Posco - lệnh ok          Hàng hóa ok đã NK ngày 20/6 
2000002259 - HSPM T06 - 3.930T - Phú Mỹ         Hàng hóa ok đã NK ngày 6/7
Tàu đi thiếu tải</t>
  </si>
  <si>
    <t>08.07.2024</t>
  </si>
  <si>
    <t>Thái Sơn/OPL</t>
  </si>
  <si>
    <t>08/07 bến 3</t>
  </si>
  <si>
    <t>Map ta phut</t>
  </si>
  <si>
    <t>05.07.2024
NEO</t>
  </si>
  <si>
    <t>08/07 bến 2</t>
  </si>
  <si>
    <t>2000002253 (LOT 3) Nam Kim T06 - 3.550T - Tân Thuận  Hàng hóa ok đã NK ngày 29/6
2200001678 OTHY - 450 T - Tân Thuận    Hàng spot hàng hóa ok</t>
  </si>
  <si>
    <t>KMC MIRACLE</t>
  </si>
  <si>
    <t>09.07.2024</t>
  </si>
  <si>
    <t>19h00 09/07 Bến 3</t>
  </si>
  <si>
    <t>2400000771 / 2400000787 - 113.T05-24/HPDQ-MI - GIANG   Hàng hóa đã sản xuất
2400000770 -120.T05-24/HPDQ-MI -LINH    Hàng hóa ok</t>
  </si>
  <si>
    <t>01.07.2024
NEO</t>
  </si>
  <si>
    <t>Chiều tối 09/07 bến 5</t>
  </si>
  <si>
    <t>2000002252 Chính Đại - 1.000T  Hàng hóa lệnh này chỉ có 500 tấn thôi (20*2252+20*2284)
2200001670 OTHY 320T    hàng hóa ok hàng spot
2200001673 OTHY 880T    hàng hóa ok hàng spot
2200001677 OTHY 1300T   hàng hóa ok hàng spot
2200001660 THP 1200T       hàng hóa ok hàng spot
2200001665 THP 420T         hàng hóa ok hàng spot
2200001666 THP 5600T       Hàng hóa ok đã NK ngày 7/7
2200001674 THP 1300T        hàng hóa ok hàng spot
2200001679 THP 6000T        Tổng MAP 5K8/6000
2200001680 THP - 5.000T cân tải - Hàng load sau cùng để dỡ trước Hàng hóa ok đã NK ngày 10/7
Tàu này nếu đủ 24.000 tấn thì tốt, còn không thì lấy hết hàng THP tháng 7 NK ngày 11/7 cho đi thiếu tải 1000 tấn cũng được để hết ngày 12/7 phải làm xong còn chạy đi trả hàng</t>
  </si>
  <si>
    <t>07-08.07.2024
NEO</t>
  </si>
  <si>
    <t>sáng 10/07 bến 2</t>
  </si>
  <si>
    <t>2000002262 -VNO 54A2- 1.100T - Cẩm Nguyên (lệnh ok) Hàng hóa ok đã NK 9/7 NK
2000002263 - CSVC T06 - 1.000T - Phú Mỹ (lệnh ok)  Hàng hóa ok đã NK 29/6
2000002247 - SEAH T06 - 1.000T - Tân Thuận (lệnh ok) Hàng hóa đã NK ngày 5/7
2000002271 -Tiến Lên T06 - 100T - Tân Thuận (lẹnh ok) Hàng hóa ok đã NK ngày 4/7</t>
  </si>
  <si>
    <t>03H00 11/07 bến 2</t>
  </si>
  <si>
    <t>2200001675 - OTBD - 2.000T - Long Bình     hàng spot hàng sẵn
2000002272 -Tây Nam T05 - 950T (sx 04-05/07) - Thiên Lộc Thành - LỆNH OK  Hàng hóa ok đã NK ngày 6/7</t>
  </si>
  <si>
    <t>HẢI NAM 69</t>
  </si>
  <si>
    <t>07.07.2024
NEO</t>
  </si>
  <si>
    <t>05h00 11/07 bến 3</t>
  </si>
  <si>
    <r>
      <rPr>
        <sz val="14"/>
        <color rgb="FF000000"/>
        <rFont val="Times New Roman"/>
        <family val="1"/>
      </rPr>
      <t xml:space="preserve">2000002272 - Tây Nam T05 - 4.050T (sx 04-05/07) - Thiên Lộc Thành - LỆNH OK Hàng hóa ok đã NK ngày 4/7
2000002281 The One - 200T - Phú Mỹ </t>
    </r>
    <r>
      <rPr>
        <sz val="14"/>
        <color rgb="FFFF0000"/>
        <rFont val="Times New Roman"/>
        <family val="1"/>
      </rPr>
      <t>(Đơn Tháng 6: 2.00x125X: 150t chiều 10 NK + 50T 2.00x121x hàng sẵn)</t>
    </r>
  </si>
  <si>
    <t>11.07.2024
NEO</t>
  </si>
  <si>
    <t>13/07 bến 5</t>
  </si>
  <si>
    <t>2200001680 THP T07 - 3.750T (Dự kiến 13NK)
2000002264 - Phú Nam - 300T    Hàng hóa ok đã NK ngày 29/6  lệnh ok
2000002275 - Citicom - 100T   Đã MAP 89/100T - lệnh ok</t>
  </si>
  <si>
    <t>13.07.2024</t>
  </si>
  <si>
    <t>13/07 bến 3</t>
  </si>
  <si>
    <t>2200001685 OTHY - 4280       Hàng spot hàng sẵn</t>
  </si>
  <si>
    <t>Sáng 14.07.2024</t>
  </si>
  <si>
    <t>14/07 bến 1</t>
  </si>
  <si>
    <t>2000002255 (LOT 4) Nam Kim T06 - 4.250T - Tân Thuận  Hàng hóa ok đã NK ngày 26/06</t>
  </si>
  <si>
    <t>15.07.2024
NEO</t>
  </si>
  <si>
    <t>15/07 bến 1</t>
  </si>
  <si>
    <t>2200001683 OTBD - 3.950T   Hàng spot hàng sẵn</t>
  </si>
  <si>
    <t>VIỆT THUẬN 075-01</t>
  </si>
  <si>
    <t>11h 13.07.2024</t>
  </si>
  <si>
    <t>15/07 Bến 5</t>
  </si>
  <si>
    <r>
      <rPr>
        <sz val="14"/>
        <color rgb="FF000000"/>
        <rFont val="Times New Roman"/>
        <family val="1"/>
      </rPr>
      <t xml:space="preserve">2000002285 - TĐA - 5.250T - Tân Thuận    Dự kiến 15 NK nhưng do hư cẩu nên dự kiến chiều 16 NK - 15/7 có lệnh
2000002258 SMC T06 - 2.000T   (Hàng hóa ok đã NK ngày 10/07) - Phú Mỹ - Lệnh ok
</t>
    </r>
    <r>
      <rPr>
        <sz val="14"/>
        <color rgb="FFFF0000"/>
        <rFont val="Times New Roman"/>
        <family val="1"/>
      </rPr>
      <t>Dỡ Tân Thuân -&gt; Phú Mỹ</t>
    </r>
  </si>
  <si>
    <t>20H00 16.07.2024</t>
  </si>
  <si>
    <t>16/07 bến 3</t>
  </si>
  <si>
    <t>2200001684 - NMCN- 1000T                    Hàng spot hàng sẵn          
2200001685 - OTHY 3300T cân tải           Hàng spot hàng sẵn</t>
  </si>
  <si>
    <t>- Hàng  + lệnh okay</t>
  </si>
  <si>
    <t>18h 16.07.2024</t>
  </si>
  <si>
    <t>16/07 bến 5</t>
  </si>
  <si>
    <t>2000002255 (LOT 4) Nam Kim T06 - 1.750T - Tân Thuận   Hàng hóa ok đã NK ngày 26/06
2000002256 Nam Kim Lot 2 - 2.200T - Tân Thuận   Hàng hóa ok NK ngày 11/07</t>
  </si>
  <si>
    <t>19-20.07.2024
Dỡ phế -&gt; nhận HRC</t>
  </si>
  <si>
    <t>20/07 bến 5</t>
  </si>
  <si>
    <t>2200001688 - OTBD</t>
  </si>
  <si>
    <t>12h00 20.07.2024</t>
  </si>
  <si>
    <t>20/07 bến 3</t>
  </si>
  <si>
    <t>2200001686 THP 1200T
2200001689 OTHY 2200T 
2200001690 NMCN 1200T 
2200001691 OTHY 1400T</t>
  </si>
  <si>
    <t>sáng 20.07.2024</t>
  </si>
  <si>
    <t>20/07 bến 2</t>
  </si>
  <si>
    <t>2000002266 Tân Phước Khanh T06 - 2.000T - Phú Mỹ   Hàng hóa ok đã NK ngày 29/06
2000002282 The One - 400T - Phú Mỹ (Hàng hóa ok đã NK ngày 12/07)
2000002267 - TVN T06 - 2.000T - Phú Mỹ  Hàng hóa ok đã NK ngày 1/7</t>
  </si>
  <si>
    <t>20.07.2024</t>
  </si>
  <si>
    <t>21/07 bến 2</t>
  </si>
  <si>
    <t>2000002256 Nam Kim LOT 2 - 2.800T     Hàng hóa ok NK ngày 11/07
2000002257 Nam Kim LOT 1 - 900T           Hàng hóa ok NK ngày 11/07
Lệnh ok</t>
  </si>
  <si>
    <t>CL BILIU HE</t>
  </si>
  <si>
    <t>22.07.2024</t>
  </si>
  <si>
    <t>22/07 Bến 10</t>
  </si>
  <si>
    <t>Ravenna, Italy</t>
  </si>
  <si>
    <t>2400000791 - P09675 Cargill  Đã MAP 5K5 + 1K5 đã NK ngày 9/7</t>
  </si>
  <si>
    <t>21.07.2024
NEO</t>
  </si>
  <si>
    <t>2000002265 / 2000002268 TVP T06 - 4.000T - Cẩm Nguyên     Hàng hóa ok đã NK ngày 7/7
Hết 23/7 có lệnh</t>
  </si>
  <si>
    <t>24.07.2024
NEO</t>
  </si>
  <si>
    <t>24/07 Bến 3</t>
  </si>
  <si>
    <t>2000002287 - HSNS - 9.100T   Hàng hóa ok đã NK ngày 12/7  (lệnh ok)
Đơn này tính giao âm theo lượng tàu nhận được giúp chị nhé</t>
  </si>
  <si>
    <t>VIỆT THUẬN 12-05</t>
  </si>
  <si>
    <t>23.07.2024
NEO</t>
  </si>
  <si>
    <t>25/07 Bến 5</t>
  </si>
  <si>
    <t>2000002257 Nam Kim LOT 1 (lệnh OK) - 4.100T - Tân Thuận     Hàng hóa ok NK ngày 11/07
2000002292 - QH Plus - 500T - Tân Thuận                 Hàng hóa ok đã NK ngày 7/7
2000002294 - TDA - 310MT - Tân Thuận (LSD: 31/07) - dự kiến 25/07 có lệnh Hàng hóa ok đã NK ngày 15/7
2000002293 - TDA  - 1440MT - Posco (LSD: 31/07)  - dự kiến 25/07 có lệnh Hàng hóa ok đã NK ngày 15/7
2000002246 - Posco - 2.000T (lệnh ok) Hàng hóa ok đã NK ngày 29/6
Tàu 12kt, đi thiếu tải</t>
  </si>
  <si>
    <r>
      <rPr>
        <sz val="14"/>
        <color rgb="FF000000"/>
        <rFont val="Times New Roman"/>
        <family val="1"/>
      </rPr>
      <t>2000002291 - Tây Nam - 3.000T - Thiên Lộc Thành (dự kiến có lệnh 26/07)   Hàng hóa ok đã NK ngày 14/07
2000002261 - VNO 54A1.T04 - 900mt (</t>
    </r>
    <r>
      <rPr>
        <sz val="14"/>
        <color rgb="FFFF0000"/>
        <rFont val="Times New Roman"/>
        <family val="1"/>
      </rPr>
      <t>LSD: 05/08</t>
    </r>
    <r>
      <rPr>
        <sz val="14"/>
        <color rgb="FF000000"/>
        <rFont val="Times New Roman"/>
        <family val="1"/>
      </rPr>
      <t xml:space="preserve">) - Cẩm Nguyên - Lệnh ok hàng hóa ok đã NK ngày 7/7 </t>
    </r>
  </si>
  <si>
    <t>26/07 Bến 3</t>
  </si>
  <si>
    <t>2200001694 OTHY - 5.200T - Hàng sản xuất  Dự kiến chiều 26 NK 3k5 + sáng 27 Nk đủ 
2000002273/2000002274 (lệnh ok) OT190 + KKBV T06 - 2.000T</t>
  </si>
  <si>
    <t>28-29.07.2024
Đang dỡ hàng ở 
Quy Nhơn</t>
  </si>
  <si>
    <t>28/07 bến 1</t>
  </si>
  <si>
    <t>2200001693 OTBD - 1.000T - Long Bình   Hàng hóa ok đã NK ngày 26/07
2200001697 OTBD - 800T - Hàng stock - Long Bình
2000002265 / 2000002268 TVP T06 (lệnh OK) - 1.000T - Cẩm Nguyên   Hàng hóa ok đã NK ngày 7/7
Ghép thép XD - cân tải</t>
  </si>
  <si>
    <t>ARCOLA</t>
  </si>
  <si>
    <t>26.07.2024</t>
  </si>
  <si>
    <t>26/07 Bến 6</t>
  </si>
  <si>
    <t>2400000790-141.T07-24/HPDQ-SSCNT     (Lệnh ok) Hàng hóa ok đã NK ngày  2/7
2400000806 - 141.T07-24/HPDQ-SSCNT (size 5.0)     (Lệnh ok) Hàng hóa ok đã NK ngày 14/7
2400000807/2400000808 143.T07-24/HPDQ-HYUNDAI NGỌC         Hàng hóa ok đã NK ngày 14/7
2400000785 - 144.T07-24/HPDQ-HPI         Hàng hóa ok đã NK ngày 16/6
2400000786 - 145.T07-24/HPDQ-HPI         Hàng hóa ok đã NK ngày 2/7</t>
  </si>
  <si>
    <t>27.07.2024</t>
  </si>
  <si>
    <t>28/07 bến 3</t>
  </si>
  <si>
    <t>2200001666 THP 350T
2200001680 THP 3900T cân tải</t>
  </si>
  <si>
    <t>27-28.07.2024</t>
  </si>
  <si>
    <t>28/07 bến 3/5</t>
  </si>
  <si>
    <t>2000002289 - HSQN - 10.230T    Hàng hóa ok đã NK đủ ngày 26/7    Hàng skinpass
Tàu 11kt, đi thiếu tải
lệnh ok</t>
  </si>
  <si>
    <t>TIẾN MINH 169</t>
  </si>
  <si>
    <t>29/07 bến 3</t>
  </si>
  <si>
    <t>2000002291 - Tây Nam T06 - 2.000T - Thiên Lộc Thành    Lệnh ok     Hàng hóa ok đã NK ngày 28/7
2200001697 OTBD - 1.500T - Hàng stock - Long Bình   Hàng spot hàng sẵn</t>
  </si>
  <si>
    <t>29.07.2024
NEO</t>
  </si>
  <si>
    <t>30/07 bến 1</t>
  </si>
  <si>
    <t>2200001681 THP - 2600T   hàng hóa ok đã NK ngày 10/7
2200001680 THP     Đã MAP 351T TẦN
2200001694 OTHY cân tải  Hàng hóa ok đã NK ngày 27/7</t>
  </si>
  <si>
    <t>30.07.2024</t>
  </si>
  <si>
    <t>30/07 bến 2</t>
  </si>
  <si>
    <r>
      <rPr>
        <sz val="14"/>
        <color rgb="FF000000"/>
        <rFont val="Times New Roman"/>
        <family val="1"/>
      </rPr>
      <t xml:space="preserve">2000002296 -TĐA 131.T07- 1.500MT - Phú Mỹ                - Hàng hoa ok đã NK ngày 28/7 - lệnh ok
2000002297 - TĐA 131.T07 - 1000MT - Tân Thuận           - Hàng hoa ok đã NK ngày 28/7 - lệnh ok
2000002295 -JFE (TDA) 132.T07 - 500MT - Tân Thuận    - Hàng hoa ok đã NK ngày 28/7 - lệnh ok
2000002298 -TDA 143.T08 - 500MT - Tân Thuận         - Dự kiến chiều 29/7 NK  - lệnh ok
2000002299-TDA 143.T08 - 500MT - Phú Mỹ                -Hàng hóa ok đã NK ngày 19/7 - lệnh ok
</t>
    </r>
    <r>
      <rPr>
        <sz val="14"/>
        <color rgb="FFFF0000"/>
        <rFont val="Times New Roman"/>
        <family val="1"/>
      </rPr>
      <t>Dỡ Phú Mỹ -&gt; Tân Thuận</t>
    </r>
  </si>
  <si>
    <t xml:space="preserve"> ,</t>
  </si>
  <si>
    <t>Khối Lượng</t>
  </si>
  <si>
    <t>31.05.2024
dỡ đá</t>
  </si>
  <si>
    <t>trưa 1/6 vào bến 01</t>
  </si>
  <si>
    <t>1/6 MỚI CHO TÀU VÀO LÀM</t>
  </si>
  <si>
    <t>2200001625 OTHY 50T  Hàng spot hàng sẵn
2200001647 OTHY 3330T   Hàng spot hàng sẵn
2200001648 OTHY 210T     Hàng spot hàng sẵn
2200001624 THP cân tải Hàng hóa ok</t>
  </si>
  <si>
    <t>01.06.2024</t>
  </si>
  <si>
    <t>2/6 cho tàu vào làm</t>
  </si>
  <si>
    <t>2400000747 - 97.T05-24/HPDQ-GS  Đã MAP 920T ngày 28/5 - Hà
2400000748 - 97.T05-24/HPDQ-GS  Hàng hóa ok đã NK ngày 30/05
2400000738 - 99.T05-24/HPDQ-GS  Hàng hóa ok đã NK ngày 29/05 - LINH
2400000739 - 100.T05-24/HPDQ-GS Hàng hóa ok đã NK ngày 29/05
2400000754-103.T05-24/HPDQ-GS Hàng hóa ok đã MAP ngày 3/6 - LINH
2400000745- Đã MAP 255/300 + 25T dự kiến CHIỀU 1/6 NK/ 
2400000746-Hàng hóa ok đã NK ngày 31/05 104.T05-24/HPDQ-GS Dự kiến 3/6 NK</t>
  </si>
  <si>
    <t>15h30 30.05.2024</t>
  </si>
  <si>
    <t>Bến 3/5</t>
  </si>
  <si>
    <t>2/6 cho tàu này vào 
làm hàng</t>
  </si>
  <si>
    <r>
      <rPr>
        <sz val="14"/>
        <color rgb="FF000000"/>
        <rFont val="Times New Roman"/>
        <family val="1"/>
      </rPr>
      <t xml:space="preserve">2000002205 - VNO 39E T03 - 2.000T - Phú Mỹ      Hàng hóa ok đã NK 2/6 </t>
    </r>
    <r>
      <rPr>
        <sz val="14"/>
        <color rgb="FFFF0000"/>
        <rFont val="Times New Roman"/>
        <family val="1"/>
      </rPr>
      <t xml:space="preserve">(LSD: 10/06)
</t>
    </r>
    <r>
      <rPr>
        <sz val="14"/>
        <color rgb="FF000000"/>
        <rFont val="Times New Roman"/>
        <family val="1"/>
      </rPr>
      <t>2000002204 - VNO 39E T03 - 2.000T - Phú Mỹ      Hàng hóa ok đã NK ngày 30/5 NK (</t>
    </r>
    <r>
      <rPr>
        <sz val="14"/>
        <color rgb="FFFF0000"/>
        <rFont val="Times New Roman"/>
        <family val="1"/>
      </rPr>
      <t xml:space="preserve">LSD: 10/06)
</t>
    </r>
    <r>
      <rPr>
        <sz val="14"/>
        <color rgb="FF000000"/>
        <rFont val="Times New Roman"/>
        <family val="1"/>
      </rPr>
      <t xml:space="preserve">2000002214,2215 The One T03 + T04 - 450T - Phú Mỹ                        Hàng hóa ok đã NK ngày 25/5
</t>
    </r>
    <r>
      <rPr>
        <sz val="14"/>
        <color rgb="FF0D0D0D"/>
        <rFont val="Times New Roman"/>
        <family val="1"/>
      </rPr>
      <t xml:space="preserve">2000002201 - Posco - 5.000T - Posco (lệnh ok)        Đã MAP 2K2 + 2K8 dự kiến chiều 3/6 NK
2000002208 - TĐA - 1.800T - Posco    </t>
    </r>
    <r>
      <rPr>
        <sz val="14"/>
        <color rgb="FFFF0000"/>
        <rFont val="Times New Roman"/>
        <family val="1"/>
      </rPr>
      <t xml:space="preserve"> (xuất âm lệnh này) </t>
    </r>
    <r>
      <rPr>
        <sz val="14"/>
        <color rgb="FF0D0D0D"/>
        <rFont val="Times New Roman"/>
        <family val="1"/>
      </rPr>
      <t xml:space="preserve">     Hàng hóa ok đã NK ngày 30/5 NK (dự kiến 03/06 duyệt)
</t>
    </r>
    <r>
      <rPr>
        <sz val="14"/>
        <color rgb="FFFF0000"/>
        <rFont val="Times New Roman"/>
        <family val="1"/>
      </rPr>
      <t>Dỡ Phú Mỹ -&gt; Posco</t>
    </r>
  </si>
  <si>
    <t>02/06/2024 06:00
NEO</t>
  </si>
  <si>
    <t>04/06 bến 1</t>
  </si>
  <si>
    <t>2000002195 -VNO 39B T03 - 2.300T - Cẩm Nguyên  Hàng hòa ok đã NK ngày 30/5 - dự kiến 4/6 duyệt lệnh (LSD: 15/06)
2000002209 - VNO 39G T03 - 1.200T - Phú Mỹ (Hàng hóa ok đã NK ngày 23/05) (LSD: 10/06) -&gt; chuyển đi Cẩm Nguyên
2000002210 - VNO 39G T03 - 500T - Phú Mỹ (Hàng hóa ok đã NK ngày 23/05)  (LSD: 10/06) &gt; chuyển đi Cẩm Nguyên</t>
  </si>
  <si>
    <t>02/06/2024 03:00
NEO</t>
  </si>
  <si>
    <t>Chiều 05/06 bến 2</t>
  </si>
  <si>
    <t>Chiều 5/6 cho tàu vào làm được. Hết sáng 5/6 có lệnh</t>
  </si>
  <si>
    <t>2200001640 OTBD 230T    Hàng spot hàng sẵn
2200001646 OTBD 1000T   Hàng spot hàng sẵn
2200001650 OTBD cân tải   Hàng spot hàng sẵn</t>
  </si>
  <si>
    <t>05.06.2024
dỡ than</t>
  </si>
  <si>
    <t>05/06 bến 1</t>
  </si>
  <si>
    <t>2000002187 - HSQN T05 - 3.300T (sx 03-05/6) Hàng hóa đã MAP 2k7 + 500t 6/6 NK</t>
  </si>
  <si>
    <t xml:space="preserve">Hàng sx ngày 3-5 thì tầm mùng 6-7 ms nguội </t>
  </si>
  <si>
    <t>07.06.2024</t>
  </si>
  <si>
    <t>07/06 bến 1</t>
  </si>
  <si>
    <t>2200001624 - THP 2200T    Hàng spot hàng sẵn
2200001633 - THP 250T      Hàng spot hàng sẵn
2200001653 - OTHY 1400T   Hàng spot hàng sẵn
2200001652 - THP 570T cân tải        Hàng spot hàng sẵn</t>
  </si>
  <si>
    <t>NEO
07.06.2024</t>
  </si>
  <si>
    <t>08/06 bến 1</t>
  </si>
  <si>
    <t>2000002187 - HSQN T05 - 3.250T (sx 03-05/6)  Hàng hóa con này ok chiều 6/6 NK đủ
TÀU ĐI THIẾU TẢI</t>
  </si>
  <si>
    <t xml:space="preserve">-Lệnh + Lượng đã MAP CÒN LẠI 7KT </t>
  </si>
  <si>
    <t>JOYFUL SPIRIT</t>
  </si>
  <si>
    <t>08.06.2024</t>
  </si>
  <si>
    <t>Tàu phải cập CCD.
LSD 15/6</t>
  </si>
  <si>
    <t>2400000735 (SPHC) - 98.T05-24/HPDQ-GS                                Hàng hóa ok đã NK ngày 2/6
2400000736 (S275JR) - 98.T05-24/HPDQ-GS                              Hàng hóa ok đã NK ngày 2/6
2400000737 (S275JR-SKINPASSED) - 98.T05-24/HPDQ-GS     Hàng hóa ok đã NK ngày 2/6
* HÀ
2400000740 - 101.T05-24/HPDQ-GS  Hàng hóa ok đã NK ngày 2/6
2400000741 - 101.T05-24/HPDQ-GS  Hàng hóa ok đã NK ngày 2/06
2400000753 - 101.T05-24/HPDQ-GS  Hàng hóa ok đã NK ngày 2/6
2400000742  - 102.T05-24/HPDQ-GS   Hàng hóa ok đã NK ngày 2/6
2400000743  - 102.T05-24/HPDQ-GS   Hàng hóa ok đã NK ngày 2/6</t>
  </si>
  <si>
    <t>11.06.2024 
dỡ đá</t>
  </si>
  <si>
    <t>rạng sáng 11/06 bến 2</t>
  </si>
  <si>
    <t>Tàu này dỡ hàng xong cho sang làm HRC luôn</t>
  </si>
  <si>
    <t>2000002187 - HSQN - 4.650T (Lệnh ok)  Hàng hóa Ok đã NK ngày 7/6</t>
  </si>
  <si>
    <t xml:space="preserve"> Lượng đã MAP CÒN LẠI 7KT </t>
  </si>
  <si>
    <t>09.06.2024</t>
  </si>
  <si>
    <t>09/06 bến 1</t>
  </si>
  <si>
    <t>Tàu này dỡ than xong cho sang làm luôn giúp em ạ. RẤT GẤP</t>
  </si>
  <si>
    <r>
      <rPr>
        <sz val="14"/>
        <color rgb="FF000000"/>
        <rFont val="Times New Roman"/>
        <family val="1"/>
      </rPr>
      <t xml:space="preserve">2200001650 - OTBD - 2.200T - Long Bình - cân tải     Hàng spot hàng sẵn
2000002209 - VNO 39G T03 - 800T - Phú Mỹ (Hàng hóa ok đã NK ngày 23/05)  (LSD: 10/06) - </t>
    </r>
    <r>
      <rPr>
        <sz val="14"/>
        <color rgb="FFFF0000"/>
        <rFont val="Times New Roman"/>
        <family val="1"/>
      </rPr>
      <t xml:space="preserve">LƯỢNG NÀY PHẢI XUẤT QUA CÂN RA HÓA ĐƠN HẾT TRONG NGÀY 10/6   -lệnh ok
</t>
    </r>
    <r>
      <rPr>
        <sz val="14"/>
        <color rgb="FF000000"/>
        <rFont val="Times New Roman"/>
        <family val="1"/>
      </rPr>
      <t>2000002216 -TĐA - 200T - Tân Thuận Hàng hóa ok đã NK ngày 29/05  - LỆNH OK</t>
    </r>
  </si>
  <si>
    <t>ATLANTIC PRESTIGE</t>
  </si>
  <si>
    <t>Benline</t>
  </si>
  <si>
    <t>Ravenna, Italy (Marce berth)</t>
  </si>
  <si>
    <t>2400000751 - 95.T05-24/HPDQ-MARCE (SAE1006)    Đã MAP 25KT + Hàng skin chiều 7 NK
2400000752 - 95.T05-24/HPDQ-MARCE (S235JR) - Nhãn phụ CE Marking     Đã MAP 8k5 + Hàng skin chiều 7 NK</t>
  </si>
  <si>
    <t>13.06.2024</t>
  </si>
  <si>
    <t>13/06 bến 1</t>
  </si>
  <si>
    <t>2000002233 - Nhật Quang sx bù 110.T03 - 420T  (gấp) (lệnh ok) Hàng hóa ok đã NK 13/6.
2000002223 - Nhật Quang 58.T05 - 1000T (lệnh ok)  Hàng hóa ok đã NK ngày 12/06
2000002217 - Nippon T05 - 200T (sx 06-08/6)    Hàng hóa ok đã NK 9/6 - lệnh 10/6 duyệt
2000002235 - Vinas T05 - 750T   Hàng hóa ok đã NK ngày 13/06
2200001657 - OTHY 1200T   Hàng spot hàng sẵn - cân tải
2200001658 - THP 640T         Hàng spot hàng sẵn</t>
  </si>
  <si>
    <t>Thay thế Hà Dương 68</t>
  </si>
  <si>
    <t>NIKKEI SIRIUS</t>
  </si>
  <si>
    <t>12.06.2024</t>
  </si>
  <si>
    <t>2400000761 - 129.T06-24/HPDQ-HWA - LINH  Đã MAP 1KT + 500T skin sáng 12/6 NK
2400000758 - 127.T06-24/HPDQ-HPI (LOT 1) - GIANG-Hàng hóa đã NK ngày 9/6
2400000759 - 127.T06-24/HPDQ-HPI (LOT 2)        Đã MAP 1KT + 900T skin sáng 12/6 NK
2400000760 - 127.T06-24/HPDQ-HPI (LOT 3)                  Hàng hóa đã NK ngày 9/6
2400000756 - 126.T06-24/HPDQ-HYUNDAI - Ngọc         Đã MAP 550T + 50 12/6 NK đủ</t>
  </si>
  <si>
    <t>16.06.2024</t>
  </si>
  <si>
    <t>17/06 bến 1</t>
  </si>
  <si>
    <t>2200001650,1655 - 2880T OTBD - Long Bình    Hàng spot hàng sẵn
Ghép hàng thép thành phẩm Hưng Yên - cân tải</t>
  </si>
  <si>
    <t>16/06 Bến 6</t>
  </si>
  <si>
    <t>Ravenna, Italy - Marcegaglia berth</t>
  </si>
  <si>
    <t>-J21-95.T05-24/HPDQ-MARCE(SAE1006) Hàng hóa ok đã nhập kho ngày 7/6
-2400000752--95.T05-24/HPDQ-MARCE(S235JR)- có nhãn phụ-Hàng hóa ok đã nhập kho ngày 7/6</t>
  </si>
  <si>
    <t>Demurrage: USD 20,000 pdpr/half despatch load.</t>
  </si>
  <si>
    <t>16/06 bến 5</t>
  </si>
  <si>
    <r>
      <rPr>
        <sz val="14"/>
        <color rgb="FF000000"/>
        <rFont val="Times New Roman"/>
        <family val="1"/>
      </rPr>
      <t xml:space="preserve">2000002230 - Tiến Lên T05 - 100T - Tân Thuận (sx 06-08/6)   Hàng hóa ok đã NK ngày 13/06 -Lệnh ok
2000002220 - SEAH T05 - 1.000T (13/6 sx xong) - (lệnh ok) Tân Thuận  Hàng hóa ok 
</t>
    </r>
    <r>
      <rPr>
        <sz val="14"/>
        <color rgb="FFFF0000"/>
        <rFont val="Times New Roman"/>
        <family val="1"/>
      </rPr>
      <t xml:space="preserve">2000002227 - Nam Kim T05 - 4.300T - Tân Thuận - LSD 10/7 - Lệnh OK - lên nốt các hàng đã quét xuất rồi dừng.
2000002228 - Nam Kim T05 - 3.250T - Tân Thuận - LSD 10/7 - Lệnh OK - đi hết hàng
</t>
    </r>
    <r>
      <rPr>
        <sz val="14"/>
        <color rgb="FF000000"/>
        <rFont val="Times New Roman"/>
        <family val="1"/>
      </rPr>
      <t xml:space="preserve">2000002213 - SMC -  1.300T - Phú Mỹ (sx 06-08/6) - LSD 15/07     Hàng hóa ok đã NK ngày 12/06 - Lệnh OK
</t>
    </r>
    <r>
      <rPr>
        <b/>
        <sz val="14"/>
        <color rgb="FF000000"/>
        <rFont val="Times New Roman"/>
        <family val="1"/>
      </rPr>
      <t xml:space="preserve">2000002219 - CSVC - 1.000T - Phú Mỹ (sx 06-08/6) (lệnh ok)   Hàng hóa ok đã NK ngày 9/6
</t>
    </r>
    <r>
      <rPr>
        <sz val="14"/>
        <color rgb="FF000000"/>
        <rFont val="Times New Roman"/>
        <family val="1"/>
      </rPr>
      <t>2000002221/2000002222 -  TVN T05 - 2.000T (13/6 sx xong) - Phú Mỹ  Hàng hóa đã map 1900/2000t-100T  dự kiến chiều 16 NK
2000002231 -TLPM T05 - 2.000T (13/6 sx xong) - Phú Mỹ Hàng hóa ok đã NK ngày 14/06 -Lệnh ok</t>
    </r>
  </si>
  <si>
    <t>Tách hóa đơn riêng 2 lệnh của Nam Kim, không được xuất chung</t>
  </si>
  <si>
    <t>22h00 13.06.2024</t>
  </si>
  <si>
    <t>16/06 bến 2</t>
  </si>
  <si>
    <t>2000002226 - TĐA -1450T- Tân Thuận, Lệnh ok           Hàng hóa ok đã nhập kho ngày 16/06
2000002225 - Tây Nam - 1300T - Thiên Lộc Thành , Lệnh ok,  Hàng hóa ok đã nhập kho ngày 16/06
Ghép thêm hàng cuộn của Hưng Yên</t>
  </si>
  <si>
    <t>11.06.2024</t>
  </si>
  <si>
    <t>17/06 bến 2</t>
  </si>
  <si>
    <t>2000002225 - Tây Nam - 3.700T - Lệnh ok Hàng ngày 13 ms sx  Hàng hóa ok đã NK ngày 16/6</t>
  </si>
  <si>
    <t>15.06.2024
NEO</t>
  </si>
  <si>
    <t>Đã chốt tàu này, có thể tính kế hoạch cho vào xuất ạ</t>
  </si>
  <si>
    <t>2000002227 - Nam Kim T05 - 3.600T - Tân Thuận - LSD 10/7 - Lệnh OK - đi hết hàng
2000002229 - Nam Kim T05 - 850T - Tân Thuận - LSD 10/7 - cân tải - Lệnh OK</t>
  </si>
  <si>
    <t>17h 21.06.2024</t>
  </si>
  <si>
    <t>21/06 Bến 2</t>
  </si>
  <si>
    <t>Tàu về cho vào làm luôn. Muộn nhất 24/6 xong hàng.</t>
  </si>
  <si>
    <r>
      <rPr>
        <sz val="14"/>
        <color rgb="FF000000"/>
        <rFont val="Times New Roman"/>
        <family val="1"/>
      </rPr>
      <t xml:space="preserve">2000002238 - TVP T05 - 4.280T (sx 16-20/6) - Cẩm Nguyên - Lệnh OK -  Đã MAP 4KT NK ngày 20/6 + 280t </t>
    </r>
    <r>
      <rPr>
        <sz val="14"/>
        <color rgb="FFFF0000"/>
        <rFont val="Times New Roman"/>
        <family val="1"/>
      </rPr>
      <t>Dự kiến chiều  22NK</t>
    </r>
  </si>
  <si>
    <t>ĐINH GIA 79</t>
  </si>
  <si>
    <t>21.06.2024</t>
  </si>
  <si>
    <t>22/06 Bến 3</t>
  </si>
  <si>
    <t>Muộn nhất 26-27/6 xong hàng</t>
  </si>
  <si>
    <r>
      <rPr>
        <sz val="14"/>
        <color rgb="FF000000"/>
        <rFont val="Times New Roman"/>
        <family val="1"/>
      </rPr>
      <t>2</t>
    </r>
    <r>
      <rPr>
        <sz val="14"/>
        <color rgb="FF0D0D0D"/>
        <rFont val="Times New Roman"/>
        <family val="1"/>
      </rPr>
      <t xml:space="preserve">000002245 - TLPM T06 - 5.000T  - Phú Mỹ                                Hàng hóa ok đã NK ngày 23/6  (Dỡ được luôn)
2000002188 - Hoa Sen PM - 2.400MT -  lệnh ok - Phú Mỹ          Hàng hóa ok đã NK ngày 21/6    (Dỡ được luôn)
</t>
    </r>
    <r>
      <rPr>
        <sz val="14"/>
        <color rgb="FFFF0000"/>
        <rFont val="Times New Roman"/>
        <family val="1"/>
      </rPr>
      <t xml:space="preserve">2000002242 - TĐA - 700T - Phú Mỹ (dự kiến 22 duyệt)                 Hàng hóa ok đã NK ngày 20/6  (1/7 dỡ được hàng)
2000002244 - JFE (TDA) - 300T - Phú Mỹ (dự kiến 22 duyệt)        Hàng hóa ok đã NK ngày 20/6  (1/7 dỡ được hàng)
2000002240 - TĐA - 2.310 - Tân Thuận (dự kiến 21/6 duyệt lệnh)      Hàng hóa ok đã NK ngày 20/6   (1/7 dỡ được hàng)
</t>
    </r>
    <r>
      <rPr>
        <sz val="14"/>
        <color rgb="FF000000"/>
        <rFont val="Times New Roman"/>
        <family val="1"/>
      </rPr>
      <t xml:space="preserve">2000002229 - Nam Kim T05 - 2.400T - Tân Thuận - LSD 10/7 - Lệnh OK      </t>
    </r>
    <r>
      <rPr>
        <sz val="14"/>
        <color rgb="FFFF0000"/>
        <rFont val="Times New Roman"/>
        <family val="1"/>
      </rPr>
      <t xml:space="preserve"> </t>
    </r>
    <r>
      <rPr>
        <sz val="14"/>
        <color rgb="FF000000"/>
        <rFont val="Times New Roman"/>
        <family val="1"/>
      </rPr>
      <t xml:space="preserve">Hàng hóa ok đã NK 14/6  </t>
    </r>
    <r>
      <rPr>
        <sz val="14"/>
        <color rgb="FF0D0D0D"/>
        <rFont val="Times New Roman"/>
        <family val="1"/>
      </rPr>
      <t xml:space="preserve">  (Dỡ được luôn)  </t>
    </r>
    <r>
      <rPr>
        <sz val="14"/>
        <color rgb="FFFF0000"/>
        <rFont val="Times New Roman"/>
        <family val="1"/>
      </rPr>
      <t xml:space="preserve">                                                          </t>
    </r>
  </si>
  <si>
    <t>22.06.2024
dỡ than</t>
  </si>
  <si>
    <t>22/06 Bến 1</t>
  </si>
  <si>
    <t>2000002236 - OT 190 82 - 1250MT - LSD 15/07 - Lệnh OK -    Hàng hóa ok đã NK ngày 12/06
2000002234 - KKBV 81 - 1350 MT -  LSD 15/07 - Lệnh OK -   Hàng hóa ok đã NK ngày 12/06
2200001664 - NMCN - 1.300T - cân tải  hàng spot hàng sẵn</t>
  </si>
  <si>
    <t>25.06.2024</t>
  </si>
  <si>
    <t>25/06 Bến 3</t>
  </si>
  <si>
    <t>Tàu về có hàng cho vào làm dần. Muộn nhất 30/6 xong hàng</t>
  </si>
  <si>
    <t xml:space="preserve">2000002250 (10.270 tấn- lệnh ok) + 2000002251 (930 tấn) - HSNS T06 - 11.200T    </t>
  </si>
  <si>
    <t>2000002250: Đã MAP  6k6 + 2K4 *114X/112X) dự kiến 26 NK + 6KT dự kiến sáng 25 NK + 600t 2.00x123x sáng 27nk
'2000002251: Đã MAP  5500 tấn</t>
  </si>
  <si>
    <t>25.06.2024
NEO</t>
  </si>
  <si>
    <t>28/06 bến 3</t>
  </si>
  <si>
    <t>Muộn nhất 30/6 xong hàng</t>
  </si>
  <si>
    <t>2000002218 - Phú Nam T05 - 1.000T  (sx 21-27/6) LSD 05/07 - Lệnh ok     Hàng hóa ok đã NK sáng ngày 25/6
2200001663 - OTHY 2800T  Hàng spot hàng sẵn
2200001653 - OTHY 530T                 Hàng spot hàng sẵn
2200001657 - OTHY  190T                Hàng spot hàng sẵn
2200001664    NMCN 140T                Hàng spot hàng sẵn
2200001660 THP  Hàng hóa ok đã NK ngày 20/06 - cân tải</t>
  </si>
  <si>
    <t>26/06 Bến 2</t>
  </si>
  <si>
    <t>Muộn nhất 27-28/6 xong hàng</t>
  </si>
  <si>
    <t xml:space="preserve">2000002188 - Hoa Sen PM - 3.500MT (sx 16-20/6) lệnh ok - Phú Mỹ  Đã MAP 3K9 NK ngày 20/6( đã MAP đủ lượng khổ 123x)
Ưu tiên xuất hàng 1230 lên tàu này </t>
  </si>
  <si>
    <t>THAY THẾ TIẾN MINH 169</t>
  </si>
  <si>
    <t>25/06 Bến 1</t>
  </si>
  <si>
    <t>2000002239 - Tây Nam T04 - 4.000T (sx 21-24/6) Hàng hóa ok đã NK ngày 24/06</t>
  </si>
  <si>
    <t>26.06.2024</t>
  </si>
  <si>
    <t>26/06 Bến 1</t>
  </si>
  <si>
    <t>2200001671 - NMCN 614T   Hàng hóa ok hàng spot hàng sẵn
2200001670 - OTHY Cân tải  Hàng hóa ok hàng spot hàng sẵn</t>
  </si>
  <si>
    <t>27.06.2024</t>
  </si>
  <si>
    <t>27/06 Bến 1</t>
  </si>
  <si>
    <t>30/6 phải xong hàng</t>
  </si>
  <si>
    <r>
      <rPr>
        <sz val="14"/>
        <color rgb="FF000000"/>
        <rFont val="Times New Roman"/>
        <family val="1"/>
      </rPr>
      <t xml:space="preserve">2000002237 - VNO T03 - 2.700T - Cẩm Nguyên  (lệnh ok) (LSD: 30/06)  Hàng hóa ok đã NK ngày  9/6    (Dỡ được luôn)
2000002238 - TVP T05 - 750T - Cẩm Nguyên - lệnh OK      Hàng hóa ok đã NK ngày 22/6 </t>
    </r>
    <r>
      <rPr>
        <sz val="14"/>
        <color rgb="FFFF0000"/>
        <rFont val="Times New Roman"/>
        <family val="1"/>
      </rPr>
      <t xml:space="preserve">(2/7 dỡ được hàng)
</t>
    </r>
    <r>
      <rPr>
        <sz val="14"/>
        <color rgb="FF000000"/>
        <rFont val="Times New Roman"/>
        <family val="1"/>
      </rPr>
      <t xml:space="preserve">2000002243 - TĐA - 800T - Tân Thuận (dự kiến trong sáng 27 duyệt)    Hàng hóa ok đã NK ngày 19/6   </t>
    </r>
    <r>
      <rPr>
        <sz val="14"/>
        <color rgb="FFFF0000"/>
        <rFont val="Times New Roman"/>
        <family val="1"/>
      </rPr>
      <t>(1/7 dỡ được hàng)</t>
    </r>
  </si>
  <si>
    <t>28.06.2024</t>
  </si>
  <si>
    <t>28/06 bến 2</t>
  </si>
  <si>
    <t>THAY THẾ HẢI NAM 68
30/6 phải xong hàng</t>
  </si>
  <si>
    <r>
      <rPr>
        <sz val="14"/>
        <color rgb="FF000000"/>
        <rFont val="Times New Roman"/>
        <family val="1"/>
      </rPr>
      <t>2200001662 OTBD - 3.300T  - Long Bình   Hàng spot hàng sẵn 
2000002239 - Tây Nam T04 - 1.000T  - Thiên Lộc Thành</t>
    </r>
    <r>
      <rPr>
        <b/>
        <sz val="14"/>
        <color rgb="FFFF0000"/>
        <rFont val="Times New Roman"/>
        <family val="1"/>
      </rPr>
      <t xml:space="preserve"> (LSD: 05/07) </t>
    </r>
    <r>
      <rPr>
        <sz val="14"/>
        <color rgb="FF000000"/>
        <rFont val="Times New Roman"/>
        <family val="1"/>
      </rPr>
      <t>Hàng hóa ok đã NK ngày 23/06 (lệnh ok)</t>
    </r>
  </si>
  <si>
    <t>29/06 bến 5 thế slot tàu CH BELLA</t>
  </si>
  <si>
    <t>30/6 phải xong hết</t>
  </si>
  <si>
    <t>Nghi Sơn/Đoạn Xá</t>
  </si>
  <si>
    <t xml:space="preserve">2000002250 + 2000002251- HSNS T06 - 8.500T - Nghi Sơn   - XUẤT HẾT   Hàng hóa ok đã NK ngày 27/06
2200001666,1667 THP - 3.000T - Đoạn Xá  Hàng hóa ok </t>
  </si>
  <si>
    <t>29.06.2024
NEO</t>
  </si>
  <si>
    <t>29/06 bến 2</t>
  </si>
  <si>
    <t>Hàng HRC xuất hết trong tháng 6</t>
  </si>
  <si>
    <t>2200001669 OTBD - 3.300T       Hàng spot hàng sẵn 
Còn lại ghép thành phẩm</t>
  </si>
  <si>
    <t xml:space="preserve">
'2000002251: Đã MAP  5500 tấn
THAY THẾ HẢI NAM 69</t>
  </si>
  <si>
    <t>EVER FELICITY</t>
  </si>
  <si>
    <t>30.06.2024</t>
  </si>
  <si>
    <t>30/06 Bến 5</t>
  </si>
  <si>
    <t>Xuất tối đa có thể trong tháng 6</t>
  </si>
  <si>
    <r>
      <rPr>
        <sz val="14"/>
        <color rgb="FFFF0000"/>
        <rFont val="Times New Roman"/>
        <family val="1"/>
      </rPr>
      <t xml:space="preserve">2400000783 (SPHT1) - 133.T06-24/HPDQ-GS - Hà                         Hàng hóa ok đã NK ngày 25/06
</t>
    </r>
    <r>
      <rPr>
        <sz val="14"/>
        <color rgb="FF000000"/>
        <rFont val="Times New Roman"/>
        <family val="1"/>
      </rPr>
      <t xml:space="preserve">2400000784  (S275JR) - 133.T06-24/HPDQ-GS - Hà                        Hàng hóa ok đã NK ngày 25/06
2400000780 - 134.T06-24/HPDQ-GS (LOT 1-SS400) - Giang          Hàng hóa ok đã NK ngày 25/6
2400000781 - 134.T06-24/HPDQ-GS (LOT 2-SPHC)                        Hàng hóa ok đã NK ngày 25/6
2400000782 - 134.T06-24/HPDQ-GS (LOT 2-S275JR)                     Hàng hóa ok đã NK ngày 25/6
2400000772 -135.T06-24/HPDQ-GS -LINH                                      Hàng hóa ok đã NK ngày 25/6
2400000779 - 136.T06-24/HPDQ-GS (SPHC) -LINH                       Hàng hóa ok đã NK ngày 25/6
2400000777 - 136.T06-24/HPDQ-GS (S275JR) -LINH                     Hàng hóa ok đã NK ngày 18/6
2400000778 - 136.T06-24/HPDQ-GS (S275JR Skinpass) -LINH      Đã MAP 170T + 25 sáng 26/6 NK
2400000774 -137.T06-24/HPDQ-GS -LINH                                      Hàng hóa ok đã NK ngày 25/6
2400000775 (SP) - 138.T06-24/HPDQ-GS - Ngọc                             Hàng hóa ok đã NK ngày 25/6
</t>
    </r>
    <r>
      <rPr>
        <b/>
        <sz val="14"/>
        <color rgb="FF000000"/>
        <rFont val="Times New Roman"/>
        <family val="1"/>
      </rPr>
      <t xml:space="preserve">2400000776  - 138.T06-24/HPDQ-GS - Ngọc </t>
    </r>
    <r>
      <rPr>
        <sz val="14"/>
        <color rgb="FF000000"/>
        <rFont val="Times New Roman"/>
        <family val="1"/>
      </rPr>
      <t xml:space="preserve">                                   Hàng hóa ok đã NK ngày 25/6</t>
    </r>
  </si>
  <si>
    <t xml:space="preserve">Lên đủ dung sai các dòng hàng và các hợp đồng 
Dung sai tổng hợp đồng: +/-10%
Chi tiết dung sai dòng hàng theo lệnh
</t>
  </si>
  <si>
    <t xml:space="preserve">2400000768 - 124.T06-24/HPDQ-SPMX - Hà                                      Hàng hóa ok đã NK ngày 14/6         
2400000757 - 125.T06-24/HPDQ-MRS - Ngọc                                     Hàng hóa ok đã NK ngày 6/6
2400000765 - 130.T06-24/HPDQ-STEMCOR - Giang       LSD 30/6    Hàng hóa ok đã NK ngày 19/6
2400000764 -140.T06-24/HPDQ-MI (lot 1) - LINH                                Hàng hóa ok đã NK ngày 22/6 
2400000769 - 140.T06-24/HPDQ-MI (lot 2) - LINH                                Hàng hóa ok đã NK ngày 22/6         
2400000763 -146.T07-24/HPDQ-MI - LINH                                            Hàng hóa ok đã NK ngày 15/6                   
2400000766  - 153.T07-24/HPDQ-LF - Ngọc                                           Hàng hóa ok đã NK ngày 18/6                  
2400000762 - 154.T07-24/HPDQ-JFE - Giang                                          Hàng hóa ok đã NK ngày 6/6                
2400000767 - 155.T07-24/HPDQ-HWA - Hà                                             Hàng hóa ok đã NK ngày 13/6 
2400000773 -139.T06-24 HPDQ-GS - NGỌC                                          Hàng hóa ok đã NK ngày 16/6 </t>
  </si>
  <si>
    <t>Ra trước BBGN cho lệnh 2400000765 trong 30/6.</t>
  </si>
  <si>
    <t>01.05.2024</t>
  </si>
  <si>
    <t>Tàu này 1/5 vào làm hàng</t>
  </si>
  <si>
    <t xml:space="preserve"> Nghi Sơn/ Hải Phòng</t>
  </si>
  <si>
    <r>
      <rPr>
        <sz val="14"/>
        <color rgb="FF000000"/>
        <rFont val="Times New Roman"/>
        <family val="1"/>
      </rPr>
      <t xml:space="preserve">2000002153 HSNS T04 - 1.650T - </t>
    </r>
    <r>
      <rPr>
        <sz val="14"/>
        <color rgb="FFFF0000"/>
        <rFont val="Times New Roman"/>
        <family val="1"/>
      </rPr>
      <t>Load hàng size 1230 cuối cùng để dỡ trước</t>
    </r>
    <r>
      <rPr>
        <sz val="14"/>
        <color rgb="FF000000"/>
        <rFont val="Times New Roman"/>
        <family val="1"/>
      </rPr>
      <t xml:space="preserve">  
2200001622 THP cân tải    </t>
    </r>
  </si>
  <si>
    <t>MV EVER SUPERIOR</t>
  </si>
  <si>
    <t>Tàu phải cập CCD - LSD 15/5</t>
  </si>
  <si>
    <t>2400000568 - 30 arsen   Hàng hóa có sẵn đã NK ngày 3/04 và 19/04 . Chiều 26/4 duyệt lệnh</t>
  </si>
  <si>
    <t>01.05.2024
NEO</t>
  </si>
  <si>
    <t>03/05 vào bến 5</t>
  </si>
  <si>
    <r>
      <rPr>
        <sz val="14"/>
        <color rgb="FF000000"/>
        <rFont val="Times New Roman"/>
        <family val="1"/>
      </rPr>
      <t xml:space="preserve">2000002154 - Nam Kim T04 - 2.000T  - Tân Thuận - 10/6 LSD - lệnh OK  Hàng hóa ok đã NK ngày 29/04
2000002142 - SEAH 700MT - Tân Thuận- LSD 15/05/2024 (Dự kiến chiều 3/5 duyệt lệnh) Hàng hóa ok đã NK ngày 16/04
2000002162/2163/2161 The One - 450T  - Phú Mỹ   Hàng hóa ok đã NK ngày 29/04
2000002131 - CSVC T03 - 1.000T  - Phú Mỹ   (lệnh ok, nhận hàng sau 1/5)               (Hàng hóa ok đã NK ngày 16/04)
2200001610 OTHY 440T Đi Tân Thuận Hàng hóa ok hàng sẵn (spot)
2200001602 THP 520T đi Phú Mỹ           Hàng hóa ok hàng sẵn (spot)
</t>
    </r>
    <r>
      <rPr>
        <sz val="14"/>
        <color rgb="FFFF0000"/>
        <rFont val="Times New Roman"/>
        <family val="1"/>
      </rPr>
      <t>2000002164/ 2000002165 - 5.100T - Hàng stock Kỳ Đồng- 4/5 duyệt lệnh - LSD 10/05 - Tân Thuận
Hàng hóa ok hàng sẵn 
Tàu dwt 13kt, đi thiếu tải, còn hàng thì cứ cho lên</t>
    </r>
  </si>
  <si>
    <t>05.05.2024</t>
  </si>
  <si>
    <t>OPL/Age-line</t>
  </si>
  <si>
    <t xml:space="preserve"> Tàu làm xong trước 10/5. Tàu cập CCD.</t>
  </si>
  <si>
    <t>Laem Chabang, Thailand</t>
  </si>
  <si>
    <t>2400000673 - 83.T04-24/HPDQ-SS - Hà  Hàng hóa ok hàng đã NK ngày 25/04 - lệnh OK - LSD 5/6</t>
  </si>
  <si>
    <t>HẢI ĐĂNG 238</t>
  </si>
  <si>
    <t>05-06.05.2024
NEO</t>
  </si>
  <si>
    <t>06/05 vào bến 2</t>
  </si>
  <si>
    <t>Thiên Lộc Thành/ Tân Thuận</t>
  </si>
  <si>
    <t>2000002166 - Tây Nam T03 - 3.000T     Hàng hóa ok đã NK ngày 5/5 - lệnh ok
2000002164/ 2000002165 - Kỳ Đồng - 50T - Tân Thuận
Tải tàu 3.350, còn lại ghép 300 tấn thép thành phẩm</t>
  </si>
  <si>
    <t>06.05.2024</t>
  </si>
  <si>
    <t>07/05 vào bến 1</t>
  </si>
  <si>
    <t>2200001625 - OTHY   Hàng spot hàng có sẵn</t>
  </si>
  <si>
    <t>Wisdom Glory</t>
  </si>
  <si>
    <t>07.05.2024</t>
  </si>
  <si>
    <t>06/05 Bến 3</t>
  </si>
  <si>
    <r>
      <rPr>
        <sz val="14"/>
        <color rgb="FFFF0000"/>
        <rFont val="Times New Roman"/>
        <family val="1"/>
      </rPr>
      <t xml:space="preserve">*HÀ
</t>
    </r>
    <r>
      <rPr>
        <sz val="14"/>
        <color rgb="FF000000"/>
        <rFont val="Times New Roman"/>
        <family val="1"/>
      </rPr>
      <t xml:space="preserve">2400000680 - 79.T04-24/HPDQ-NI - dk 07/05 duyệt lệnh Hàng hóa ok đã NK ngày 23/04
2400000681 (Skinpassed) - 80.T04-24/HPDQ-STERMCOR-dk 07/05 duyệt lệnh   Hàng hóa ok đã NK ngày 23/04
2400000682 - 80.T04-24/HPDQ-STERMCOR - dk 07/05 duyệt lệnh    Hàng hóa ok đã NK ngày 23/04
2400000687 - 111.T05-24/HPDQ-MLW - dk 06/05 duyệt lệnh    Hàng hóa ok đã NK ngày 23/04
2400000689 (SPHC) - 116.T05-24/HPDQ-HWA - dk 08/05 duyệt lệnh     Hàng hóa ok đã NK ngày 23/04
2400000688 (S275JR) - 116.T05-24/HPDQ-HWA - dk 08/05 duyệt lệnh Hàng hóa ok đã NK ngày 28/04
</t>
    </r>
    <r>
      <rPr>
        <sz val="14"/>
        <color rgb="FFFF0000"/>
        <rFont val="Times New Roman"/>
        <family val="1"/>
      </rPr>
      <t xml:space="preserve">*LINH
</t>
    </r>
    <r>
      <rPr>
        <sz val="14"/>
        <color rgb="FF000000"/>
        <rFont val="Times New Roman"/>
        <family val="1"/>
      </rPr>
      <t xml:space="preserve">2400000679 - 84.T04-24/HPDQ-JFE - dk 04/05 duyệt lệnh    Hàng hóa ok đã NK ngày 23/04
2400000693 - 88.T04-24/HPDQ-RSA dk 04/05 duyệt lệnh     Hàng hóa ok đã NK ngày 23/04
2400000683 - 105.T05-24/HPDQ-MI dk 04/05 duyệt lệnh    Hàng hóa ok đã NK ngày 26/04
2400000697 (Skinpassed) -109.T05-24/HPDQ-MI                 Hàng hóa ok đã NK ngày 05/05 
2400000698 (Nonskinpassed)-109.T05-24/HPDQ-MI -dk 04/05 duyệt lệnh   Hàng hóa ok đã NK ngày 05/05 
</t>
    </r>
    <r>
      <rPr>
        <sz val="14"/>
        <color rgb="FFFF0000"/>
        <rFont val="Times New Roman"/>
        <family val="1"/>
      </rPr>
      <t xml:space="preserve">*GIANG
</t>
    </r>
    <r>
      <rPr>
        <sz val="14"/>
        <color rgb="FF000000"/>
        <rFont val="Times New Roman"/>
        <family val="1"/>
      </rPr>
      <t>2400000691 (Lot 1) - 82.T04-24/HPDQ-HWA hàng hóa ok đã NK ngày 15/04  /  dk sáng 06/05 duyệt lệnh
2400000677 (Lot 2 Skinpass) - 82.T04-24/HPDQ-HWA hàng hóa ok đã NK ngày 24/04/dk sáng 6/5 duyệt lệnh
2400000678 (Lot 2) - 82.T04-24/HPDQ-HWA hàng hóa ok đã NK ngày 22/04 dự kiến sáng 06/05 duyệt lệnh
2400000690 - 78.T04-24/HPDQ-HWA     Hàng hóa ok đã NK ngày 28/04 / dự kiến sáng 06/05 duyệt lệnh
2400000684 (Skinpassed)-106.T05-24/HPDQ-MI Hàng hóa dự kiến NK ngày 27/04/ dự kiến sáng 6/5 duyệt lệnh
2400000685 (Non Skinpassed) - 106.T05-24/HPDQ-MI hàng hóa ok đã NK ngày 21/04/ dk sáng 06/05 duyệt lệnh
2400000686 - 110.T05-24/HPDQ-MI     Hàng hóa ok đã NK ngày 28/04 / dự kiến sáng 06/05 duyệt lệnh</t>
    </r>
  </si>
  <si>
    <t>DSI PYXIS</t>
  </si>
  <si>
    <t>05.06.2024</t>
  </si>
  <si>
    <t>07/05 Bến 5</t>
  </si>
  <si>
    <t>Colombia</t>
  </si>
  <si>
    <t>2400000675 - 122.T5-24/HPDQ-MI - 100mt  (Hàng hóa ok đã NK ngày 23/04)</t>
  </si>
  <si>
    <t>07/05 vào bến 6</t>
  </si>
  <si>
    <r>
      <rPr>
        <sz val="14"/>
        <color rgb="FF000000"/>
        <rFont val="Times New Roman"/>
        <family val="1"/>
      </rPr>
      <t xml:space="preserve">2200001625 - OTHY cân tải     Hàng spot hàng có sẵn
2000002152 Chính Đại - 1.000T      Hàng hóa ok đã NK ngày 21/04
2200001624 - THP cân tải (Xuất theo list hàng gửi trên nhóm Thông tin nhanh
</t>
    </r>
    <r>
      <rPr>
        <sz val="14"/>
        <color rgb="FFFF0000"/>
        <rFont val="Times New Roman"/>
        <family val="1"/>
      </rPr>
      <t>7/5 CÓ LỆNH</t>
    </r>
  </si>
  <si>
    <t>07/05 vào bến 2</t>
  </si>
  <si>
    <t>2200001625 - OTHY đi hết trừ 2 tàu Hoàng Phúc 29 và Thắng Lợi 568      Hàng spot hàng có sẵn
2200001626 - OTHY 1600T                                                                           Hàng spot hàng có sẵn
2200001627 - OTHY 200T                                                                              Hàng spot hàng có sẵn
2200001624 - THP cân tải (Xuất theo list hàng gửi trên nhóm Thông tin nhanh</t>
  </si>
  <si>
    <t>ASTRO SIRIUS</t>
  </si>
  <si>
    <t>09.05.2024</t>
  </si>
  <si>
    <t>Macshipping/PTSC</t>
  </si>
  <si>
    <t>Ravenna (Marcegaglia berth)</t>
  </si>
  <si>
    <t>2400000668 - 86.T04-24/HPDQ-MARCE (SAE1006)  Hàng hóa ok đã NK 4/5
2400000669 - 86.T04-24/HPDQ-MARCE (S235JR) - có nhãn phụ Hàng hóa ok đã NK 4/5</t>
  </si>
  <si>
    <t>Demurrage/detention rate USD 10.000 pdpr/ Half Despatch load</t>
  </si>
  <si>
    <t>STAR 15</t>
  </si>
  <si>
    <r>
      <rPr>
        <sz val="14"/>
        <color rgb="FF000000"/>
        <rFont val="Times New Roman"/>
        <family val="1"/>
      </rPr>
      <t xml:space="preserve">2000002159 - HSPM - 7.250T   Đã MAP 9286 tấn đã NK ngày 8/05 LỆNH OK
</t>
    </r>
    <r>
      <rPr>
        <sz val="14"/>
        <color rgb="FFFF0000"/>
        <rFont val="Times New Roman"/>
        <family val="1"/>
      </rPr>
      <t>đi hết size 1230 - 6.560 tấn trên tàu này + 690 tấn hàng nào có rồi thì cho lên (load hàng 1230 cuối để dỡ trước), còn lại xuất trên HPS 01</t>
    </r>
  </si>
  <si>
    <t>Chiều 10.05.2024
NEO</t>
  </si>
  <si>
    <t>11/05 vào bến 2</t>
  </si>
  <si>
    <r>
      <rPr>
        <sz val="14"/>
        <color rgb="FF000000"/>
        <rFont val="Times New Roman"/>
        <family val="1"/>
      </rPr>
      <t xml:space="preserve">2200001633 THP T05 - 3.300T (sx 8-14/5)    (Hàng hóa đã NK ngày 10/5 tổng MAP 5570/6000 tấn)
</t>
    </r>
    <r>
      <rPr>
        <sz val="14"/>
        <color rgb="FFFF0000"/>
        <rFont val="Times New Roman"/>
        <family val="1"/>
      </rPr>
      <t>Hàng nào đã có NK trước thì cho lên tàu này đi trước, còn lại đi tàu Phương Nam 46</t>
    </r>
  </si>
  <si>
    <t>THAY THẾ TÀU VIỆT THUẬN 56</t>
  </si>
  <si>
    <t>05.05.2024
NEO</t>
  </si>
  <si>
    <t>11.05 bến 3/5.</t>
  </si>
  <si>
    <r>
      <rPr>
        <sz val="14"/>
        <color rgb="FF000000"/>
        <rFont val="Times New Roman"/>
        <family val="1"/>
      </rPr>
      <t xml:space="preserve">2000002158 - HSQN T04 - 5.000T (sx 8-9/5) - Quy Nhơn Hàng hóa đã MAP 4K5 NK ngày 9/5 + 500T chiều 10.5 NK (Lệnh ok) 
2000002159 - HSPM T04 - 4.600T (sx 8-9/5) - Phú Mỹ  Đã MAP 9286 tấn đã NK ngày 8/05 +  2k6 đã NK ngày 9/5 (Lệnh ok) 
2000002171-VNO 27C T02 - 5.000T (sx 5-8/5) - Phú Mỹ LSD 15/05 - </t>
    </r>
    <r>
      <rPr>
        <sz val="14"/>
        <color rgb="FFFF0000"/>
        <rFont val="Times New Roman"/>
        <family val="1"/>
      </rPr>
      <t xml:space="preserve">HÀNG CỦA VNO MUỘN NHẤT 15/5 PHẢI RA HẾT HÓA ĐƠN   Hàng hóa ok đã NK ngày 08/05 - CÂN TẢI ((Lệnh ok) 
</t>
    </r>
    <r>
      <rPr>
        <b/>
        <sz val="14"/>
        <color rgb="FF000000"/>
        <rFont val="Times New Roman"/>
        <family val="1"/>
      </rPr>
      <t>2000002170 - VNO 27D T02 - 5.000T (sx 5-8/5) - Phú Mỹ LSD 15/05</t>
    </r>
    <r>
      <rPr>
        <b/>
        <sz val="14"/>
        <color rgb="FFFF0000"/>
        <rFont val="Times New Roman"/>
        <family val="1"/>
      </rPr>
      <t xml:space="preserve"> - HÀNG CỦA VNO MUỘN NHẤT 15/5 PHẢI RA HẾT HÓA ĐƠN      Hàng hóa ok đã NK ngày 08/05 (dự kiến 11/05 duyệt lệnh) - CÂN TẢI </t>
    </r>
    <r>
      <rPr>
        <sz val="14"/>
        <color rgb="FFFF0000"/>
        <rFont val="Times New Roman"/>
        <family val="1"/>
      </rPr>
      <t xml:space="preserve">(Lệnh ok) 
</t>
    </r>
    <r>
      <rPr>
        <sz val="14"/>
        <color rgb="FF000000"/>
        <rFont val="Times New Roman"/>
        <family val="1"/>
      </rPr>
      <t xml:space="preserve">2000002167 - Posco T04 - 5.000T (sx 5-8/5) - Posco </t>
    </r>
    <r>
      <rPr>
        <sz val="14"/>
        <color rgb="FFFF0000"/>
        <rFont val="Times New Roman"/>
        <family val="1"/>
      </rPr>
      <t>(Lệnh ok)  Hàng hóa ok đã NK ngày 08/05
Dỡ hàng Quy Nhơn -&gt; Phú Mỹ -&gt; Posco</t>
    </r>
  </si>
  <si>
    <t>10h 10.05.2024</t>
  </si>
  <si>
    <t>12/05 vào bến 1</t>
  </si>
  <si>
    <r>
      <rPr>
        <sz val="14"/>
        <color rgb="FF000000"/>
        <rFont val="Times New Roman"/>
        <family val="1"/>
      </rPr>
      <t>2000002179 - Vina One 27A T02 - 2.250T (xuất tất cả các size trừ 50T 1.85 x 1318 đi tàu HÀ DƯƠNG 58)  
LSD 15/5   hàng hóa ok đã NK ngày 8/5 (Lệnh ok) 
2000002180  - VNO 27B - 1.700T (LSD 15/5)   Đã MAP 550t + 1.150 dự kiến 13 NK (Lệnh ok) (</t>
    </r>
    <r>
      <rPr>
        <sz val="14"/>
        <color rgb="FFFF0000"/>
        <rFont val="Times New Roman"/>
        <family val="1"/>
      </rPr>
      <t>quy trình cũ chiều ngày 13  NK</t>
    </r>
    <r>
      <rPr>
        <sz val="14"/>
        <color rgb="FF000000"/>
        <rFont val="Times New Roman"/>
        <family val="1"/>
      </rPr>
      <t>)</t>
    </r>
  </si>
  <si>
    <t>08.05.2024
NEO</t>
  </si>
  <si>
    <t>12/05 vào bến 2</t>
  </si>
  <si>
    <t>Cẩm Nguyên/ Thiên Lộc Thành</t>
  </si>
  <si>
    <t xml:space="preserve">2000002166 Tây Nam T03 - 2.000T Hàng hóa ok đã NK ngày 5/5 - Thiên Lộc Thành  -lệnh ok
2000002179-Vina One 27A T02 - 50T size 1.85 x 1318 S235JR - Cẩm Nguyên LSD 15/5  hàng hóa ok đã NK ngày 2/5 (Lệnh ok) 
2000002178 - VNO 27E - 1000T - Cẩm Nguyên LSD 15/5 Đã MAP 180T + 620T Dự kiến (quy trình cũ chiều ngày 13  NK + quy trình mới 14 NK + 200t NK (quy trình cũ sáng ngày 14 NK) (Lệnh ok) </t>
  </si>
  <si>
    <t>12.05.2024</t>
  </si>
  <si>
    <t>13/05 vào bến 6</t>
  </si>
  <si>
    <t>2400000716 - 76.T04-24/HPDQ-JFE     (Hàng hóa ok đã NK ngày 10/05)</t>
  </si>
  <si>
    <t>14.05.2024
NEO</t>
  </si>
  <si>
    <t xml:space="preserve">13-14.05 vào bến 3 sau thế tàu Mạnh Thắng 68 </t>
  </si>
  <si>
    <t>2000002169 Phú Nam - 100T (lệnh ok )    Hàng hóa ok đã NK ngày 5/5
2200001634 OTHY cân tải    Hàng spot hàng sẵn
2000002160 Nippon - 150T (10/5 có lệnh)   Hàng hóa ok đã NK ngày 29/04
2200001633 THP T05 - 2.470T (sx 8-14/5)      (Hàng hóa đã NK ngày 10/5 tổng MAP 5570/6000 tấn)</t>
  </si>
  <si>
    <t>13.05.2024
NEO</t>
  </si>
  <si>
    <t xml:space="preserve">14.05 vào bến 1 </t>
  </si>
  <si>
    <t>2200001634 - OTHY đi hết     Hàng spot hàng sẵn  
2200001632 - NMCN cân tải   Hàng spot hàng sẵn</t>
  </si>
  <si>
    <t>15.05.2024</t>
  </si>
  <si>
    <t>15.05 vào cầu 5</t>
  </si>
  <si>
    <t>2200001632 - NMCN đi hết    Hàng spot hàng sẵn
2200001630 - OTHY đi hết   Hàng spot hàng sẵn
2200001633 THP T05 cân tải  (Đã MAP 5260 tấn)</t>
  </si>
  <si>
    <t>VIỆT THUẬN 56</t>
  </si>
  <si>
    <t>17.05.2024</t>
  </si>
  <si>
    <t>17/05 vào cầu 5</t>
  </si>
  <si>
    <t>Muộn nhất 20/5 phải xong</t>
  </si>
  <si>
    <t>2200001608 - THP khoảng 2600T    Hàng spot hàng sẵn
2200001622 - THP 190T                   Hàng spot hàng sẵn
2200001633 - THP đi hết cân tải       (Đã MAP 5260 tấn)</t>
  </si>
  <si>
    <t>Thay thế tàu Trường Thành 16 do tàu về muộn</t>
  </si>
  <si>
    <t>17/05 vào cầu 2</t>
  </si>
  <si>
    <t>2200001629 - OTHY 2100T    Hàng spot hàng sẵn
2200001603 - THP 800T         Hàng hóa ok đã NK ngày 14/05
2200001608 - THP       Hàng spot hàng sẵn
2200001635 - OTHY cân tải</t>
  </si>
  <si>
    <t>Dỡ than bến 5 18/05 xong làm HRC luôn</t>
  </si>
  <si>
    <t>2200001637 OTBD 1770T cân tải       Hàng spot hàng sẵn
2200001613 OTBD 960T                     Hàng spot hàng sẵn
2200001618 OTBD 430T                     Hàng spot hàng sẵn</t>
  </si>
  <si>
    <t xml:space="preserve">GLORY VALOR
</t>
  </si>
  <si>
    <t>19.05.2024</t>
  </si>
  <si>
    <t>20/05</t>
  </si>
  <si>
    <t>Port Klang &amp; Pasir Gudang, Malaysia</t>
  </si>
  <si>
    <t>Port Klang
2400000710 -107.T05-24/HPDQ-MI -LINH  (Hàng hóa ok đã NK 16/05) - lệnh ok
2400000708 (skinpass) - 118.T05-24/HPDQ-MI - LINH Hàng hóa ok đã NK ngày 16/05 - lệnh ok
2400000709 (nonskinpass)  - 118.T05-24/HPDQ-MI - LINH   Hàng hóa ok đã NK ngày 26/04 - lệnh ok 
2400000699 (S275 Skinpass) - 112.T05-24/HPDQ-HWA - HÀ Đã MAP 60T NK ngày 5/5 + 100T dự kiến NK 16/5
2400000731 (S235JR Skinpass)  - 112.T05-24/HPDQ-HWA - HÀ  200t dự kiến 16 NK
2400000701 (SPHC Skinpass) - 112.T05-24/HPDQ-HWA - HÀ    hàng hóa ok đã NK ngày 17/05
2400000704 (S275 non Skinpass) - 114.T05-24/HPDQ-HWA  - HÀ   Hàng hóa ok đã NK 26/04
2400000705 (SPHC Skinpass) - 114.T05-24/HPDQ-HWA  - HÀ         Hàng hóa ok đã NK ngày 16/05
2400000715 (S275 Skinpass) - 114.T05-24/HPDQ-HWA  - HÀ      Hàng hóa ok đã NK 16/05
*GIANG
2400000702 - 115.T05-24/HPDQ-   hàng hóa đã MAP 362/400T (NK ngày 14/05)
2400000706 - 118.T05-24/HPDQ-STEMCOR  (Hàng hóa ok đã NK ngày 16/05)
2400000722 (skinpass) - 119.T05-24/HPDQ-MI    (Hàng hóa ok đã NK ngày 16/05)
2400000723 (non-skinpass)- 119.T05-24/HPDQ-MI  Hàng hóa ok đã NK ngày 14/05
Pasir Gudang 
* HÀ
2400000717 (Lot 1 SPHC SP)- 117.T05-24/HPDQ-NI     (Hàng hóa ok đã NK ngày 16/05)
2400000720  (Lot 1 Non SPHC SP) -  117.T05-24/HPDQ-NI   (Hàng hóa ok đã NK ngày 10/5)
2400000718 (Lot 2 S275 non skinpass) -  117.T05-24/HPDQ-NI Hàng hóa ok đã NK ngày 15/05
2400000719 (Lot 2 S275 skinpass) -  117.T05-24/HPDQ-NI     (Hàng hóa ok đã NK ngày 16/05)</t>
  </si>
  <si>
    <t xml:space="preserve">
Nhãn màu:
1/ Pasir Gudang - màu vàng (YELLOW)
2/ Port Klang - màu xanh biển (BLUE)</t>
  </si>
  <si>
    <t>BOLD VOYAGER</t>
  </si>
  <si>
    <t>19/05</t>
  </si>
  <si>
    <t>Laycan 20-27/05.
-&gt; 20/05 mới cho tàu vào làm</t>
  </si>
  <si>
    <t>Mexico</t>
  </si>
  <si>
    <t>2400000727  - 91.T05-24/HPDQ-NI - HÀ - 17/5 duyệt lệnh          Hàng hóa ok đã NK ngày 18/05
2400000728  - 96.T05-24/HPDQ-NI - HÀ   nonskin    17/5 duyệt lệnh        Hàng hóa ok đã NK ngày 18/05
2400000729 - 96.T05-24/HPDQ-NI - HÀ  skin  17/5 duyệt lệnh       Hàng hóa ok đã NK ngày 19/05
2400000726 (SAE1008) - 92.T05-24/HPDQ-HYUNDAI       Hàng hóa ok đã NK ngày 18/05   
2400000730 (A36) - 92.T05-24/HPDQ-HYUNDAI                Hàng hóa ok đã NK ngày 16/05
2400000725 - 93.T05-24/HPDQ-HYUNDAI                          Hàng hóa ok đã NK ngày 18/05   
2400000724 - 121.T05-24 HPDQ - ATV -LINH                      Hàng hóa ok đã NK ngày 18/05) -lệnh ok</t>
  </si>
  <si>
    <t>2200001635 - OTHY đi hết                  Hàng spot hàng sẵn
2200001636 - THP 6900T                    Hàng spot hàng sẵn
2200001638 - OTHY 380T                   Hàng spot hàng sẵn
2200001639 - OTHY 360T                   Hàng spot hàng sẵn</t>
  </si>
  <si>
    <t>17h00 21.05.2024</t>
  </si>
  <si>
    <t>22.05 vào bến 02</t>
  </si>
  <si>
    <t>2200001633 - THP</t>
  </si>
  <si>
    <t>19.05.2024
NEO</t>
  </si>
  <si>
    <t>23.05 bến 02</t>
  </si>
  <si>
    <t>2200001633 - THP
2000002176+2177 Chính Đại T03 + T04 - 1.440 tấn (Hàng hóa ok đã NK ngày 16/05)
2200001642 - OTHY cân tải</t>
  </si>
  <si>
    <t>06h- 23.05.2024
NEO</t>
  </si>
  <si>
    <t>24.05 bến 01</t>
  </si>
  <si>
    <t>22000001642 OTHY  Hàng spot hàng sẵn</t>
  </si>
  <si>
    <t>TRUNG THẮNG 558</t>
  </si>
  <si>
    <t>22.05.2024
NEO</t>
  </si>
  <si>
    <t xml:space="preserve">Tối 23/05 bến 5 </t>
  </si>
  <si>
    <t>Hết 23/5 có lệnh, tối 23/5 cho vào làm</t>
  </si>
  <si>
    <r>
      <rPr>
        <sz val="14"/>
        <color rgb="FF000000"/>
        <rFont val="Times New Roman"/>
        <family val="1"/>
      </rPr>
      <t xml:space="preserve">HSNS T05 - 10.800T (xuất hết trong tháng 5, dỡ 1/6)
2000002186 - 8990 tấn   (Hàng hóa ok đã NK ngày 21/05)
2000002185 - hàng 1230 (1810 tấn)  Hàng hóa ok đã NK ngày 23/05
</t>
    </r>
    <r>
      <rPr>
        <b/>
        <sz val="14"/>
        <color rgb="FFFF0000"/>
        <rFont val="Times New Roman"/>
        <family val="1"/>
      </rPr>
      <t>thứ tự load hàng: 1260 - 1230 -1270 (Mọi người thắc mắc gì thì nhắn cho Nga nhé, ko load linh tinh ạ )
Lệnh 2186 OK, cho load trc hàng 1260 ạ</t>
    </r>
  </si>
  <si>
    <t>15h 23.05.2024
NEO</t>
  </si>
  <si>
    <t>25.05 bến 01</t>
  </si>
  <si>
    <t>Muộn nhất 27/5 phải xong</t>
  </si>
  <si>
    <t>2200001642 - OTHY  Hàng spot hàng sẵn</t>
  </si>
  <si>
    <t>21.05.2024
NEO</t>
  </si>
  <si>
    <t>25.05 bến 02</t>
  </si>
  <si>
    <t>Muộn nhất 31/5 phải xong</t>
  </si>
  <si>
    <t>2000002183 -Tây Nam T03 - 720T - Thiên Lộc Thành - lệnh ok   Đã MAP 3100 tấn
2000002203- VNO 39D T03 - 3.000T - Phú Mỹ   Hàng hóa ok đã NK ngày 24/05</t>
  </si>
  <si>
    <t>23.05.2024
NEO</t>
  </si>
  <si>
    <t>MUỘN NHẤT 26/5 PHẢI XONG ĐỂ KỊP TÀU XUẤT KHẨU</t>
  </si>
  <si>
    <r>
      <rPr>
        <sz val="14"/>
        <color rgb="FF000000"/>
        <rFont val="Times New Roman"/>
        <family val="1"/>
      </rPr>
      <t xml:space="preserve">2400000707 - 90.T05-24/HPDQ-EP - 1,700mt chuyển tải XK -lệnh ok
2400000732 - 123.T05-24/HPDQ-EP  - Hàng sẵn - -lệnh ok  Hàng hóa ok đã NK ngày 10/05 
</t>
    </r>
    <r>
      <rPr>
        <sz val="14"/>
        <color rgb="FFFF0000"/>
        <rFont val="Times New Roman"/>
        <family val="1"/>
      </rPr>
      <t xml:space="preserve">Tàu XK ETA Phú Mỹ 31/05
</t>
    </r>
    <r>
      <rPr>
        <sz val="14"/>
        <color rgb="FF000000"/>
        <rFont val="Times New Roman"/>
        <family val="1"/>
      </rPr>
      <t>2200001613 OTBD 170T      Hàng spot hàng sẵn
2200001637 OTBD 190T       Hàng spot hàng sẵn
2200001640 OTBD cân tải - Long Bình - Hàng spot hàng sẵn</t>
    </r>
  </si>
  <si>
    <t>ARNICA</t>
  </si>
  <si>
    <t>23.05.2024</t>
  </si>
  <si>
    <t>Muộn nhất 30/5 phải xong</t>
  </si>
  <si>
    <t>2400000631 - P09449 - 7,000mt  - Hàng hóa ok đã nhập kho ngày 09/4 LSD 30/05</t>
  </si>
  <si>
    <t>24.05.2024
NEO</t>
  </si>
  <si>
    <t>26.05 bến 02</t>
  </si>
  <si>
    <t>2000002183 -Tây Nam T03 - 4.280T (sx 23-24/5) - lệnh ok    Dự kiến sáng 25 NK</t>
  </si>
  <si>
    <t>26.05.2024
Chạy rỗng từ SG về</t>
  </si>
  <si>
    <t>26/05 bến 3</t>
  </si>
  <si>
    <t>22000001642 - OTHY 1450T   Hàng spot hàng sẵn
22000001643 - NMCN 2000T   Hàng spot hàng sẵn
22000001644 - OTHY 500T      Hàng spot hàng sẵn
22000001635 - OTHY 1370T          Hàng spot hàng sẵn
22000001645 - THP   1000T      Hàng spot hàng sẵn
22000001624 - THP cân tải</t>
  </si>
  <si>
    <t>XIN RUN CHEN 6</t>
  </si>
  <si>
    <t>25.05.2024</t>
  </si>
  <si>
    <t>Clio Shipping</t>
  </si>
  <si>
    <t>2400000713 -81.T04-24/HPDQ-SI (lot 1) -LINH    Hàng hóa ok đã NK ngày 17/05 -lệnh ok
2400000714 -81.T04-24/HPDQ-SI (lot 2) -LINH     Hàng hóa ok đã NK ngày 17/05 -lệnh ok
2400000721 - 85.T04-24/HPDQ-SI   Hàng hóa ok đã NK ngày 12/05</t>
  </si>
  <si>
    <t>25.05.2024 
Dỡ đá -&gt; nhận HRC</t>
  </si>
  <si>
    <t>2000002194 - VNO 39F T03 - 2.500T (sx từ 19-22/5)  Hàng hóa ok đâ NK ngày 22/05
2000002202  - VNO 39C T03 - 1.800T (sx từ 19-22/5)  Hàng hóa ok đã MAP 2789/3000 tấn (93%) đã NK ngày 22/5</t>
  </si>
  <si>
    <t>25-26.05.2024</t>
  </si>
  <si>
    <t>27.05 bến 01</t>
  </si>
  <si>
    <r>
      <rPr>
        <sz val="14"/>
        <color rgb="FF000000"/>
        <rFont val="Times New Roman"/>
        <family val="1"/>
      </rPr>
      <t>2000002197- TDA T05 - 500T  - Tân Thuận   dk 24 duyệt lệnh
2000002168 - SEAH T04 - 1.000T (sx từ 19-22/5) - Tân Thuận (lệnh ok)   Hàng hóa ok đã NK NGÀY 22/5
2000002182 Toyota - 200mt - lệnh ok - Tân Thuận  Hàng hóa ok đã NK ngày 20/5
2000002175 - Tiến Lên T04- 100T - Tân Thuận   -    lệnh ok  hàng hóa ok đã NK 3/5
2000002184 - JFE(TĐA) T05-450T (sx 16-18/5)-Tân Thuận - lệnh ok  Hàng hóa ok đã NK ngày 17/5
2000002191 - Nam Kim T05 - 500T (sx 18-19/5)- Tân Thuận  Hàng hóa ok đã NK ngày 22/05
2000002202  -VNO 39C T03 - 1.200T (sx từ 19-22/5) - Phú Mỹ  -</t>
    </r>
    <r>
      <rPr>
        <sz val="14"/>
        <color rgb="FFFF0000"/>
        <rFont val="Times New Roman"/>
        <family val="1"/>
      </rPr>
      <t xml:space="preserve"> Hàng hóa ok đã MAP 2789/3000 tấn (93%) đã NK ngày 22/5- Cân tải
Dỡ Tân Thuận -&gt; Phú Mỹ</t>
    </r>
  </si>
  <si>
    <t>27.05.2024</t>
  </si>
  <si>
    <t>28/05 bến 5</t>
  </si>
  <si>
    <r>
      <rPr>
        <sz val="14"/>
        <color rgb="FF000000"/>
        <rFont val="Times New Roman"/>
        <family val="1"/>
      </rPr>
      <t xml:space="preserve">HSNS T05 - 7.200T (xuất hết trong tháng 5, dỡ 1/6)
2000002185 - hàng 1234 ( 2130 tấn)-Hàng hóa ok đã NK ngày 23/05, hàng 1230 (2420 tấn)-4450T và các size còn lại
</t>
    </r>
    <r>
      <rPr>
        <b/>
        <sz val="14"/>
        <color rgb="FFFF0000"/>
        <rFont val="Times New Roman"/>
        <family val="1"/>
      </rPr>
      <t>thứ tự load hàng: 1050 - 1102 - 1140 -1230 - 1234 (Mọi người thắc mắc gì thì nhắn cho Nga nhé, ko load linh tinh ạ )</t>
    </r>
  </si>
  <si>
    <t>+ Lệnh 20*2185 hàng hóa ok</t>
  </si>
  <si>
    <t>27.05.2024
NEO</t>
  </si>
  <si>
    <t>Tối 28/05 vào bến 3</t>
  </si>
  <si>
    <r>
      <rPr>
        <sz val="14"/>
        <color rgb="FF000000"/>
        <rFont val="Times New Roman"/>
        <family val="1"/>
      </rPr>
      <t xml:space="preserve">2000002199 - TĐA T05 - 300T - Posco (dk 28 duyệt lệnh)    Hàng hóa ok đã NK ngày 28/05
2000002200 - TDA T05 - 700T - Tân Thuận (dk 28 duyệt lệnh)  Hàng hóa ok đã NK ngày 28/05
2000002206 - TDA T05 - 1.500T - Tân Thuận                             Hàng hóa ok đã NK ngày 28/05
2000002198 - JFE T05 - 1.050T - Posco (dk 28 duyệt lệnh)   Hàng hóa ok đã NK ngày 28/05
2000002156 - JFE (TDA) T04 - 550T  - Tân Thuận   Hàng hóa ok đã nhập kho 25/04 - lệnh ok
Dự kiến 29/5 NK hết
</t>
    </r>
    <r>
      <rPr>
        <sz val="14"/>
        <color rgb="FFFF0000"/>
        <rFont val="Times New Roman"/>
        <family val="1"/>
      </rPr>
      <t>Cập Tân Thuận - Posco</t>
    </r>
  </si>
  <si>
    <t>30.05.2024</t>
  </si>
  <si>
    <t>30/05 vào bến 5</t>
  </si>
  <si>
    <t>2200001640 - 2.000T OTBDi - Long Bình    Hàng spot hàng sẵn
2200001646 - OTBD cân tải</t>
  </si>
  <si>
    <t>Pacific Pioneer</t>
  </si>
  <si>
    <t>30-31.05.2024</t>
  </si>
  <si>
    <t>2400000712 - 77.T04-24/HPDQ-MI   Hàng hóa ok đã NK ngày 19/05 - 29/5 duyệt lệnh</t>
  </si>
  <si>
    <t>28.03.2024
NEO</t>
  </si>
  <si>
    <t>01/04 Bến 3</t>
  </si>
  <si>
    <t>2000002120  - TVP T01 - 4.600T - lệnh ok                    Hàng hóa ok-nhập kho ngày 31/03</t>
  </si>
  <si>
    <t>01/04 Bến 2</t>
  </si>
  <si>
    <r>
      <rPr>
        <sz val="14"/>
        <color rgb="FF000000"/>
        <rFont val="Times New Roman"/>
        <family val="1"/>
      </rPr>
      <t xml:space="preserve">2000002123 - Tây Nam T02 - 3.800T </t>
    </r>
    <r>
      <rPr>
        <b/>
        <sz val="14"/>
        <color rgb="FF000000"/>
        <rFont val="Times New Roman"/>
        <family val="1"/>
      </rPr>
      <t>Hàng hóa ok-Nhập kho ngày 01/04</t>
    </r>
  </si>
  <si>
    <t>29.03.2024
NEO</t>
  </si>
  <si>
    <t>02/04 Bến 2</t>
  </si>
  <si>
    <r>
      <rPr>
        <sz val="14"/>
        <color rgb="FF000000"/>
        <rFont val="Times New Roman"/>
        <family val="1"/>
      </rPr>
      <t xml:space="preserve">2000002120 - TVP T01 - 400T - Cẩm Nguyên - lệnh ok                                             Hàng hóa ok -Nhập kho ngày 02/04
2000002109 - VNO 07C - 900mt - Tân Thuận (sáng 2/4 duyệt lệnh) (xuất size: 2.0x1232) - lệnh ok  Hàng hóa ok -Nhập kho ngày 31/03
2000002116 - Nam Kim - 1.000T - Tân Thuận - lệnh OK                                             </t>
    </r>
    <r>
      <rPr>
        <b/>
        <sz val="14"/>
        <color rgb="FF000000"/>
        <rFont val="Times New Roman"/>
        <family val="1"/>
      </rPr>
      <t xml:space="preserve">   Hàng hóa ok -Nhập kho ngày 01/04
2000002118 - Nam Kim - 1.000T - Tân Thuận - lệnh OK  hàng hóa ok-Nhập kho ngày 2/04</t>
    </r>
  </si>
  <si>
    <t>30.03.2024
NEO</t>
  </si>
  <si>
    <t>02/04 Bến 5</t>
  </si>
  <si>
    <t>2000002121 - Nam Kim T02 - 3.200T  - lệnh OK             Hàng hóa ok -Nhập kho ngày 02/04</t>
  </si>
  <si>
    <t xml:space="preserve">13h 04.04.2024
</t>
  </si>
  <si>
    <t>04/04 Bến 3</t>
  </si>
  <si>
    <r>
      <rPr>
        <sz val="14"/>
        <color rgb="FF000000"/>
        <rFont val="Times New Roman"/>
        <family val="1"/>
      </rPr>
      <t xml:space="preserve">2000002118 - Nam Kim T02 - 1.000T - Tân Thuận - lệnh OK    hàng hóa ok-Nhập kho ngày 4/04
2000002107 - SEAH - 1.000T - Tân Thuận - lệnh ok                   hàng hóa ok-Nhập kho ngày 4/04
2000002123 -Tây Nam T02 - 1.200T - Thiên Lộc Thành             hàng hóa ok-Nhập kho ngày 4/04
</t>
    </r>
    <r>
      <rPr>
        <sz val="14"/>
        <color rgb="FFFF0000"/>
        <rFont val="Times New Roman"/>
        <family val="1"/>
      </rPr>
      <t>Dỡ hàng Thiên Lộc Thành -&gt; Tân Thuận</t>
    </r>
  </si>
  <si>
    <t>VIPMACO 06</t>
  </si>
  <si>
    <t>03.04.2024
NEO</t>
  </si>
  <si>
    <t>10h 30 03/04 Bến 3</t>
  </si>
  <si>
    <t>2000002119 - Nam Kim T02 - 3.800T (Hàng hóa ok)     hàng hóa ok-Nhập kho ngày 03/04</t>
  </si>
  <si>
    <t>TOP BRILLIANCE</t>
  </si>
  <si>
    <t>01.04.2024</t>
  </si>
  <si>
    <t>Bến 5</t>
  </si>
  <si>
    <t>2400000604 - 46.T3-24/HPDQ-SSCNT  - Lệnh ok               Hàng hóa ok-Nhập kho 23/03
2400000628 - 46.T3-24/HPDQ-PPL  (2800mt) - lệnh ok      Hàng hóa ok-Nhập kho 16/03
2400000629 - 46.T3-24/HPDQ-PPL (1200mt)                      Hàng hóa ok-Nhập kho 16/03
2400000602 (LOT 1) - 48.T3-24/HPDQ-HYUNDAI            Hàng hóa ok-Nhập kho 23/03
2400000603 (LOT 2) - 48.T3-24/HPDQ-HYUNDAI             Hàng hóa ok-Nhập kho 05/04</t>
  </si>
  <si>
    <t>Đã duyệt 5,4kt.
Lệnh 1,2kt  không biết bao giờ duyệt đc huhu</t>
  </si>
  <si>
    <t>21h 03.04.2024
NEO</t>
  </si>
  <si>
    <t>17h30 05/04 Bến 3</t>
  </si>
  <si>
    <r>
      <rPr>
        <sz val="14"/>
        <color rgb="FF000000"/>
        <rFont val="Times New Roman"/>
        <family val="1"/>
      </rPr>
      <t xml:space="preserve">2000002109 -VNO 07C - 2.100mt - Tân Thuận   - lệnh ok           Hàng hóa ok-Nhập kho 31/03
2000002127  - VNO 07D - 850mt - Tân Thuận                             Hàng hóa ok-Nhập kho 31/03
2000002128  - VNO 07D - 650mt - Tân Thuận                             Hàng hóa ok-Nhập kho 31/03
2000002122 - CSVC T02 - 500T - Phú Mỹ    (Lệnh ok)               Hàng hóa ok-Nhập kho 02/04
</t>
    </r>
    <r>
      <rPr>
        <sz val="14"/>
        <color rgb="FFFF0000"/>
        <rFont val="Times New Roman"/>
        <family val="1"/>
      </rPr>
      <t>Hết sáng 5/4 có lệnh</t>
    </r>
  </si>
  <si>
    <t>05h30 06/04 Bên 3</t>
  </si>
  <si>
    <t>2200001596 - OTHY 230T    (Hàng hóa ok)                                 Hàng spot hàng sẵn
2200001597 - OTHY 3100T   (Hàng hóa ok)                                Hàng spot hàng sẵn
2200001600 - THP 2600T cân tải     (Hàng hóa ok)                      Hàng spot hàng sẵn</t>
  </si>
  <si>
    <t>08.04.2024</t>
  </si>
  <si>
    <t>8/4 Bến 3</t>
  </si>
  <si>
    <t>2400000609 - 53.T3-24/HPDQ-MI - Kota Kinabalu, Malaysia    (lệnh ok)  Hàng hóa ok-Nhập kho 27/03
* Hà
2400000625 (S275JR) -  56.T3-24/HPDQ-NI - Pasir Gudang, Malaysia     Hàng hóa ok-Nhập kho 27/03
2400000626 (SPHC SKIN)  - 56.T3-24/HPDQ-NI - Pasir Gudang, Malaysia  Hàng hóa ok-Nhập kho 31/03
2400000627 (SPHC) - 56.T3-24/HPDQ-NI - Pasir Gudang, Malaysia              Hàng hóa ok-Nhập kho 31/03
2400000624 - 55.T3-24/HPDQ-NI - Port Klang, Malaysia  Đã MAP 280/300 - Lệnh OK  Hàng hóa ok-Nhập kho 02/04
2400000608 -54.T3-24/HPDQ-JFE - Port Klang, Malaysia    Hàng hóa ok (lệnh ok)        Hàng hóa ok-Nhập kho 27/03</t>
  </si>
  <si>
    <t>01.04.2024
NEO</t>
  </si>
  <si>
    <t>23h 02/04 Bến 5
8/4 vào làm hàng lại</t>
  </si>
  <si>
    <r>
      <rPr>
        <sz val="14"/>
        <color rgb="FF000000"/>
        <rFont val="Times New Roman"/>
        <family val="1"/>
      </rPr>
      <t>2000002115 Chính Đại - 750t  có hàng skimpass   Hàng hóa ok-Nhập kho 01/04
2200001575 - THP 8700T                                        Hàng hóa ok-Nhập kho 02/04
2200001576 - THP 2700T     (Hàng hóa ok)            Hàng spot hàng sẵn
2200001591 - THP 3400T     (Hàng hóa ok)            Hàng spot hàng sẵn
2200001587 - OTHY 770T     (Hàng hóa ok)          Hàng spot hàng sẵn
2200001593 - OTHY 1400T   (Hàng hóa ok)         Hàng spot hàng sẵn
2200001592 - OTHY 18T                                        Hàng spot hàng sẵn
Các lệnh trên đi Hải Phòng
2000002124  - HSNS - 6.500T  - Nghi Sơn (</t>
    </r>
    <r>
      <rPr>
        <sz val="14"/>
        <color rgb="FFFF0000"/>
        <rFont val="Times New Roman"/>
        <family val="1"/>
      </rPr>
      <t>LỆNH OK RỒI Ạ</t>
    </r>
    <r>
      <rPr>
        <sz val="14"/>
        <color rgb="FF000000"/>
        <rFont val="Times New Roman"/>
        <family val="1"/>
      </rPr>
      <t>)    Hàng hóa ok-Nhập kho 05/04</t>
    </r>
  </si>
  <si>
    <t>12.04.2024
NEO</t>
  </si>
  <si>
    <t>11h 12/04 Bến 2</t>
  </si>
  <si>
    <r>
      <rPr>
        <sz val="14"/>
        <color rgb="FF000000"/>
        <rFont val="Times New Roman"/>
        <family val="1"/>
      </rPr>
      <t xml:space="preserve">2000002125 - HSPM T03 - 3.300T - Phú Mỹ     Hàng hóa ok đã nhập kho ngày 11/04     </t>
    </r>
    <r>
      <rPr>
        <sz val="20"/>
        <color rgb="FFFF0000"/>
        <rFont val="Times New Roman"/>
        <family val="1"/>
      </rPr>
      <t xml:space="preserve">Ưu tiên hàng 2.0-2.5 x 1230 nhé ạ
</t>
    </r>
    <r>
      <rPr>
        <sz val="16"/>
        <color rgb="FFFF0000"/>
        <rFont val="Times New Roman"/>
        <family val="1"/>
      </rPr>
      <t xml:space="preserve">Lệnh duyệt rồi     </t>
    </r>
  </si>
  <si>
    <t>15-16.04.2024</t>
  </si>
  <si>
    <t>13/04 Bến 3</t>
  </si>
  <si>
    <t>2000002125 - HSPM T03 - 3.900T - Phú Mỹ    Lệnh duyệt rồi -Hàng hóa ok dã MAP 9.500 tấn NK ngày 10/04</t>
  </si>
  <si>
    <t>ORIENTAL MASTER</t>
  </si>
  <si>
    <t>13.04.2024</t>
  </si>
  <si>
    <t>14/4 Bến 5</t>
  </si>
  <si>
    <t>*HÀ
2400000610 - 59.T3-24/HPDQ-GS    LSD: 15/04 DK 12/04 duyệt lệnh  Hàng hóa ok đã nhập kho ngày 29/3
2400000612 - 63.T3-24/HPDQ-GS    LSD: 15/04 DK 12/04 duyệt lệnh  Hàng hóa ok đã nhập kho ngày 27/3
2400000613 - 64.T3-24/HPDQ-GS    LSD: 15/04 DK 12/04 duyệt lệnh  Hàng hóa ok đã nhập kho ngày 27/3
*GIANG
2400000614 - 60.T3-24/HPDQ-GS   LSD: 15/04 DK 12/04 duyệt lệnh   Hàng hóa ok đã nhập kho ngày 27/3
2400000615 (SPHC) - 62.T3-24/HPDQ-GS   LSD: 15/04 DK 12/04 duyệt lệnh   Hàng hóa ok đã nhập kho ngày 22/3
2400000616 (S275JR SKIN) - 62.T3-24/HPDQ-GS LSD: 15/04 DK 12/04 duyệt lệnh Hàng hóa ok đã nhập kho ngày 7/4
2400000617 (S275JR) - 62.T3-24/HPDQ-GS  Hàng hóa ok LSD: 15/04 DK 12/04 duyệt lệnh  Hàng hóa ok đã nhập kho ngày 28/3
2400000605 -61.T3-24/HPDQ-GS     LSD: 15/04 DK 12/04 duyệt lệnh Hàng hóa ok đã nhập kho ngày 26/3
2400000606 -66.T3-24/HPDQ-GS (S275JR)  LSD: 15/04 DK 12/04 duyệt lệnh Hàng hóa ok đã nhập kho ngày 24/3
2400000607 -66.T3-24/HPDQ-GS (SPHC)  LSD: 15/04 DK 12/04 duyệt lệnh   Hàng hóa ok đã nhập kho ngày 25/3</t>
  </si>
  <si>
    <t>SPLENDOR KEELUNG</t>
  </si>
  <si>
    <t>09.04.2024
NEO</t>
  </si>
  <si>
    <t>13.04 tàu sẵn sàng nhận hàng</t>
  </si>
  <si>
    <t>2400000647 -35.T2-24/HPDQ-MI     5kt    12/04 duyệt lệnh (Hàng hóa ok)- Đã nhập kho ngày 1-4/04</t>
  </si>
  <si>
    <t>15/04 Bến 3</t>
  </si>
  <si>
    <t>2000002134 - JFE T03 (TĐA) - 3.700T  - Tân Thuận     duyệt lệnh 12/04 Đã MAP 1730T ngày 12/04 + 700T chiều 13 NK + 1100T sáng 14 NK</t>
  </si>
  <si>
    <t>Tối 13.04.2024
NEO</t>
  </si>
  <si>
    <t>10h00 15/04 Bến 5</t>
  </si>
  <si>
    <t>2000002143  - JFE T03 (TĐA) - 2.000T - Tân Thuận          duyệt lệnh 12/04-Hàng hóa ok đã NK ngày 12/04
2000002135 - JFE T03 (TĐA) - 2.000T  - Posco                   duyệt lệnh 12/04-Chiều 12 NK
Dỡ Tân Thuận trước, Posco sau</t>
  </si>
  <si>
    <t>14.03.2024
NEO</t>
  </si>
  <si>
    <t>12h 15/04 Bến 3/5</t>
  </si>
  <si>
    <r>
      <rPr>
        <sz val="14"/>
        <color rgb="FF000000"/>
        <rFont val="Times New Roman"/>
        <family val="1"/>
      </rPr>
      <t xml:space="preserve">2200001607 - OTBD - Long Bình - 1.500T - hàng stock sẵn   hàng hóa ok
2.000T Phôi - Pomina - Dụ kiến 16/4 có hàng - Sáng 15/6 có lệnh
</t>
    </r>
    <r>
      <rPr>
        <sz val="14"/>
        <color rgb="FFFF0000"/>
        <rFont val="Times New Roman"/>
        <family val="1"/>
      </rPr>
      <t>Dỡ hàng phôi trước, HRC sau</t>
    </r>
  </si>
  <si>
    <t>13.04.2024
NEO</t>
  </si>
  <si>
    <t>16h 15/04 Bến 5</t>
  </si>
  <si>
    <t>2200001603 - THP cân tải     (Tổng MAP 5900 tấn NK ngày 12/04)
2200001604 - THP 3300T đi hết   Hàng spot (Hàng hóa có sẵn) đã MAP xong ngày 13/04</t>
  </si>
  <si>
    <t>14.04.2024
NEO</t>
  </si>
  <si>
    <t>21h 15/04 Bến 3</t>
  </si>
  <si>
    <t>2000002124 - HSNS T03 - 3.300T (sx từ 13-15/4)- Đã MAP 4.800 tấn + 2K4 dự kiến chiều 16 NK
2000002124 - HSNS T03 - 3.900T (sx từ 13-15/4)- Đã MAP 4.800 tấn + 2K4 dự kiến chiều 16 NK 
lệnh Hoa Sen ok
2200001603 - THP - 3.800T  cân tải   Hàng hóa ok (Tổng MAP 5400 tấn NK ngày 12/04)</t>
  </si>
  <si>
    <t>Tối 16.04.2024</t>
  </si>
  <si>
    <t>16-17 Bến 5</t>
  </si>
  <si>
    <t>Long Bình/ Phú Mỹ</t>
  </si>
  <si>
    <r>
      <rPr>
        <sz val="14"/>
        <color rgb="FFFF0000"/>
        <rFont val="Times New Roman"/>
        <family val="1"/>
      </rPr>
      <t xml:space="preserve">2200001599 - OTBD - 3.300T
2200001607 - OTBD cân tải
</t>
    </r>
    <r>
      <rPr>
        <sz val="14"/>
        <color rgb="FF000000"/>
        <rFont val="Times New Roman"/>
        <family val="1"/>
      </rPr>
      <t>65.T3-24/HPDQ-EUSIDER.SPA (650mt) - Chuyển tải Phú Mỹ, tàu XK 20-25.04
2400000640 (LOT A)                                   DK 12/04 duyệt lệnh-Hàng hóa ok đã NK ngày 01/4
2400000646 (LOT B)                                    DK 12/04 duyệt lệnh Đã MAP 140T đã NK ngày 01/04 + 50T hàng hóa ok đã NK ngày 15/04
2400000642 (LOT C)                                    DK 12/04 duyệt lệnh-Hàng hóa ok đã NK ngày 09/4</t>
    </r>
  </si>
  <si>
    <t>Tàu XK tại Phú Mỹ: MV SHENG XIANG HAI - ETA 20-22.04</t>
  </si>
  <si>
    <t>YASA VENUS</t>
  </si>
  <si>
    <t>17.04.2024</t>
  </si>
  <si>
    <t>17/04 B5</t>
  </si>
  <si>
    <t>EU</t>
  </si>
  <si>
    <r>
      <rPr>
        <sz val="14"/>
        <color rgb="FF000000"/>
        <rFont val="Times New Roman"/>
        <family val="1"/>
      </rPr>
      <t xml:space="preserve">2400000632 (LOT 1 - S235JR) - 49.T3-24/HPDQ-EUSIDER - Bilbao, Spain - DK 13/4 duyệt lệnh  -Hàng hóa ok đã nhập kho ngày 8/4
2400000652 (LOT 1 - S275JR) - 49.T3-24/HPDQ-EUSIDER - Bilbao, Spain - DK 13/4 duyệt lệnh  -Hàng hóa ok đã nhập kho ngày 8/4
2400000633 (LOT 2 - S235JR) - 49.T3-24/HPDQ-EUSIDER - Bilbao, Spain - DK 13/4 duyệt lệnh  -Hàng hóa ok đã nhập kho ngày 9/4
2400000653 (LOT 2 - S275JR) - 49.T3-24/HPDQ-EUSIDER - Bilbao, Spain - DK 13/4 duyệt lệnh   -Hàng hóa ok đã nhập kho ngày 8/4
2400000634 (LOT 3) - 49.T3-24/HPDQ-EUSIDER - Bilbao, Spain                 - DK 13/4 duyệt lệnh   -Hàng hóa ok đã nhập kho ngày 8/4
2400000672 - 51.T3-24/HPDQ-AMI - Bilbao, Spain                                         -  16/4 duyệt lệnh   -Hàng hóa ok đã nhập kho ngày 9/4
2400000643 (LOT 1) - 47.T3-24/HPDQ-CASSL - Gjion, Spain LSD 10/05 - Lệnh OK       -Hàng hóa ok đã nhập kho ngày 10/4
2400000644 (LOT 2) - 47.T3-24/HPDQ-CASSL - Gjion, Spain LSD 10/05  - Lệnh OK      -Hàng hóa ok đã nhập kho ngày 8/4                     
2400000645 (LOT 3) - 47.T3-24/HPDQ-CASSL - Gjion, Spain  Hàng hóa ok  LSD 10/05-Hàng hóa ok đã nhập kho ngày 8/4    - Lệnh OK
</t>
    </r>
    <r>
      <rPr>
        <sz val="14"/>
        <color rgb="FFFF0000"/>
        <rFont val="Times New Roman"/>
        <family val="1"/>
      </rPr>
      <t xml:space="preserve">2400000639 (LOT 5 -S275JR) - 50.T3-24/HPDQ-EUSIDER - Leixoes, Portugal - DK 17/4 duyệt lệnh-Hàng hóa ok đã nhập kho ngày 7/4
2400000651 (LOT 5 -S235JR) - 50.T3-24/HPDQ-EUSIDER - Leixoes, Portugal - DK 17/4 duyệt lệnh-Hàng hóa ok đã nhập kho ngày 9/4  </t>
    </r>
    <r>
      <rPr>
        <sz val="14"/>
        <color rgb="FF000000"/>
        <rFont val="Times New Roman"/>
        <family val="1"/>
      </rPr>
      <t xml:space="preserve">                   </t>
    </r>
  </si>
  <si>
    <t>16.04.2024
NEO</t>
  </si>
  <si>
    <t>18h30 16/04 Bến 2</t>
  </si>
  <si>
    <t>2200001575 - THP 300T      Hàng sẵn (spot) Hàng hóa ok
2200001600 - THP 1670T    Hàng sẵn (spot) Hàng hóa ok
2200001601 - THP 115T        Hàng sẵn (spot) Hàng hóa ok
2200001603 - OTHY cân tải    Hàng hóa ok (Tổng MAP 5k8)</t>
  </si>
  <si>
    <t>19.04.2024</t>
  </si>
  <si>
    <t>19/04 bến 3</t>
  </si>
  <si>
    <t>2200001611 - OTHY đi hết    Hàng hóa ok hàng spot có sẵn
2200001608 - THP cân tải      Hàng hóa ok hàng spot có sẵn</t>
  </si>
  <si>
    <t>17.04.2024
NEO</t>
  </si>
  <si>
    <t>Lập KH 19/3 vào làm hàng giúp em ạ</t>
  </si>
  <si>
    <t>2200001609 - OTHY 360T
2200001611 - OTHY cân tải</t>
  </si>
  <si>
    <t>Thay thế tàu Vipmao 06 do tàu hỏng không về được</t>
  </si>
  <si>
    <t xml:space="preserve">đêm 19.04.2024 </t>
  </si>
  <si>
    <t>20/04 Bến 3</t>
  </si>
  <si>
    <t>Posco</t>
  </si>
  <si>
    <t>2000002138 - Posco T03 - 4.000T (sx từ 13-15/4) - Posco - LSD 15.05 - Lệnh đã được duyệt  (Hàng hóa ok đã NK ngày 16/04)</t>
  </si>
  <si>
    <t>AFRICAN OXPECKER</t>
  </si>
  <si>
    <t>Macshipping</t>
  </si>
  <si>
    <t>19/4 Bến 5/10</t>
  </si>
  <si>
    <t>Liverpool, UK</t>
  </si>
  <si>
    <t>67-T3-24/HPDQ-DP
2400000618 (LOT1-DD11)    - DK 19/4 duyệt lệnh-Hàng hóa ok đã nhập kho ngày 28/3
2400000619 (LOT1-S275JR) - DK 19/4 duyệt lệnh-Hàng hóa ok đã nhập kho ngày 26/3
2400000621 (LOT1-S355JR) -DK 19/4 duyệt lệnh-Hàng hóa ok đã nhập kho ngày 25/3
2400000622 (LOT1-DD11 SKIN)- DK 19/4 duyệt lệnh-Hàng hóa ok đã nhập kho ngày 01/4
2400000623 (LOT 2)     - DK 19/4 duyệt lệnh-Hàng hóa ok đã nhập kho ngày 27/3</t>
  </si>
  <si>
    <t>detention usd 16000 pdpr</t>
  </si>
  <si>
    <t>sáng 20.04.2024</t>
  </si>
  <si>
    <t>20/04 Bến 3/5</t>
  </si>
  <si>
    <r>
      <rPr>
        <sz val="14"/>
        <color rgb="FF000000"/>
        <rFont val="Times New Roman"/>
        <family val="1"/>
      </rPr>
      <t xml:space="preserve">2000002126 - HSQN T03 - 6.000T - Quy Nhơn                  Hàng hóa ok đã NK ngày 11/04                     Lệnh duyệt rồi
2000002125 - HSPM T03 - 9.270T  - Phú Mỹ                      Hàng hóa ok đã NK ngày 19/04      Lệnh duyệt rồi
2000002144 - JFE 03 (TĐA) - 700T - Phú Mỹ  lệnh ok 18/04   Hàng hóa ok đã NK ngày 16/04
</t>
    </r>
    <r>
      <rPr>
        <b/>
        <sz val="14"/>
        <color rgb="FF000000"/>
        <rFont val="Times New Roman"/>
        <family val="1"/>
      </rPr>
      <t xml:space="preserve">2000002146  - Nam Kim T03 - 7.000T - LSD 10/5 - Tân Thuận  - lệnh Ok               (Hàng hóa ok đã NK ngày 16/04)               DK 16 DUYỆT
</t>
    </r>
    <r>
      <rPr>
        <b/>
        <sz val="14"/>
        <color rgb="FFFF0000"/>
        <rFont val="Times New Roman"/>
        <family val="1"/>
      </rPr>
      <t>Dỡ hàng Quy Nhơn - Phú Mỹ - Tân Thuận</t>
    </r>
  </si>
  <si>
    <t xml:space="preserve"> 21.04.2024</t>
  </si>
  <si>
    <t>21/04 Bến 05</t>
  </si>
  <si>
    <r>
      <rPr>
        <sz val="14"/>
        <color rgb="FF000000"/>
        <rFont val="Times New Roman"/>
        <family val="1"/>
      </rPr>
      <t xml:space="preserve">2000002145 - Nam Kim T03 - 3.000T - LSD 10/5 - Tân Thuận- lệnh Ok                    (Hàng hóa ok đã NK ngày 16/04)
2000002130 - SEAH T03 - 300T  - Tân Thuận - LSD 15.05 (Lệnh đã được duyệt)-Hàng hóa ok đã NK ngày 11/04.                
2000002139 - Posco T03 - 1.000T (sx từ 13-15/4) - Posco - LSD 15.05 - Lệnh đã được duyệt     (Hàng hóa ok đã NK ngày 15/04)
</t>
    </r>
    <r>
      <rPr>
        <sz val="14"/>
        <color rgb="FFFF0000"/>
        <rFont val="Times New Roman"/>
        <family val="1"/>
      </rPr>
      <t>Dỡ Posco cuối cùng</t>
    </r>
  </si>
  <si>
    <t>18.04.2024</t>
  </si>
  <si>
    <t>21/04 Bến 5</t>
  </si>
  <si>
    <t xml:space="preserve">2400000671 (lot 2) - 72.T4-24/HPDQ-Trasteel - 500mt - chuyển tải Phú Mỹ,  Dự kiến 22 NK - DK duyệt lệnh 19/04  
2400000670 (lot 1) - 72.T4-24/HPDQ-Trasteel - 1,060mt - chuyển tải Phú Mỹ,  Dự kiến 22 NK - DK duyệt lệnh 19/04  
2000002133 - TĐA T03 - 1000T - Tân Thuận      Hàng hóa ok đã NK ngày 17/04
2000002136 - Tiến Lên T03 - 100T - Tân Thuận      (dự kiến 19/04 duyệt lệnh)   Hàng hóa ok đã NK ngày 22/04
2000002148 - JFE T03 - 2000T- Tân Thuận (dự kiến 19/04 duyệt lệnh)   Đã NK </t>
  </si>
  <si>
    <t>22.04.2024
neo</t>
  </si>
  <si>
    <t>22/04 bến 01</t>
  </si>
  <si>
    <t xml:space="preserve">
2000002147  - JFE T03 - 3.600T - Phú Mỹ (18/4 lệnh ok) Hàng hóa đã MAP 3k1 + 500 đã sx chờ KT mở kì NK (dự kiến 22/4 NK)
</t>
  </si>
  <si>
    <t>Thay thế Việt Hòa 68</t>
  </si>
  <si>
    <t>24.04.2024</t>
  </si>
  <si>
    <t>24/04 bến 02</t>
  </si>
  <si>
    <t>2200001608 - THP  Hàng hóa ok hàng spot hàng có sẵn</t>
  </si>
  <si>
    <t>24.04.2024
NEO</t>
  </si>
  <si>
    <t>24/04 bến 01.</t>
  </si>
  <si>
    <r>
      <rPr>
        <sz val="14"/>
        <color rgb="FF000000"/>
        <rFont val="Times New Roman"/>
        <family val="1"/>
      </rPr>
      <t xml:space="preserve">2000002151 - Tây Nam T02 - 4.250T - Thiên Lộc Thành </t>
    </r>
    <r>
      <rPr>
        <b/>
        <i/>
        <sz val="14"/>
        <color rgb="FFFF0000"/>
        <rFont val="Times New Roman"/>
        <family val="1"/>
      </rPr>
      <t>LSD: 30/4</t>
    </r>
    <r>
      <rPr>
        <sz val="14"/>
        <color rgb="FF000000"/>
        <rFont val="Times New Roman"/>
        <family val="1"/>
      </rPr>
      <t xml:space="preserve"> </t>
    </r>
    <r>
      <rPr>
        <b/>
        <sz val="14"/>
        <color rgb="FF000000"/>
        <rFont val="Times New Roman"/>
        <family val="1"/>
      </rPr>
      <t xml:space="preserve"> </t>
    </r>
    <r>
      <rPr>
        <b/>
        <sz val="14"/>
        <color rgb="FFFF0000"/>
        <rFont val="Times New Roman"/>
        <family val="1"/>
      </rPr>
      <t>(Đã MAP -Tổng lượng loại I chỉ sx đc 4.986 tấn) - 23/04 lệnh ok</t>
    </r>
  </si>
  <si>
    <t>23.04.2024
NEO</t>
  </si>
  <si>
    <t>24/04 bến 5</t>
  </si>
  <si>
    <t>2200001603 - THP  (Hàng hóa ok Đã MAP 11.000 tấn)</t>
  </si>
  <si>
    <t>Muộn nhất 30/4 xong hàng</t>
  </si>
  <si>
    <t>2200001608 - THP 400T
2200001603 - THP 5700T cân tải
Hàng sẵn hết, lệnh ok rồi</t>
  </si>
  <si>
    <t>MV. WHITE TOMONY</t>
  </si>
  <si>
    <t>26.04.2024</t>
  </si>
  <si>
    <t>26/04 B3</t>
  </si>
  <si>
    <t>2400000648- MI 71  Hàng hóa ok đã nhập kho ngày 18/04 - 25/4 lệnh ok
2400000692 - MI 71 (SIZE: 2.25) 25/4 lệnh ok
2400000649- MI 70   Hàng hóa ok đã nhập kho ngày 18/04 --25/4 lệnh ok</t>
  </si>
  <si>
    <t>27.04.2024</t>
  </si>
  <si>
    <t>27-28.04 bến 01</t>
  </si>
  <si>
    <t>Muộn nhất 30/4 xong</t>
  </si>
  <si>
    <t>2200001621 NMCN 950T   Hàng hóa ok hàng spot hàng sẵn 
2200001620 OTHY 300T    Hàng hóa ok hàng spot hàng sẵn  đã MAP 288T THIẾU 1C 9.80
2200001619 OTHY cân tải   Hàng hóa ok hàng spot hàng sẵn đã MAP 4084T</t>
  </si>
  <si>
    <t>THAY THẾ CHO HẢI DƯƠNG 99 KHÔNG VỀ KỊP</t>
  </si>
  <si>
    <t>SPAR SPICA</t>
  </si>
  <si>
    <t>26/04 B10</t>
  </si>
  <si>
    <t>Tất cả hàng phải qua cân trong tháng 4, tàu làm xong trước 2/5. Đã khai Hải quan về CCD, tàu phải cập CCD</t>
  </si>
  <si>
    <t>* HÀ
2400000656 (SAE1006) - 44.T3-24/HPDQ-ASP - UK - LSD 10/5 - DK 15/4 duyệt lệnh - Hàng hóa ok đã NK ngày 3/4
2400000657 (S235JR) - 44.T3-24/HPDQ-ASP - UK - LSD 10/5 - DK 15/4 duyệt lệnh     Hàng hóa ok đã NK ngày 10/4
2400000658 (S355JR) - 44.T3-24/HPDQ-ASP - UK - LSD 10/5 - DK 15/4 duyệt lệnh     Hàng hóa ok đã NK ngày 08/4
2400000662 (LOT 1 - S275JR) - 52.T3-24/HPDQ-EP - UK  - LSD 10/04 - DK 15/04 duyệt lệnh   Hàng hóa ok đã NK ngày 07/4
2400000663 (LOT 2 - S275JR) - 52.T3-24/HPDQ-EP - UK  - LSD 10/04 - DK 15/04 duyệt lệnh    Hàng hóa ok đã NK ngày 07/4
2400000665  (LOT 2 - S355JR) - 52.T3-24/HPDQ-EP - UK  - LSD 10/04 - DK 15/04 duyệt lệnh   Hàng hóa ok đã NK ngày 07/4
2400000664  (LOT 3 - S275JR) - 52.T3-24/HPDQ-EP - UK  - LSD 10/04 - DK 15/04 duyệt lệnh    Hàng hóa ok đã NK ngày 07/4
2400000666  (LOT 3 - S355JR) - 52.T3-24/HPDQ-EP - UK  - LSD 10/04 - DK 15/04 duyệt lệnh    Hàng hóa ok đã NK ngày 07/4
* LINH
2400000650 - 69.T3-24/HPDQ-POSCO - UK    Hàng hóa ok  -  duyệt lệnh          Hàng hóa ok đã NK ngày 10/4
2400000667 - 69.T3-24/HPDQ-POSCO - UK    Hàng hóa ok  -  duyệt lệnh          Hàng hóa ok đã NK ngày 14/4
* GIANG
2400000635 (LOT 1) - 50.T3-24/HPDQ-EUSIDER - Leixoes, Portugal - DK 15/4 duyệt lệnh-Hàng hóa ok đã nhập kho ngày 9/4
2400000636 (LOT 2) - 50.T3-24/HPDQ-EUSIDER - Leixoes, Portugal - DK 15/4 duyệt lệnh-Hàng hóa ok đã nhập kho ngày 7/4
2400000637 (LOT 3) - 50.T3-24/HPDQ-EUSIDER - Leixoes, Portugal - DK 15/4 duyệt lệnh-Hàng hóa ok đã nhập kho ngày 9/4
2400000638 (LOT 4) - 50.T3-24/HPDQ-EUSIDER - Leixoes, Portugal - DK 15/4 duyệt lệnh-Hàng hóa ok đã nhập kho ngày 7/4</t>
  </si>
  <si>
    <t>29.04 bến 1</t>
  </si>
  <si>
    <t>30/4 xong hàng, không kịp hàng thì phải bắt buộc phải cho qua cân hết và xuất hóa đơn trong tháng 4</t>
  </si>
  <si>
    <r>
      <rPr>
        <sz val="14"/>
        <color rgb="FF000000"/>
        <rFont val="Times New Roman"/>
        <family val="1"/>
      </rPr>
      <t xml:space="preserve">2000002151 - Tây Nam T02 - 750T  - Thiên Lộc Thành </t>
    </r>
    <r>
      <rPr>
        <i/>
        <sz val="14"/>
        <color rgb="FFFF0000"/>
        <rFont val="Times New Roman"/>
        <family val="1"/>
      </rPr>
      <t>LSD: 30/4</t>
    </r>
    <r>
      <rPr>
        <sz val="14"/>
        <color rgb="FF000000"/>
        <rFont val="Times New Roman"/>
        <family val="1"/>
      </rPr>
      <t xml:space="preserve"> (</t>
    </r>
    <r>
      <rPr>
        <b/>
        <sz val="14"/>
        <color rgb="FFFF0000"/>
        <rFont val="Times New Roman"/>
        <family val="1"/>
      </rPr>
      <t xml:space="preserve">Đã MAP -Tổng lượng loại I chỉ sx đc 4.986 tấn) - 23/04 lệnh ok
</t>
    </r>
    <r>
      <rPr>
        <sz val="14"/>
        <color rgb="FF000000"/>
        <rFont val="Times New Roman"/>
        <family val="1"/>
      </rPr>
      <t>2200001595 OTBD 200T    Hàng hóa ok hàng spot hàng sẵn
2200001607 OTBD 1100T   Hàng hóa ok hàng spot hàng sẵn
2200001613 OTBD cân tải   Hàng hóa ok hàng spot hàng sẵn</t>
    </r>
  </si>
  <si>
    <t>28.04.2024</t>
  </si>
  <si>
    <t>28.04 bến 4/6</t>
  </si>
  <si>
    <t>Xuất hết hàng stock trên tàu này trong tháng 4</t>
  </si>
  <si>
    <t>2000002150 - Nhật Quang - 500MT - Hải Phòng - LSD 05/05/2024 (Lệnh ok) Hàng hóa ok đã NK ngày 25/04
2200001615 THP 5000T         Hàng hóa ok hàng spot hàng sẵn     đã MAP 4875
2200001606 OTHY cân tải         Hàng hóa ok hàng spot hàng sẵn   đã MAP 4723
2200001619 OTHY đi hết          Hàng hóa ok hàng spot hàng sẵn  đã MAP 4084 
2200001616 OTHY 2060T       Hàng hóa ok hàng spot hàng sẵn  đã MAP   2063
2200001603 THP đi hết     
2200001622 THP 3.200T (hàng sản xuất)    Dự kiến 30 NK   
2200001623 THP 780T (hàng sản xuất)    Hànghóa ok đã NK ngày 28/04</t>
  </si>
  <si>
    <t>28.04.2024 bến 02</t>
  </si>
  <si>
    <t>2200001611 OTHY 100T      Hàng hóa ok hàng spot hàng sẵn 
2200001614 OTHY 600T     Hàng hóa ok đã NK ngày 23.04
2200001606 OTHY cân tải   Hàng hóa ok hàng spot hàng sẵn đã MAP 4.723 tấn</t>
  </si>
  <si>
    <t>30.04.2024</t>
  </si>
  <si>
    <t>Ngày 2/5 phải làm hàng xong để kịp 4/5 trả hàng cho khách</t>
  </si>
  <si>
    <r>
      <rPr>
        <sz val="14"/>
        <color rgb="FF000000"/>
        <rFont val="Times New Roman"/>
        <family val="1"/>
      </rPr>
      <t xml:space="preserve">2000002155 - TĐA T04 - 1.000T (sx 27-30/4) - Tân Thuận- dk 27 duyệt lệnh Dự kiến 29/4 NK
2000002157  - JFE T04 - 1.000T - Tân Thuận- dk 27 duyệt lệnh                       Dự kiến 29/4 NK
2000002156 - JFE T04 - 2.450T (sx 30-2/5) - Posco </t>
    </r>
    <r>
      <rPr>
        <sz val="14"/>
        <color rgb="FFFF0000"/>
        <rFont val="Times New Roman"/>
        <family val="1"/>
      </rPr>
      <t>(xuất hết các size, chỉ để lại hàng size 2.0x1109)</t>
    </r>
    <r>
      <rPr>
        <sz val="14"/>
        <color rgb="FF000000"/>
        <rFont val="Times New Roman"/>
        <family val="1"/>
      </rPr>
      <t xml:space="preserve"> - dk 27 duyệt lệnh  Dự kiến chiều 27/4 NK</t>
    </r>
  </si>
  <si>
    <t>29.04.2024</t>
  </si>
  <si>
    <t>27/04 B5</t>
  </si>
  <si>
    <t>2400000661 - 73.T4-24/HPDQ-HYUNDAI    Hàng hóa ok đã NK ngày 11/04
2400000659 - 74.T04-24/HPDQ-HPI (LOT 1)  Đã MAP 2540T + 900T hàng hóa ok đã NK ngày 22/04
2400000660 - 74.T04-24/HPDQ-HPI (LOT 2)        Hàng hóa ok đã NK ngày 11/04 
2400000655 - 87.T04-24/HPDQ-SINV     LSD 31/05 - lệnh OK    Hàng hóa ok đã NK ngày 11/04
2400000654 - 89.T04-24 HPDQ ATV              Hàng hóa ok đã NK ngày 11/04 - lệnh ok</t>
  </si>
  <si>
    <t>Xuất 7.500 tấn nhập kho ngày 27-28-29/4 trong tháng 4</t>
  </si>
  <si>
    <t xml:space="preserve"> Nghi Sơn</t>
  </si>
  <si>
    <r>
      <rPr>
        <sz val="14"/>
        <color rgb="FF000000"/>
        <rFont val="Times New Roman"/>
        <family val="1"/>
      </rPr>
      <t xml:space="preserve">2000002153 -  Hoa Sen Nghi Sơn T04 - 11.500mt , LỆNH OK  (Đã MAP 1300 tấn + dự kiến 4kt NK chiều 29 + 3Kt chiều 30 NK + 1k2 dự kiến chiều 1/5)
</t>
    </r>
    <r>
      <rPr>
        <sz val="14"/>
        <color rgb="FFFF0000"/>
        <rFont val="Times New Roman"/>
        <family val="1"/>
      </rPr>
      <t>Load hàng size 1230 , 1001 cuối cùng để dỡ trước
Dỡ hàng sau lễ</t>
    </r>
  </si>
  <si>
    <t>Thay cho Đinh Gia 79</t>
  </si>
  <si>
    <t>LỊCH TÀU XUẤT HRC THÁNG 03/2024</t>
  </si>
  <si>
    <t>XUẤT HÀNG ĐỦ DUNG SAI LỆNH XUẤT, THỪA TẢI TẢU MỚI XUẤT HẾT MAPPING DƯƠNG</t>
  </si>
  <si>
    <t>01.03.2024
NEO</t>
  </si>
  <si>
    <t>1/3 Bến 5</t>
  </si>
  <si>
    <t xml:space="preserve">2000002044 Hoa Sen QN T01 - 4.350T - Quy Nhơn (Đã MAP 430T)  (Dự kiến mùng 1/3 NK)
 (Mọi người xuất đủ KL lệnh nhé, size có KL &lt;100 tấn dung sai 20%, còn lại dung sai 10%) </t>
  </si>
  <si>
    <t>HPS-01</t>
  </si>
  <si>
    <t>28.02.2024</t>
  </si>
  <si>
    <t>4/3 Bến 5</t>
  </si>
  <si>
    <r>
      <rPr>
        <sz val="14"/>
        <color rgb="FF000000"/>
        <rFont val="Times New Roman"/>
        <family val="1"/>
      </rPr>
      <t xml:space="preserve">2000002081 - TĐA 10.T01 - 2.000mt - Phú Mỹ         (Hàng hóa ok )
2000002082 -TĐA 10.T01 - 3.000mt - Tân Thuận      (Đã MAP 2K1 + 328t sáng mùng 6 NK + 500T sáng ngày 7 NK )
2000002083 -TĐA 18.T02 - 2.500mt - Phú Mỹ           (1500T khổ 123X chiều 6 NK+500T dự sáng 7 NK + 121Y  kiến sáng 9/3 NK)
2000002084 -TĐA 18.T02 -1.200mt  - Tân Thuận     (Dự kiến sáng mùng 6/3 NK)
2000002091 - TDA 18.T02-1.000MT - </t>
    </r>
    <r>
      <rPr>
        <sz val="14"/>
        <color rgb="FFFF0000"/>
        <rFont val="Times New Roman"/>
        <family val="1"/>
      </rPr>
      <t xml:space="preserve">Tân Thuận (Đổi từ Phú Mỹ sang Tân Thuận)
</t>
    </r>
    <r>
      <rPr>
        <sz val="14"/>
        <color rgb="FF000000"/>
        <rFont val="Times New Roman"/>
        <family val="1"/>
      </rPr>
      <t xml:space="preserve">2000002085 - JFE 19.T02 - 300MT- Tân Thuận          (Dự kiến sáng mùng 6/3 NK)
2000002043 - Hoa Sen PM T01 - 1.800T - Phú Mỹ - Đi hết mapping  (Hàng hóa ok)
2000002092,2093,2094 The One - 600T - Phú Mỹ   (Hàng hóa ok chờ MAP)
2000002078 - TLPM T01 - 2.000T - Phú Mỹ                      (Hàng hóa ok)
2200001569 - OTHY 170T - </t>
    </r>
    <r>
      <rPr>
        <sz val="14"/>
        <color rgb="FFFF0000"/>
        <rFont val="Times New Roman"/>
        <family val="1"/>
      </rPr>
      <t xml:space="preserve">Tân Thuận (Đổi từ Phú Mỹ sang Tân Thuận)      </t>
    </r>
    <r>
      <rPr>
        <sz val="14"/>
        <color rgb="FF000000"/>
        <rFont val="Times New Roman"/>
        <family val="1"/>
      </rPr>
      <t xml:space="preserve">                  (Hàng hóa ok)
2000002058 - Nam Kim T01 - 10.000T - Tân Thuận - LSD 20/03  (110t dự kiến mùng 3 NK + 123X 1390t dự kiến 8/3 NK + 2K8 dự kiến 2/3 NK + 5K7 mùng 9 NK)</t>
    </r>
    <r>
      <rPr>
        <sz val="14"/>
        <color rgb="FFFF0000"/>
        <rFont val="Times New Roman"/>
        <family val="1"/>
      </rPr>
      <t xml:space="preserve"> - (bớt lại 500 tấn để xuất trên tàu Phương Nam 46)
Dỡ Phú Mỹ -&gt; Tân Thuận</t>
    </r>
  </si>
  <si>
    <t>WAN TONG 18</t>
  </si>
  <si>
    <t>05.03.2024</t>
  </si>
  <si>
    <t>5/3 Bến 6/11</t>
  </si>
  <si>
    <t>2400000546 - 06.T1-24 HPDQ-ARS (LOT 1) (Hàng hóa ok) (LSD 5/3)
2400000575 - 06.T1-24 HPDQ-ARS (LOT 2) (Hàng hóa ok) (LSD 5/3)</t>
  </si>
  <si>
    <t>05.03.2024
NEO</t>
  </si>
  <si>
    <t>5/3 Bến 3</t>
  </si>
  <si>
    <t>Long Bình/ Cẩm Nguyên</t>
  </si>
  <si>
    <t>2200001573 OTBD - 3.150T      (Hàng hóa ok) - Long Bình
2000002073 - VNO 07E- 165T - Hàng sẵn - Cẩm Nguyên (xuất hết mapping)
Ghép 700 tấn thép cuộn Hưng Yên - cân tải</t>
  </si>
  <si>
    <t xml:space="preserve">MESSINIAN SPIRE </t>
  </si>
  <si>
    <t>6/3 Bến 5/10</t>
  </si>
  <si>
    <t>2400000580 - 28.T2-24/HPDQ-PPL(A36) (Hàng hóa ok) (lệnh ok)
2400000578 -28.T2-24/HPDQ-PPL(CS TYPE B) (Hàng hóa ok) (lệnh ok) (size 1.8, 2.9)
2400000592 - 28.T2-24/HPDQ-PPL(CS TYPE B)-size 3.6 (lệnh ok)
2400000579 -28.T2-24/HPDQ-PPL(CS TYPE B SKINPASS) (Hàng hóa ok) (dự kiến 09/03 duyệt lệnh)
2400000598 -28.T2-24/HPDQ-PPL(CS TYPE B SKINPASS) - size 1.8
2400000595 - 28.T2-24/HPDQ-PPL(CS TYPE B)-size 1.9 (1400mt) (lệnh ok)
2400000596 -28.T2-24/HPDQ-PPL(CS TYPE B)-size 1.9(100mt), size 2.2 (dự kiến 09/03 duyệt lệnh)
2400000584 (SKIN CS B) (Hàng hóa ok)
/2400000593 (SKIN A36) Đã MAP 260T + 20T dự kiến ngày 6 NK
/2400000573 - 29.T2-24/HPDQ-ATV (Hàng hóa ok) - (dự kiến 06/03 duyệt lệnh)
2400000561 - 34.T2-24/HPDQ-HYUNDAI (LOT 1)  (Hàng hóa ok)
2400000562 - 34.T2-24/HPDQ-HYUNDAI (LOT 2)  (Hàng hóa ok)
2400000563 - 31.T2-24/HPDQ-SALZ (A36)   (Hàng hóa ok)
2400000576 - 31.T2-24/HPDQ-SALZ (SAE1008)  (Đã MAP 1280T + 60t dự kiến chiều 5/3 NK)
2400000540 - 13.T1-24 HPDQ - ATV (Skinpass) (2kt) Hàng hóa ok</t>
  </si>
  <si>
    <t>Đêm 05.03.2024
NEO</t>
  </si>
  <si>
    <t>2000002089 - Tây Nam T01 - 2.750T - Thiên Lộc Thành (Hàng hóa ok)
2000002077 - SEAH T01 - 1.000T -  Tân Thuận (Hàng hóa ok)
2000002068 - Tiến Lên T01 - 500T - Tân Thuận (LSD 15/4) (Hàng hóa ok)</t>
  </si>
  <si>
    <t>06-07.03.2024
NEO</t>
  </si>
  <si>
    <t>7/3 Bến 6</t>
  </si>
  <si>
    <t>2000002052 - TCĐ 300T       (Hàng hóa ok)
2200001560 - THP 850T       (Hàng hóa ok)
2200001571 - THP 1650T       (Hàng hóa ok) thiếu 1 cuộn Tổng MAP 1630T
2200001531 - OTHY 21T       (Hàng hóa ok)
2200001568 - OTHY cân tải    (Hàng hóa ok)</t>
  </si>
  <si>
    <t>07-08.03.2024
NEO</t>
  </si>
  <si>
    <t>07/3 Bến 11</t>
  </si>
  <si>
    <t>2200001568 - OTHY đi hết trừ lượng tàu Hà Dương 68     (Hàng hóa ok)
2200001570 - OTHY cân tải                                                (Hàng hóa ok)</t>
  </si>
  <si>
    <t>Đêm 07.03.2024</t>
  </si>
  <si>
    <t>9/3 Bến 6</t>
  </si>
  <si>
    <t>10/03 Xong tàu</t>
  </si>
  <si>
    <t>2000002090 - Tây Nam T01 - 2.250T - Thiên Lộc Thành    (Hàng hóa ok)
2000002079 - Posco T01 - 2.000T - Posco (Hàng hóa ok)</t>
  </si>
  <si>
    <t>07.03.2024
NEO</t>
  </si>
  <si>
    <t>9-10/3 Bến 5</t>
  </si>
  <si>
    <t>12/03 Xong tàu</t>
  </si>
  <si>
    <r>
      <rPr>
        <sz val="14"/>
        <color rgb="FF000000"/>
        <rFont val="Times New Roman"/>
        <family val="1"/>
      </rPr>
      <t xml:space="preserve">2000002062 - KKBV - 500T - LSD 15/03/2024 - Hải Phòng (Hàng hóa ok)
2000002080 - Phú Nam T01 - 200T (LSD 15/3) - Hải Phòng      (Hàng hóa ok)
2200001574 - OTHY - 3170TT - Hải Phòng cân tải
2000002087 - Hoa Sen - 3.100T - Nghi Sơn (Dự kiến 9/3 NK)    (Hàng hóa ok)
</t>
    </r>
    <r>
      <rPr>
        <sz val="14"/>
        <color rgb="FFFF0000"/>
        <rFont val="Times New Roman"/>
        <family val="1"/>
      </rPr>
      <t>2200001570 OTHY - Đi hết 
2200001575 - THP cân tải</t>
    </r>
  </si>
  <si>
    <t>HUAYANG SUNRISE</t>
  </si>
  <si>
    <t>09.03.2024</t>
  </si>
  <si>
    <t>C.TH</t>
  </si>
  <si>
    <t>Klang port, Malaysia</t>
  </si>
  <si>
    <t>2400000560 - 36.T2-24 HPDQ-GS (SPHT1)  (Hàng hóa ok)
2400000577 - 36.T2-24 HPDQ-GS (S275JR)  (Hàng hóa ok)
2400000587 - 37.T2-24 HPDQ-GS  400,000   (Hàng hóa ok)
Hà
2400000569 - 38.T2-24 HPDQ-GS 900,000   (Hàng hóa ok)
2400000597 (SPHC SKIN) Hàng hóa ok
/ 2400000582 (S275JR-SKIN)/ 2400000558 (S275JR) hàng hóa ok - 39.T2-24 HPDQ-GS 1,000,000
2400000594 /2400000591 (SKIN) - 42.T2-24 HPDQ-GS 6,000,000 (Hàng hóa ok)
2400000588 -40.T2-24 HPDQ-GS 300,000   (Hàng hóa ok)
2400000590 -41.T2-24 HPDQ-GS (S275JR skinpass)    (Hàng hóa ok)
2400000589 -41.T2-24 HPDQ-GS (S275JR)  (Hàng hóa ok)</t>
  </si>
  <si>
    <t>08-09.03.2024</t>
  </si>
  <si>
    <t>9/3 Bến 3</t>
  </si>
  <si>
    <t>11/03 Xong tàu</t>
  </si>
  <si>
    <t>2000002086 - Hoa Sen - 4.000T (Hàng hóa ok)</t>
  </si>
  <si>
    <t>+ Tổng lượng 20*2086 ĐÃ MAP 6500 TẤN</t>
  </si>
  <si>
    <t>17H30 09/3 Bến 6</t>
  </si>
  <si>
    <t>2000002096  - TLPM T02 - 2.000T (Hàng hóa ok) - Phú Mỹ
2000002097  - PVX T01 lot 1- 1.200T - Tân Thuận (Hàng hóa ok)
2000002058 - Nam Kim - 500T - Tân Thuận (Dự kiến tối 11 NK)</t>
  </si>
  <si>
    <t>10.03.2024
NEO</t>
  </si>
  <si>
    <t>16h30 12/03 Bến 2</t>
  </si>
  <si>
    <t>13/03 Xong tàu</t>
  </si>
  <si>
    <r>
      <rPr>
        <sz val="14"/>
        <color rgb="FF000000"/>
        <rFont val="Times New Roman"/>
        <family val="1"/>
      </rPr>
      <t xml:space="preserve">2000002088 - Hoa Sen PM - 4.400T  (Hàng hóa đã MAP 1K9 + 2k5 chiều 11 NK thêm)
</t>
    </r>
    <r>
      <rPr>
        <sz val="14"/>
        <color rgb="FFFF0000"/>
        <rFont val="Times New Roman"/>
        <family val="1"/>
      </rPr>
      <t>Tàu này xuất 4k4 thôi nhé
Tổng lô 15.600T, tàu nào về trước có hàng nào cho lên trước</t>
    </r>
  </si>
  <si>
    <t>Lệnh 20*2088 đã MAP 7045T (2.00x123X MAP 2896/3030t)</t>
  </si>
  <si>
    <t>11.03.2024
NEO</t>
  </si>
  <si>
    <t>22h 12/03 Bén 5</t>
  </si>
  <si>
    <t>14/03 Xong tàu</t>
  </si>
  <si>
    <t>2200001575 - THP (Đã MAP 6200 tấn)</t>
  </si>
  <si>
    <t>15h 13/03 Bến 5/10</t>
  </si>
  <si>
    <r>
      <rPr>
        <sz val="14"/>
        <color rgb="FF000000"/>
        <rFont val="Times New Roman"/>
        <family val="1"/>
      </rPr>
      <t xml:space="preserve">2000002087 - Hoa Sen NS - 4.330T - Nghi Sơn (Đã MAP 6k4 + sáng 15 NK)
</t>
    </r>
    <r>
      <rPr>
        <sz val="14"/>
        <color rgb="FFFF0000"/>
        <rFont val="Times New Roman"/>
        <family val="1"/>
      </rPr>
      <t>Có hàng nào trước thì cho lên tàu này đi trước, còn lại đi tàu Viễn Đông 88</t>
    </r>
  </si>
  <si>
    <t>12-14.03.2024
NEO</t>
  </si>
  <si>
    <t>15/3 Bến 3</t>
  </si>
  <si>
    <t>15/03 Xong tàu</t>
  </si>
  <si>
    <r>
      <rPr>
        <sz val="14"/>
        <color rgb="FF000000"/>
        <rFont val="Times New Roman"/>
        <family val="1"/>
      </rPr>
      <t xml:space="preserve">2000002088 - Hoa Sen PM - 4.300T (Dự kiến 15 NK)
</t>
    </r>
    <r>
      <rPr>
        <sz val="14"/>
        <color rgb="FFFF0000"/>
        <rFont val="Times New Roman"/>
        <family val="1"/>
      </rPr>
      <t>Tổng lô 15.600T, tàu nào về trước có hàng nào cho lên trước</t>
    </r>
  </si>
  <si>
    <t>Lệnh 20*2088 hiện đã MAP 2K6 + 1KT chiều 15 NK +  3K5 chiều 16 NK + 1k3 sáng 17 NK )</t>
  </si>
  <si>
    <t>Đêm 14.03.2024
NEO</t>
  </si>
  <si>
    <t>7h 15/3 Bến 5</t>
  </si>
  <si>
    <t xml:space="preserve">2200001577 OTHY - 3.200T </t>
  </si>
  <si>
    <t>Hàng spot lệnh 22*2076/2077/2078/2079/2080 hàng hóa đã MAP ok</t>
  </si>
  <si>
    <t>20h 15/03 Bến 5</t>
  </si>
  <si>
    <t>17/03 xong tàu</t>
  </si>
  <si>
    <r>
      <rPr>
        <sz val="14"/>
        <color rgb="FF000000"/>
        <rFont val="Times New Roman"/>
        <family val="1"/>
      </rPr>
      <t xml:space="preserve">2000002088-  Hoa Sen PM - 2.950T
</t>
    </r>
    <r>
      <rPr>
        <sz val="14"/>
        <color rgb="FFFF0000"/>
        <rFont val="Times New Roman"/>
        <family val="1"/>
      </rPr>
      <t>Tổng lô 15.600T, tàu nào về trước có hàng nào cho lên trước</t>
    </r>
  </si>
  <si>
    <t>12.03.2024
NEO</t>
  </si>
  <si>
    <t>17h 16/03 Bến 5</t>
  </si>
  <si>
    <t>18/03 xong tàu</t>
  </si>
  <si>
    <t>2000002086 - Hoa Sen QN - 3.890T Đi thiếu tải (Đã MAP 2K5 + 310T chiều 15 NK + 1080 sáng 17 NK)</t>
  </si>
  <si>
    <t>15-16.03.2024
NEO</t>
  </si>
  <si>
    <t>20h 16/03 Bến 5/10</t>
  </si>
  <si>
    <r>
      <rPr>
        <sz val="14"/>
        <color rgb="FF000000"/>
        <rFont val="Times New Roman"/>
        <family val="1"/>
      </rPr>
      <t xml:space="preserve">2000002088 - Hoa Sen PM - 4.000T  (Dự kiến sáng 17 NK)
</t>
    </r>
    <r>
      <rPr>
        <sz val="14"/>
        <color rgb="FFFF0000"/>
        <rFont val="Times New Roman"/>
        <family val="1"/>
      </rPr>
      <t>Tổng lô 15.600T, tàu nào về trước có hàng nào cho lên trước</t>
    </r>
  </si>
  <si>
    <t>Trưa 16.03.2024</t>
  </si>
  <si>
    <t>14h 17/03 Bến 3</t>
  </si>
  <si>
    <t>2200001576 - THP (Hàng hóa ok)
Hàng stock</t>
  </si>
  <si>
    <t>Hàng spot lệnh 22*1576/1577/1578/1579/1580/1581 hàng hóa đã MAP ok</t>
  </si>
  <si>
    <t>17.03.2024</t>
  </si>
  <si>
    <t>17-18/03 Bến 2</t>
  </si>
  <si>
    <t>2200001576 THP - 3.550T 
Hàng stock</t>
  </si>
  <si>
    <t>21h 18.03.2024</t>
  </si>
  <si>
    <t>19/3 Bến 5</t>
  </si>
  <si>
    <t>20/03 xong tàu</t>
  </si>
  <si>
    <t>2000002087 - Hoa Sen NS - 5.070 T (Lượng MAP còn lại 1800t + 2380t dự kiến chiều 15 NK + 580 tấn chiều 16 NK)
2200001576 - THP - 3.230 T</t>
  </si>
  <si>
    <t>19.03.2024
NEO</t>
  </si>
  <si>
    <t>16h30 19/03 Bến 2</t>
  </si>
  <si>
    <t>2200001576 - THP  (Hàng hóa ok)
Hàng stock</t>
  </si>
  <si>
    <t>9h 20.03.2024
NEO</t>
  </si>
  <si>
    <t>19h 20/03 Bến 5</t>
  </si>
  <si>
    <t>24/03 xong tàu</t>
  </si>
  <si>
    <t>22000001575 - THP đi hết
22000001576 - THP (Hàng hóa ok)
Hàng stock</t>
  </si>
  <si>
    <t>20.03.2024
NEO</t>
  </si>
  <si>
    <t>6h 22/03 Bến 1</t>
  </si>
  <si>
    <t>2000002106 - Posco T02 - 4.000T  (Hàng hóa ok)</t>
  </si>
  <si>
    <t>16h 22.03.2024
NEO</t>
  </si>
  <si>
    <t>22h30 22/3 Bến 5</t>
  </si>
  <si>
    <r>
      <rPr>
        <sz val="14"/>
        <color rgb="FFFF0000"/>
        <rFont val="Times New Roman"/>
        <family val="1"/>
      </rPr>
      <t xml:space="preserve">2000002098 - Tây Nam - 2.700T - Thiên Lộc Thành - Hàng hóa ok (LSD 31/3)  Đã MAP 3k4
2000002101 - Vina One T01 07B - 1.500T - Tân Thuận - Hàng hóa ok (đã map 1.800T, còn lại 29NK)
</t>
    </r>
    <r>
      <rPr>
        <sz val="14"/>
        <color rgb="FF000000"/>
        <rFont val="Times New Roman"/>
        <family val="1"/>
      </rPr>
      <t>2200001578 OTHY - 90T - Tân Thuận - đi hết - Hàng hóa ok</t>
    </r>
  </si>
  <si>
    <t>14h 23/02 Bến 1</t>
  </si>
  <si>
    <t>2200001579 - OTBD 1100T   Hàng hóa đã MAP 1065T
2200001583 - OTBD cân tải  (Hàng hóa ok)</t>
  </si>
  <si>
    <t>22.03.2024
NEO</t>
  </si>
  <si>
    <t>16h30 23/03 Bến 5</t>
  </si>
  <si>
    <t>25/03 xong tàu</t>
  </si>
  <si>
    <t>2200001586 - OTHY 190T  (Hàng hóa ok)
2200001587 - OTHY cân tải   (Hàng hóa ok)</t>
  </si>
  <si>
    <t>17h 23.03.2024</t>
  </si>
  <si>
    <t>18h 23/03 Bến 5/10</t>
  </si>
  <si>
    <t>26/03 xong tàu</t>
  </si>
  <si>
    <t>2200001577 OTHY - 3,600T  (Hàng hóa ok)
2200001581 - OTHY - 360T   (Hàng hóa ok)
2200001575 - THP   (Chưa đủ lượng ) Dự kiến chiều 25 NK 860t (nóng) + 1kt chiều 26 NK
2200001589 - THP cân tải  Hàng hóa ok  đã MAP 1276 TẤN</t>
  </si>
  <si>
    <t>21h 23.03.2024</t>
  </si>
  <si>
    <t>12h30 24/03 Bến 2</t>
  </si>
  <si>
    <r>
      <rPr>
        <sz val="14"/>
        <color rgb="FFFF0000"/>
        <rFont val="Times New Roman"/>
        <family val="1"/>
      </rPr>
      <t xml:space="preserve">2000002100 - Vina One T01 07A - 2.000T - Tân Thuận  (Hàng hóa ok)
</t>
    </r>
    <r>
      <rPr>
        <sz val="14"/>
        <color rgb="FF000000"/>
        <rFont val="Times New Roman"/>
        <family val="1"/>
      </rPr>
      <t xml:space="preserve">2200001584 - OTHY - 300T - Tân Thuận   (Hàng hóa ok)
</t>
    </r>
    <r>
      <rPr>
        <sz val="14"/>
        <color rgb="FFFF0000"/>
        <rFont val="Times New Roman"/>
        <family val="1"/>
      </rPr>
      <t xml:space="preserve">2000002105 - Vina One T01 07D - 1.000T - Tân Thuận - Hàng hóa ok (đã map 1.100T, còn lại 27NK)
</t>
    </r>
    <r>
      <rPr>
        <sz val="14"/>
        <color rgb="FF000000"/>
        <rFont val="Times New Roman"/>
        <family val="1"/>
      </rPr>
      <t>2000002108 - Posco T02 - 1.000T - Posco (Hàng hóa ok)</t>
    </r>
  </si>
  <si>
    <t>đợi thông tin từ PKD mới cấp chứng từ cho tàu đi</t>
  </si>
  <si>
    <t>26.03.2024
NEO</t>
  </si>
  <si>
    <t>27/03 Bến 2</t>
  </si>
  <si>
    <t>28/03 xong tàu</t>
  </si>
  <si>
    <t>2200001576 - THP Hàng hóa ok</t>
  </si>
  <si>
    <t>26.03.2024</t>
  </si>
  <si>
    <t>26/03 Bến 1/2</t>
  </si>
  <si>
    <t>2200001575 - THP (1KT CHIỀU 27 NK)
2200001590 - THP 820T  Hàng hóa ok
2200001588 - THP 800T Hàng hóa ok
2200001589 - THP hết mapping hàng hóa ok</t>
  </si>
  <si>
    <t>+ Tổng 3 lệnh 1588.1589.1590 2k9 + 1kt lệnh 1575 ok</t>
  </si>
  <si>
    <t>DAI SHAN HAI</t>
  </si>
  <si>
    <t>Muộn nhất 31/03 phải xong</t>
  </si>
  <si>
    <t>2400000565 (LOT 1) - 43.T2-24/HPDQ-DP   Hàng hóa ok
2400000566 (LOT 2) - 43.T2-24/HPDQ-DP  Hàng hóa ok
2400000567 (LOT 3) - 43.T2-24/HPDQ-DP   Hàng hóa ok</t>
  </si>
  <si>
    <t>Xếp hàng từng lệnh một, không xếp lẫn hàng giữa các lệnh</t>
  </si>
  <si>
    <t>KAMARI</t>
  </si>
  <si>
    <t>27.03.2024</t>
  </si>
  <si>
    <t>27/03 Bến 5</t>
  </si>
  <si>
    <t>Ravenna, Italy (Marcegaglia's berth)</t>
  </si>
  <si>
    <t>2400000599 - 32.T2-24/HPDQ-MARCE (SAE1006) Hàng hóa ok
2400000600 - 32.T2-24/HPDQ-MARCE (S235JR) Hàng hóa ok</t>
  </si>
  <si>
    <t>Dem rate: 8,000$/day</t>
  </si>
  <si>
    <t>8h30 28/03 Bến 1</t>
  </si>
  <si>
    <r>
      <rPr>
        <sz val="14"/>
        <color rgb="FF000000"/>
        <rFont val="Times New Roman"/>
        <family val="1"/>
      </rPr>
      <t xml:space="preserve">2000002111 - Vina One T01 07E - 2.050T                    (Hàng hóa ok)
2000002110 - Vina One T01 07F1 -1.050T                    (Hàng hóa ok)
</t>
    </r>
    <r>
      <rPr>
        <sz val="14"/>
        <color rgb="FFFF0000"/>
        <rFont val="Times New Roman"/>
        <family val="1"/>
      </rPr>
      <t>LỆNH OK</t>
    </r>
  </si>
  <si>
    <t>18h30 28/03 Bến 2</t>
  </si>
  <si>
    <r>
      <rPr>
        <sz val="14"/>
        <color rgb="FFFF0000"/>
        <rFont val="Times New Roman"/>
        <family val="1"/>
      </rPr>
      <t xml:space="preserve">2000002098 - Tây Nam - 2.300T - Thiên Lộc Thành  (LSD 31/3)  (Hàng hóa ok)
2000002102 - Vina One T01 07B- 1.100T - Tân Thuận (Đã MAP 1810 TẤN + 700 tấn chiều 29 NK)
</t>
    </r>
    <r>
      <rPr>
        <sz val="14"/>
        <color rgb="FF000000"/>
        <rFont val="Times New Roman"/>
        <family val="1"/>
      </rPr>
      <t xml:space="preserve">2000002112 - Tiến Lên T01 - 100T - Tân Thuận  (Hàng hóa ok đã MAP 78/100T)
</t>
    </r>
    <r>
      <rPr>
        <sz val="14"/>
        <color rgb="FFFF0000"/>
        <rFont val="Times New Roman"/>
        <family val="1"/>
      </rPr>
      <t>LỆNH OK</t>
    </r>
  </si>
  <si>
    <t>28/03 Bến 3</t>
  </si>
  <si>
    <t>2200001583  - OTBD -  4000T (Hàng hóa ok)  - Long Bình - LỆNH OK
2000002102 - Vina One T01 07B - 1.000T - Tân Thuận  (Đã MAP 1810 TẤN + 600 tấn dự kiến chiều 29 NK) - LỆNH OK
2000002101 - Vina One T01 07B- 1.000T - Tân Thuận  (Đã MAP 400T + 600T Dự kiến chiều 29NK) - LỆNH OK</t>
  </si>
  <si>
    <t>24.03.2024
NEO</t>
  </si>
  <si>
    <t>15h30 29/03 Bến 1</t>
  </si>
  <si>
    <t>Giữ KH làm hàng trong tháng 3, muộn nhất 31/3 xong hàng</t>
  </si>
  <si>
    <t>2000002099 - Vina One T01 07A - 3.000T - Tân Thuận (sx 25-28/03)  - lệnh ok
2000002103 - Vina One T01 07F2 - 900T - Cẩm Nguyên (Hàng hóa ok)
2000002105 - Vina One T01 07D - 500T  - Tân Thuận (Hàng hóa ok Đã MAP 444T ) -lệnh ok</t>
  </si>
  <si>
    <t>29.03.2024</t>
  </si>
  <si>
    <t>16h30 29/03 Bến 3</t>
  </si>
  <si>
    <t>22000001583 - OTBD đi hết     (Hàng hóa ok)
22000001595 -  OTBD đi hết   (Hàng hóa ok)
2000002102 - Vina One T01 07B - 400T - Tân Thuận  (Đã MAP 1810 TẤN + 600 tấn dự kiến 29 NK) - LỆNH OK</t>
  </si>
  <si>
    <t>LỊCH TÀU XUẤT HRC THÁNG 02/2024</t>
  </si>
  <si>
    <t>01.02.2024
Quay đầu rỗng từ Nghi Sơn về</t>
  </si>
  <si>
    <t>01/02 Bến 1</t>
  </si>
  <si>
    <r>
      <rPr>
        <sz val="14"/>
        <color rgb="FF000000"/>
        <rFont val="Times New Roman"/>
        <family val="1"/>
      </rPr>
      <t xml:space="preserve">2000002002 - Hoa Sen T12 - 4.200T  (hàng hóa ok)
</t>
    </r>
    <r>
      <rPr>
        <sz val="14"/>
        <color rgb="FFFF0000"/>
        <rFont val="Times New Roman"/>
        <family val="1"/>
      </rPr>
      <t>TÀU NÀY XUẤT 4.200T THÔI</t>
    </r>
  </si>
  <si>
    <t>31.01.2024</t>
  </si>
  <si>
    <t>02-03/02 Bến 2</t>
  </si>
  <si>
    <r>
      <rPr>
        <sz val="14"/>
        <color rgb="FF000000"/>
        <rFont val="Times New Roman"/>
        <family val="1"/>
      </rPr>
      <t xml:space="preserve">2000002002 - Hoa Sen T12 - 3700T
</t>
    </r>
    <r>
      <rPr>
        <b/>
        <sz val="14"/>
        <color rgb="FFFF0000"/>
        <rFont val="Times New Roman"/>
        <family val="1"/>
      </rPr>
      <t xml:space="preserve">Các size ưu tiên:
- 2.8x1150: 700 tấn    (Hàng hóa đã sx chờ MAP)
- 2.0x1230: 2120 tấn   (Hàng hóa ok)
- 2.3x1230: 290 tấn     (Hàng hóa ok)
- 2.5x1230: 380 tấn   (Hàng hóa ok)
</t>
    </r>
    <r>
      <rPr>
        <sz val="14"/>
        <color rgb="FFFF0000"/>
        <rFont val="Times New Roman"/>
        <family val="1"/>
      </rPr>
      <t>TÀU NÀY XUẤT 3.700 TẤN THÔI</t>
    </r>
  </si>
  <si>
    <t>03.02.2024
Chạy từ Quy Nhơn ra</t>
  </si>
  <si>
    <t>03-04/02 Bến 2</t>
  </si>
  <si>
    <r>
      <rPr>
        <sz val="14"/>
        <color rgb="FF000000"/>
        <rFont val="Times New Roman"/>
        <family val="1"/>
      </rPr>
      <t xml:space="preserve">2000002002 - Hoa Sen T12 - 4.000T  (Hàng hóa ok)
</t>
    </r>
    <r>
      <rPr>
        <sz val="14"/>
        <color rgb="FFFF0000"/>
        <rFont val="Times New Roman"/>
        <family val="1"/>
      </rPr>
      <t>TÀU NÀY XUẤT 4.000T THÔI</t>
    </r>
  </si>
  <si>
    <t>THAY THẾ TÀU GRAND FAMILY 56</t>
  </si>
  <si>
    <t>SPAR VIRGO</t>
  </si>
  <si>
    <t>04.02.2024</t>
  </si>
  <si>
    <t>22h 04/02 Bến 5/10</t>
  </si>
  <si>
    <t>LOT 1 2400000547/ LOT 2 2400000548/ LOT 3 2400000549 - 05.T1-24 HPDQ-Trasteel (LSD 15/2)   (Hàng hóa ok)
2400000543- 04.T1-24 HPDQ-CASSL (LSD 15/2)  (Hàng hóa ok)</t>
  </si>
  <si>
    <t>Xuất như mapping</t>
  </si>
  <si>
    <t>MYKONOS SEAS</t>
  </si>
  <si>
    <t>07.02.2024</t>
  </si>
  <si>
    <t>07/2 Bến 5</t>
  </si>
  <si>
    <t>2400000523 - Cargill P09202 (LSD 15/2) (Hàng hóa ok)</t>
  </si>
  <si>
    <t>05.02.2024</t>
  </si>
  <si>
    <t>06/02 Bến 2</t>
  </si>
  <si>
    <t>Thiên Lộc Thành/ 
Tân Thuận</t>
  </si>
  <si>
    <r>
      <rPr>
        <sz val="14"/>
        <color rgb="FF000000"/>
        <rFont val="Times New Roman"/>
        <family val="1"/>
      </rPr>
      <t xml:space="preserve">2000002054 - Tây Nam T12 - 1.000T (sản xuất 01-07/2) - Thiên Lộc Thành (LSD 28/2) (Hàng hóa ok)
</t>
    </r>
    <r>
      <rPr>
        <sz val="14"/>
        <color rgb="FFFF0000"/>
        <rFont val="Times New Roman"/>
        <family val="1"/>
      </rPr>
      <t xml:space="preserve">2000002039 - Nam Kim T12 - 1.000T (sản xuất 01-07/2) - Tân Thuận - LSD 15/02 (Hàng hóa ok)
</t>
    </r>
    <r>
      <rPr>
        <sz val="14"/>
        <color rgb="FF0070C0"/>
        <rFont val="Times New Roman"/>
        <family val="1"/>
      </rPr>
      <t xml:space="preserve">2000002047 - VNO 227A- 1.000T - Tân Thuận (Hàng hóa ok)
</t>
    </r>
    <r>
      <rPr>
        <sz val="14"/>
        <color rgb="FF000000"/>
        <rFont val="Times New Roman"/>
        <family val="1"/>
      </rPr>
      <t>Ghép 500 tấn hàng thép Hưng Yên</t>
    </r>
  </si>
  <si>
    <t>THAY TÀU MT HÀ NỘI 07</t>
  </si>
  <si>
    <t>09.02.2024
Dỡ đá</t>
  </si>
  <si>
    <t>11/02 Bến 2</t>
  </si>
  <si>
    <t>2000002055 - Tây Nam T12 - 4.000T (sản xuất 01-07/2) - Thiên Lộc Thành (LSD 28/2) (Hàng hóa ok)
Ghép 250 tấn hàng thép Hưng Yên</t>
  </si>
  <si>
    <t>06.02.2024
Chạy rỗng về</t>
  </si>
  <si>
    <t>07/02 Bến 3</t>
  </si>
  <si>
    <t>2000002049 -VNO 227B- 2.500T  (Hàng hóa ok)
2000002048 - VNO 227A-1.500MT (Hàng hóa ok)</t>
  </si>
  <si>
    <t>07/02 Bến 1</t>
  </si>
  <si>
    <t>2000002051 - Posco T12 - 4.000T LSD 15/02 (sản xuất 01-07/2)  (Hàng hóa ok)</t>
  </si>
  <si>
    <t>05-06.02.2024</t>
  </si>
  <si>
    <t>09/02 Bến 1</t>
  </si>
  <si>
    <t>2200001531 OTHY 21T (Hàng hóa ok)
2200001554 OTHY 73T  (Hàng hóa ok)
2200001561 - THP 1300T  (Hàng hóa ok)
2200001563 - OTHY cân tải (Hàng hóa ok) Thiếu 1 cuộn 3.20x121X</t>
  </si>
  <si>
    <t>12-13.02.2024</t>
  </si>
  <si>
    <t>11/02 Bến 3</t>
  </si>
  <si>
    <t>2200001563 - OTHY   (Hàng hóa ok) Thiếu 1 cuộn 3.20x121X
2200001560 - THP cân tải</t>
  </si>
  <si>
    <t>09/02 Bến 5</t>
  </si>
  <si>
    <r>
      <rPr>
        <sz val="14"/>
        <color rgb="FF000000"/>
        <rFont val="Times New Roman"/>
        <family val="1"/>
      </rPr>
      <t xml:space="preserve">Làm hàng mùng 1,2,3 tết
</t>
    </r>
    <r>
      <rPr>
        <sz val="14"/>
        <color rgb="FFFF0000"/>
        <rFont val="Times New Roman"/>
        <family val="1"/>
      </rPr>
      <t>Xong chạy dỡ hàng từ Nghi Sơn luôn</t>
    </r>
  </si>
  <si>
    <r>
      <rPr>
        <sz val="14"/>
        <color rgb="FF000000"/>
        <rFont val="Times New Roman"/>
        <family val="1"/>
      </rPr>
      <t xml:space="preserve">Hoa Sen T01 - 6.080T - Nghi Sơn
</t>
    </r>
    <r>
      <rPr>
        <sz val="14"/>
        <color rgb="FFFF0000"/>
        <rFont val="Times New Roman"/>
        <family val="1"/>
      </rPr>
      <t xml:space="preserve">Hàng ưu tiên cho Hoa Sen:
</t>
    </r>
    <r>
      <rPr>
        <b/>
        <sz val="14"/>
        <color rgb="FFFF0000"/>
        <rFont val="Times New Roman"/>
        <family val="1"/>
      </rPr>
      <t xml:space="preserve">2000002041: 2.00x1230: 2290 tấn (Hàng hóa ok)
                       2.30x1230: 2040 tấn (Hàng hóa ok)
                       2.50x1230: 630 tấn (Hàng hóa ok)
                       2.80x1102: 240 tấn (Dự kiến mùng 9 NK)
2000002042: 3.20x1230: 240 tấn  (Hàng hóa ok)
                      2.00x1260: 440 tấn   (Hàng hóa ok)
                      2.30x1260: 80 tấn     (Hàng hóa ok)
                      2.80x1260: 120 tấn    (Hàng hóa ok)
</t>
    </r>
    <r>
      <rPr>
        <b/>
        <sz val="14"/>
        <color rgb="FF000000"/>
        <rFont val="Times New Roman"/>
        <family val="1"/>
      </rPr>
      <t xml:space="preserve">2000002057 - TVĐ T12 - 1.000T (sx 07-08/2) - Hải Phòng (đổi từ lệnh 20*2040)-(Hàng hóa ok)
</t>
    </r>
    <r>
      <rPr>
        <sz val="14"/>
        <color rgb="FF000000"/>
        <rFont val="Times New Roman"/>
        <family val="1"/>
      </rPr>
      <t xml:space="preserve">2000002052 TCĐ T12 - 800T (sx 07-08/2) - Hải Phòng (Mùng 10 NK)
2200001520 THP 180T - Hải Phòng   (Hàng hóa ok)
2200001552 THP 2500T - Hải Phòng  (Hàng hóa ok)
2200001558 THP 3000T - Hải Phòng cân tải   (Hàng hóa ok)
2200001559 OTHY 3,400T cân tải   (Hàng hóa ok) (thiếu min size Thép cuộn cán nóng 3.17x121Y CS typeA II)
2000002026 - PVX - 2.500T - Hàng stock - Hải Phòng    (Hàng hóa ok)
</t>
    </r>
    <r>
      <rPr>
        <sz val="14"/>
        <color rgb="FFFF0000"/>
        <rFont val="Times New Roman"/>
        <family val="1"/>
      </rPr>
      <t>Dỡ hàng Nghi Sơn -&gt; Hải Phòng</t>
    </r>
  </si>
  <si>
    <t>GLOBAL BRAVE</t>
  </si>
  <si>
    <t>08.02.2024</t>
  </si>
  <si>
    <t>10/2 Bến 5</t>
  </si>
  <si>
    <t>NOLA, USA</t>
  </si>
  <si>
    <t>LOT 1 2400000550/  (Hàng hóa ok)
LOT 2 2400000551 - 14.T1-24 HPDQ-HONORS (LSD 15/2)
(Hàng hóa ok)</t>
  </si>
  <si>
    <t>09/02 Bến 6</t>
  </si>
  <si>
    <t>Quy Nhơn/Tân Thuận/
Phú Mỹ</t>
  </si>
  <si>
    <r>
      <rPr>
        <sz val="14"/>
        <color rgb="FF000000"/>
        <rFont val="Times New Roman"/>
        <family val="1"/>
      </rPr>
      <t xml:space="preserve">2000002039 - Nam Kim T12 - 9.000T (sản xuất 01-07/2) - Tân Thuận - LSD 15/02 (Hàng hóa ok)
2000002032 - Tiến Lên - 100T (sản xuất 01-07/2) - Tân Thuận - LSD 15/02 (Hàng hóa ok)
2000002033 - TLPM - 2.000T (sx đến 10/2 mới xong) - Phú Mỹ - LSD 15/02 (Hàng hóa ok)
2000002043 - Hoa Sen PM T01 - 2.000T (sx đến 10/2 mới xong) - Phú Mỹ
2000002038- SMC PM T12 - 2.250T (LSD 20/02) (Đã MAP 2189t)
2000002044 - Hoa Sen QN T01 - 4.000T (sx đến 10/2 mới xong) - Quy Nhơn
2000002050 - SEAH T12 - 1.000T - Tân Thuận (sx đến 10/2 mới xong)
2200001562 - OTBD đi Tân Thuận cân tải (Hàng hóa ok)
</t>
    </r>
    <r>
      <rPr>
        <sz val="14"/>
        <color rgb="FFFF0000"/>
        <rFont val="Times New Roman"/>
        <family val="1"/>
      </rPr>
      <t>Dỡ hàng Quy Nhơn -&gt; Phú Mỹ -&gt; Tân Thuận</t>
    </r>
  </si>
  <si>
    <t>2000002043 - Hoa Sen PM T01 - 2.000T - Phú Mỹ
   Size hàng ưu tiên: 2.30x1010: 80 tấn     (Dự kiến 11 NK)
                                 2.80x1010: 170 tấn    (Dự kiến 11 NK)
                                 3.20x1010: 80 tấn      (Dự kiến 11 NK)
                                 4.00x1010: 120 tấn     (Dự kiến 11 NK)
                                 2.50x1050: 200 tấn     (Hàng hóa ok)
                                 2.00x1102: 80 tấn        (Hàng hóa ok-đã sx)
                                 2.80x1102: 50 tấn         (Hàng hóa ok)
                                 2.30x1115: 150 tấn      (Hàng hóa ok-đã sx)
                                 2.50x1115: 150 tấn       (Hàng hóa ok-đã sx)
                                 2.50x1212: 220 tấn      (Dự kiến 11 NK)
                                 2.80x1212: 240 tấn       (Hàng hóa ok)
                                 2.00x1260: 20 tấn
                                 2.50x1260: 360 tấn    (Hàng hóa ok)
                                 3.20x1260: 80 tấn        (Hàng hóa ok)
2000002044 - Hoa Sen QN T01 - 4.000T - Quy Nhơn
    Size hàng ưu tiên: 2.00x1050: 1360 tấn    (Đã MAP 866T + 494 chiều 11 NK)
                                  2.30x1050: 320 tấn          (Hàng hóa ok)
                                  2.00x1102: 220 tấn            (Hàng hóa ok)
                                  2.30x1102: 210 tấn            (Hàng hóa ok)
                                  2.80x1102: 120 tấn               (Hàng hóa ok)
                                  3.20x1102: 360 tấn           (Hàng hóa ok)
                                  2.00x1230: 1300 tấn      (Đã MAP 1211t)
                                  2.50x1230: 100 tấn        (Hàng hóa ok)</t>
  </si>
  <si>
    <t>16.02.2024</t>
  </si>
  <si>
    <t xml:space="preserve">16/02 Bến 3 </t>
  </si>
  <si>
    <t>2200001563 - OTHY cân tải  (Hàng hóa ok) Thiếu 1 cuộn 3.20x121X</t>
  </si>
  <si>
    <t>10.02.2024
NEO</t>
  </si>
  <si>
    <t>2000002056 - Posco T12 - 1.000T - LSD 29/02 Hàng hóa ok
2000002053 - Posco T01 - 3.000T - LSD 29/02  (Đã MAP 2K1+ 900T dự kiến 19 NK)</t>
  </si>
  <si>
    <t>19.02 - 20.02.2024</t>
  </si>
  <si>
    <t>12h 17/2 Neo
12h30 18/02 Bến 3</t>
  </si>
  <si>
    <t>2200001562 - OTBD - Huy  (Hàng hóa ok)
2200001567 - OTBD xuất để tàu âm tải 100T</t>
  </si>
  <si>
    <t>Neo
2h30 18/02 Bến 6</t>
  </si>
  <si>
    <t>2200001560 - THP  - 4.000T  (Hàng hóa ok)</t>
  </si>
  <si>
    <t>13h 17/02 Neo
18/02 Bến 3</t>
  </si>
  <si>
    <t>2200001560 - THP - 4.400T   (Hàng hóa ok)</t>
  </si>
  <si>
    <t>ATN OCEAN 79</t>
  </si>
  <si>
    <t>20.02.2024</t>
  </si>
  <si>
    <t>0h 20/02 Bến 5</t>
  </si>
  <si>
    <t>2000002066 - PVX T12 Lot 3 - 1.000T - Phú Mỹ LSD 26/2 (hàng hóa ok)
2000002067 - PVX T12 Lot 4 - 2.000T - Phú Mỹ LSD 26/2  (hàng hóa ok)
2000002038 - SMCPM - 250T - Phú Mỹ  (hàng hóa ok)
2000002069 -VNO 227F- T12 - 2.000T - Phú Mỹ (LSD:28/2) (hàng hóa ok)
2000002070 -VNO 227F- T12 - 1.500T - Phú Mỹ (LSD:28/2) (hàng hóa ok)
2000002002 - Hoa Sen PM T12 - 500T - Phú Mỹ (Hàng hóa ok) Đi nốt lượng còn lại
2000002065 -VNO T12 - 227A- 2.500T -Tân Thuận (LSD:28/2) Chiều 19 NK ĐỦ
2000002064 - VNO T12 - 227B- 2.500T - Tân Thuận (LSD:28/2) Dự kiến 20 NK</t>
  </si>
  <si>
    <t>Các size hàng của HOA SEN giao lên tàu:
2.80x1070: 85 tấn
3.20x1212: 78 tấn
3.50x1212: 48 tấn
3.20x1230: 58 tấn
3.50x1230: 57 tấn
4.00x1230: 130 tấn
2.00x1260: 42 tấn
2.30x1260: 1 cuộn
2.80x1260: 1 cuộn
3.00x1260: 66 tấn
3.20x1260: 57 tấn
3.50x1260: 1 cuộn
4.00x1260: 92 tấn
DUNG SAI 10% so với KL trên SO. có gì mắc nhắn NGA ạ</t>
  </si>
  <si>
    <t>21h30 19/02 Bến 6</t>
  </si>
  <si>
    <r>
      <rPr>
        <sz val="14"/>
        <color rgb="FF000000"/>
        <rFont val="Times New Roman"/>
        <family val="1"/>
      </rPr>
      <t>2200001560 - THP đi hết mapping (Đã MAP 6k9)
2200001566 - NMCN 1260T (Hàng hóa ok)
2200001564 - THP 2950T cân tải  (Hàng hóa ok)-</t>
    </r>
    <r>
      <rPr>
        <sz val="14"/>
        <color rgb="FFFF0000"/>
        <rFont val="Times New Roman"/>
        <family val="1"/>
      </rPr>
      <t xml:space="preserve">Thiếu size 2.50x101Y </t>
    </r>
  </si>
  <si>
    <t>PRINCESS MARGO</t>
  </si>
  <si>
    <t>21.02.2024</t>
  </si>
  <si>
    <t>21/02 Bến 5</t>
  </si>
  <si>
    <t>RAVENNA 
(Marcegaglia berth)</t>
  </si>
  <si>
    <t>2400000544 - Marce (SAE1006) (Hàng hóa ok) 
2400000545 - Marce (S235JR)   (Hàng hóa ok)</t>
  </si>
  <si>
    <t>Loading rate: 6k/day
Demurrage/Detention rate : USD 13.000 per day pro rata/Half Despatch load
Xuất như mapping</t>
  </si>
  <si>
    <t>20.02.2024
NEO</t>
  </si>
  <si>
    <t>18h30 22/02 Bến 5</t>
  </si>
  <si>
    <t>2000002075  - TVP T10 - 4.280T - Đã có hàng (Hàng hóa ok)</t>
  </si>
  <si>
    <t>24.02.2024</t>
  </si>
  <si>
    <t>10h 23/2 Bến 3/5</t>
  </si>
  <si>
    <t>2200001558 - THP 160T  (Hàng hóa ok)
2200001560 - THP (Hàng hóa ok) cân tải</t>
  </si>
  <si>
    <t>17h 25/02 Bến 3/5</t>
  </si>
  <si>
    <t>22000001564 - THP 2500T (hàng hóa ok)
22000001566 - NMCN 1200T   (hàng hóa ok)
22000001559 - OTHY 1000T    (hàng hóa ok)
22000001568 - OTHY cân tải   (hàng hóa ok)</t>
  </si>
  <si>
    <t>LIN HAI 2</t>
  </si>
  <si>
    <t>26.02.2024</t>
  </si>
  <si>
    <t>26/02 Bến 10</t>
  </si>
  <si>
    <t>12h00 trưa 29/02 phải xong hàng</t>
  </si>
  <si>
    <t>JAKARTA + Semarang, INDONESIA</t>
  </si>
  <si>
    <r>
      <rPr>
        <sz val="14"/>
        <color rgb="FF000000"/>
        <rFont val="Times New Roman"/>
        <family val="1"/>
      </rPr>
      <t xml:space="preserve">2400000552 - 27.T1-24 HPDQ-AMI(SAE1006) - Jakarta (LSD: 29/02) (Hàng hóa ok) (23/2 duyệt lệnh)
2400000556- 27.T1-24 HPDQ-AMI(SAE1006-2.25) - Jakarta(LSD: 29/02)  (Hàng hóa ok) (23/2 duyệt lệnh)
2400000553 - 27.T1-24 HPDQ-AMI (S275JR)   (Hàng hóa ok)  - Jakarta (LSD: 29/02)  (23/2 duyệt lệnh)
</t>
    </r>
    <r>
      <rPr>
        <b/>
        <sz val="14"/>
        <color rgb="FF000000"/>
        <rFont val="Times New Roman"/>
        <family val="1"/>
      </rPr>
      <t>2400000557 - 07.T1-24 HPDQ-MI - Semarang (LSD: 28/02) Hàng hóa ok (dự kiến chiều 26/2 duyệt lệnh)</t>
    </r>
  </si>
  <si>
    <t>25-26.02.2024</t>
  </si>
  <si>
    <t>26/2 Bến 3</t>
  </si>
  <si>
    <t xml:space="preserve">29/02 phải xong hàng </t>
  </si>
  <si>
    <t>2200001567 - OTBD - Huy (hàng hóa ok)</t>
  </si>
  <si>
    <t>24.02.2024
NEO</t>
  </si>
  <si>
    <t>26/02 Bến 3</t>
  </si>
  <si>
    <t>28/02 phải xong hàng</t>
  </si>
  <si>
    <t>2000002071 - VNO T12 227C- 2.250T (LSD:28/2) (380t đã sx chờ MAP + Lượng còn lại dự kiến chiều 26 nhập kho đủ) 
2000002073 - VNO T12 227E- 2.050T (LSD:28/2) (190T đã sx chờ MAP + Lượng còn lại chiều 26 NK đủ) - cân tải, còn bao nhiêu cho xuống tàu Huy Hoàng 66</t>
  </si>
  <si>
    <t>Đã cập nhật tình hình hàng hóa</t>
  </si>
  <si>
    <t>22-23.02.2024
NEO</t>
  </si>
  <si>
    <t>26/02 Bến 2</t>
  </si>
  <si>
    <t>2000002072 - VNO 227D</t>
  </si>
  <si>
    <t>20h 26/2 Bến 3</t>
  </si>
  <si>
    <r>
      <rPr>
        <sz val="14"/>
        <color rgb="FF000000"/>
        <rFont val="Times New Roman"/>
        <family val="1"/>
      </rPr>
      <t xml:space="preserve">2000002041 + 2000002042 - Hoa Sen NS T01 - 18.000T
 (Mọi người xuất đủ KL lệnh nhé, size có KL &lt;100 tấn dung sai 20%, còn lại dung sai 10%) 
</t>
    </r>
    <r>
      <rPr>
        <sz val="14"/>
        <color rgb="FFFF0000"/>
        <rFont val="Times New Roman"/>
        <family val="1"/>
      </rPr>
      <t>Tàu nào về trước, Hàng nào có trước thì cho đi trước</t>
    </r>
  </si>
  <si>
    <t>Đã MAP 3.150 tấn lện (2041+2042) + 1.100T size 2.80x126X chiều 26 NK ) + 180t size 3.20x126X</t>
  </si>
  <si>
    <t>12h 26.02.2024
NEO</t>
  </si>
  <si>
    <t>27/02 Bến 5</t>
  </si>
  <si>
    <r>
      <rPr>
        <sz val="14"/>
        <color rgb="FF000000"/>
        <rFont val="Times New Roman"/>
        <family val="1"/>
      </rPr>
      <t xml:space="preserve">2000002041 + 2000002042 - Hoa Sen NS T01 - 18.000T
(Mọi người xuất đủ KL lệnh nhé, size có KL &lt;100 tấn dung sai 20%, còn lại dung sai 10%) 
</t>
    </r>
    <r>
      <rPr>
        <sz val="14"/>
        <color rgb="FFFF0000"/>
        <rFont val="Times New Roman"/>
        <family val="1"/>
      </rPr>
      <t>Tàu nào về trước, Hàng nào có trước thì cho đi trước</t>
    </r>
  </si>
  <si>
    <t>Dự kiến chiều 27 NK đủ hàng tàu này. (Size 126X)</t>
  </si>
  <si>
    <t>Đêm
 26.02.2024
NEO</t>
  </si>
  <si>
    <t>27/2 Bến 5</t>
  </si>
  <si>
    <t>Transvina, Hải Phòng</t>
  </si>
  <si>
    <t>2200001560 - THP</t>
  </si>
  <si>
    <t>27.02.2024
NEO</t>
  </si>
  <si>
    <t>28/2 Bến 5</t>
  </si>
  <si>
    <t>2000002041 + 2000002042 - Hoa Sen NS T01 - 18.000T
 (Đã MAP 2K5 + 126X dự kiến sáng 28 NK 6K4 + Sáng 29 MAP thêm tầm 5kt khổ 123x) (Mọi người xuất đủ KL lệnh nhé, size có KL &lt;100 tấn dung sai 20%, còn lại dung sai 10%) 
Tàu nào về trước, Hàng nào có trước thì cho đi trước</t>
  </si>
  <si>
    <t>2000002041: Đang tồn 3k6
2000002041: Đang tồn 3k2
Chiều 28 NK thêm 1k5 + sáng 29 NK thêm 240t
(2000002041: Size 2.00x111Y + 3.20x121X 670t dự kiến sáng chiều 1 NK)</t>
  </si>
  <si>
    <t>15h30 29/2 Bến 5</t>
  </si>
  <si>
    <t>29.02.2024</t>
  </si>
  <si>
    <t>3h 29/2 Bến 5</t>
  </si>
  <si>
    <t>LỊCH TÀU XUẤT HRC THÁNG 01/2024</t>
  </si>
  <si>
    <t>31.12.2023
NEO</t>
  </si>
  <si>
    <t>04-05/01 Bến 4/6</t>
  </si>
  <si>
    <r>
      <rPr>
        <sz val="14"/>
        <color rgb="FF000000"/>
        <rFont val="Times New Roman"/>
        <family val="1"/>
      </rPr>
      <t xml:space="preserve">2200001529 - OTHY 100T  (Hàng hóa ok)
2200001531 - OTHY 2100T  (Hàng hóa ok)
2200001534 - OTHY 780T    (Hàng hóa ok)
2200001520 - THP 2500T      (Hàng hóa ok)
2200001526 - THP 2370T    (Hàng hóa ok)
2200001527 - THP 4200T   (Hàng hóa ok)
2200001532 - THP 3250T   (Hàng hóa ok)
</t>
    </r>
    <r>
      <rPr>
        <sz val="14"/>
        <color rgb="FFFF0000"/>
        <rFont val="Times New Roman"/>
        <family val="1"/>
      </rPr>
      <t>= 15.300KT
2000001995 - TCĐ 400T   (Hàng hóa ok)
2000001999, 2013, 2018 - TCĐ 409T
2200001535 - THP 2600T
2200001540 - OTHY 6900T cân tải</t>
    </r>
  </si>
  <si>
    <t>Đi hết mapping</t>
  </si>
  <si>
    <t>03.01.2024
Đang dỡ hàng tại DQ</t>
  </si>
  <si>
    <t>Đang làm hàng
0h 04/01 Bến 3</t>
  </si>
  <si>
    <r>
      <rPr>
        <sz val="14"/>
        <color rgb="FF000000"/>
        <rFont val="Times New Roman"/>
        <family val="1"/>
      </rPr>
      <t xml:space="preserve">2000002011 - TĐA - 2500MT - Tân Thuận </t>
    </r>
    <r>
      <rPr>
        <sz val="14"/>
        <color rgb="FFFF0000"/>
        <rFont val="Times New Roman"/>
        <family val="1"/>
      </rPr>
      <t xml:space="preserve">(LSD 5/1/2024)
</t>
    </r>
    <r>
      <rPr>
        <sz val="14"/>
        <color rgb="FF000000"/>
        <rFont val="Times New Roman"/>
        <family val="1"/>
      </rPr>
      <t xml:space="preserve">2000002012 - TĐA - 1300MT - Phú Mỹ </t>
    </r>
    <r>
      <rPr>
        <sz val="14"/>
        <color rgb="FFFF0000"/>
        <rFont val="Times New Roman"/>
        <family val="1"/>
      </rPr>
      <t>(LSD 5/1/2024)
Đi thiếu tải</t>
    </r>
  </si>
  <si>
    <t>08.01.2024</t>
  </si>
  <si>
    <t>19H 08/01 Bến 3</t>
  </si>
  <si>
    <t>2000002005 - VNO 2.300 T (2.00x1265 SPHC, 2.20x1265 SPHC, 2.30x1265 SPHC) 199A  (Hàng hóa ok)
2000002014 - VNO 200T (3.50x1265 SPHC)  - Cẩm Nguyên  (199B2) (Hàng hóa ok)</t>
  </si>
  <si>
    <t>CENTURIUS</t>
  </si>
  <si>
    <t>07.01.2024</t>
  </si>
  <si>
    <t>15.01 phải làm xong rời bến</t>
  </si>
  <si>
    <t xml:space="preserve">*HÀ:
2400000485 - LOT 1 SPHC - 238.2023 HPDQ-GS (LEONFUAT)     (Hàng hóa ok)
2400000486 - LOT 1 S275JR - 238.2023 HPDQ-GS (LEONFUAT) (Hàng hóa ok)
2400000502 - LOT 1 11.7x1215 S275JR - 238.2023 HPDQ-GS (LEONFUAT)  (Hàng hóa ok)
2400000487 - LOT 2 S275JR - 238.2023 HPDQ-GS (LEONFUAT) (Hàng hóa ok)
2400000488  - LOT 1 SPHT1 - 239.2023 HPDQ-GS (ALPHINE)   (Hàng hóa ok)
2400000489 - LOT 1 SPHC - 239.2023 HPDQ-GS (ALPHINE)      (Hàng hóa ok)
2400000490 - LOT 1 S275JR - 239.2023 HPDQ-GS (ALPHINE)     (Đã MAP 7680T)
2400000503 - LOT 1 S275JR 11.7x1515 - 239.2023 HPDQ-GS (ALPHINE) (Hàng hóa ok)
2400000491 - LOT 2 S275JR - 239.2023 HPDQ-GS (ALPHINE)                  (Hàng hóa ok)
2400000492 - 240.2023 HPDQ-GS (CHYEKEONG)                                     (Hàng hóa ok)
2400000493 - 246.2023 HPDQ-GS (WINZU)                                                 (Hàng hóa ok)
*GIANG:
2400000465 - LOT 1 - 241.2023 HPDQ-GS (SAGA)          (Hàng hóa ok)
2400000466 - LOT 1 - 241.2023 HPDQ-GS (SAGA)           (Hàng hóa ok)
2400000467 - 242.2023 HPDQ-GS (PE)                                (Hàng hóa ok)
2400000468 - 243.2023 HPDQ-GS (MKPC)                         (Hàng hóa ok)
2400000508 (S275JR)- 244.2023 HPDQ-GS (PP)                   (Hàng hóa ok)
2400000509 (SPHC)- 244.2023 HPDQ-GS (PP)                     (Hàng hóa ok)
2400000507 - 245.2023 HPDQ-GS (SYF)                               (Hàng hóa ok)
</t>
  </si>
  <si>
    <t>...</t>
  </si>
  <si>
    <t>11.01.2024
NEO</t>
  </si>
  <si>
    <t>2200001540 - OTHY cân tải   (Hàng hóa ok)
2000002017 - Nippon  - 100T   (Hàng hóa ok)
2000002016 - Vinas - 100T         (Hàng hóa ok)</t>
  </si>
  <si>
    <t>13.01.2024</t>
  </si>
  <si>
    <t>4h 13/01 Bến 5</t>
  </si>
  <si>
    <t>2200001540 - OTHY (Đã MAP 3196 tấn)
2200001547</t>
  </si>
  <si>
    <t>12.01.2024</t>
  </si>
  <si>
    <t>20h30 13/01 Bến 3</t>
  </si>
  <si>
    <t>2200001533 - OTBD - 250T  (Hàng hóa ok)
2200001544 - OTBD cân tải (Hàng MAP 2765t)</t>
  </si>
  <si>
    <t>ISSARA NAREE</t>
  </si>
  <si>
    <t>14.01.2024</t>
  </si>
  <si>
    <t>14/01 B5/10</t>
  </si>
  <si>
    <t xml:space="preserve"> Italy  </t>
  </si>
  <si>
    <t>2400000510 - 248.2023/HPDQ-HPI (S235JR) - RAVENNA PORT, ITALY (Đã MAP 11.700T)
2400000511 - 248.2023/HPDQ-HPI (S355JR) - RAVENNA PORT, ITALY (Đã MAP 7.800T)
2400000512 - 249.2023/HPDQ-HPI - TRIESTE PORT, ITALY (Đã MAP 18KT)</t>
  </si>
  <si>
    <t>14/01 Bến 5</t>
  </si>
  <si>
    <t>2200001540 - OTHY (Đã MAP 3.195T) - cân tải
2200001543 - OTHY 70T
2200001538 - OTHY 950T  (Hàng hóa ok)
2200001539 - OTHY ( Đã MAP 1882T)
2000002023 - Trường Thành - 200T (sáng 13/1 duyệt lệnh)  Hàng hóa ok</t>
  </si>
  <si>
    <t>16/01 Bến 2</t>
  </si>
  <si>
    <t>2000002019 - TĐA T12 - 2.000T -Tân Thuận  (Hàng hóa ok)
2000002021 - 2000002022 PVX T12 - 2.000T   (Hàng hóa ok)</t>
  </si>
  <si>
    <t>VICTORIA MAY</t>
  </si>
  <si>
    <t>15.01.2024
NEO</t>
  </si>
  <si>
    <t>18/01 B5</t>
  </si>
  <si>
    <t xml:space="preserve">2400000514 - 233.2023 HPDQ-MARCE (S235JR)  (Hàng hóa ok) 
2400000513 - 233.2023 HPDQ-MARCE (SAE1006)   (Hàng hóa ok) </t>
  </si>
  <si>
    <t>Demurrage rate: USD 12,000 pdpr</t>
  </si>
  <si>
    <t>16h 18/01 Bến 2</t>
  </si>
  <si>
    <t>2200001549 - 1549.T01/24/OTBD  (hàng hóa đã MAP 4.967t)
2400000519 - 12.T1-24 HPDQ-NI - 50mt (5 cuộn) - ghép hàng Phú Mỹ, ETA tàu tây ~ 25/01 (Sáng 19 NK)</t>
  </si>
  <si>
    <t>HELIOS</t>
  </si>
  <si>
    <t>18.01.2024</t>
  </si>
  <si>
    <t>20/01 Bến 6</t>
  </si>
  <si>
    <t>JAKARTA, INDONESIA</t>
  </si>
  <si>
    <t>2400000515 -26.T1-24 HPDQ-SI (LOT 1)  (Hàng hóa ok)
2400000516 -26.T1-24 HPDQ-SI (LOT 2)  (Hàng hóa ok)</t>
  </si>
  <si>
    <t>20h 20/01 Bến 2</t>
  </si>
  <si>
    <t>2000002028 - TĐA T12 - 4.500T (Hàng hóa ok)</t>
  </si>
  <si>
    <t>18.01.2024
NEO</t>
  </si>
  <si>
    <t>17h 20/01 Bến 4/6</t>
  </si>
  <si>
    <t>Hải Phòng/Nghi Sơn</t>
  </si>
  <si>
    <t>2200001539 - OTHY - 413MT   (Hàng hóa ok)
2200001546 - OTHY - 352MT   (Hàng hóa ok)
2200001547 - OTHY - 537MT   (Hàng hóa ok)
2200001550 - OTHY - 338MT   (Hàng hóa ok)
2200001548 - NMCN - 315MT  (Hàng hóa ok)
2200001542 - THP - 1200MT     (Hàng hóa ok)
2200001551 - THP - 5400MT     (Hàng hóa ok)
Hàng gửi kho: 885mt (LXH: 22*1546) (Hàng hóa ok)
2000002001 - 10.336T (Dự kiến sáng 22 NK) - Nghi Sơn
2000002000 - 900T - Nghi Sơn (Hàng hóa ok)</t>
  </si>
  <si>
    <t>22.01.2024</t>
  </si>
  <si>
    <t>8h 23/01 Bến 2</t>
  </si>
  <si>
    <t>2000002000 - Hoa Sen NS T12 - 4.250T  (Hàng hóa ok)</t>
  </si>
  <si>
    <t>Thay thế tàu Grand Family 68</t>
  </si>
  <si>
    <t>21.01.2024</t>
  </si>
  <si>
    <t>13h 25/01 Bến 6</t>
  </si>
  <si>
    <t>2000002030 -TĐA T12 - 5.200T - Phú Mỹ     (Hàng hóa ok- Đã MAP 5015T)
2000002029 - JFE T12 - 300MT - Phú Mỹ    (Hàng hóa ok)
2000002031 -TĐA T12 - 3.500T - Tân Thuận    (Hàng hóa ok- Đã MAP 3342T)
2000002034 - THE ONE 400T - Phú Mỹ  (Hàng hóa ok)
2000002035 - THE ONE 200T - Phú Mỹ  (Hàng hóa ok)
Tàu đi thiếu tải tàu</t>
  </si>
  <si>
    <t>NAVI JENNY</t>
  </si>
  <si>
    <t>26.01.2024
Chạy từ Quy Nhơn ra</t>
  </si>
  <si>
    <t>28/01 Bến 4/6</t>
  </si>
  <si>
    <t>2400000464 - 218.2023 HPDQ-ARS (LOT 1)   (Hàng hóa ok)
2400000517- 218.2023 HPDQ-ARS (LOT 2)    (Hàng hóa ok)
2400000518 - 218.2023 HPDQ-ARS (LOT 3)    (Hàng hóa ok)</t>
  </si>
  <si>
    <t>Tổng lượng MAP 9596T</t>
  </si>
  <si>
    <t>MV. Ken Hope</t>
  </si>
  <si>
    <t>26.01.2024</t>
  </si>
  <si>
    <t>28/01 Bến 10</t>
  </si>
  <si>
    <t>* HÀ
18.T1-24 HPDQ-GS
LOT 1 SPHC: 2400000528 (Đã MAP 270T)
LOT 1 S275JR: 2400000529 (Đã MAP 5300T Hàng hóa ok)
LOT 2 S275JR: 2400000530   (Đã MAP 5200T lượng còn lại dự kiến 29 NK)
2400000531 - 19.T1-24 HPDQ-GS (Đã MAP 4100T)
* LINH
2400000526 - 20.T1-24 HPDQ-GS (Đã MAP 990T + 40T dự kiến 29 NK)
2400000525 - 24.T1-24 HPDQ-GS    Hàng hóa ok
2400000527 - 25.T1-24 HPDQ-GS    (Đã MAP 867t +50t dự kiến 29 NK)
* GIANG
2400000520 - 21.T1-24 HPDQ-GS    Hàng hóa ok
2400000521 - 22.T1-24 HPDQ-GS    Hàng hóa ok
2400000522 - 23.T1-24 HPDQ-GS    Hàng hóa ok</t>
  </si>
  <si>
    <t xml:space="preserve"> Tổng lượng đã MAP 19.792t</t>
  </si>
  <si>
    <t>ST AJISAI</t>
  </si>
  <si>
    <t>25.01.2024</t>
  </si>
  <si>
    <t>28/01 Bến 5</t>
  </si>
  <si>
    <t>2400000532 -01.T1-24 HPDQ - PPL  - CS TYPE B - 7300mt (Đã MAP 7kt hàng hóa ok) 
2400000542 -01.T1-24 HPDQ - PPL  - CS TYPE B - 5000mt (Đã MAP 4K9 hàng hóa ok) (thanh toán TT, chưa duyệt lệnh)
2400000533 -01.T1-24 HPDQ - PPL -ASTM A36 (Đã sx 2kt dự kiến 700t 30NK) (LỆNH ok)
2400000535 - 2400000536 - 02+03.T1-24 HPDQ-STEMCOR (Đã MAP 1300t lượng còn lại Dự kiến 30 NK)
2400000538 - 16.T1-24 HPDQ-DP (LOT 1)   (Dự kiến 28NK)
2400000539 - 16.T1-24 HPDQ-DP (LOT 2)    (Dự kiến 28NK)
2400000537 - 09.T1-24 HPDQ-HYUNDAI   (Đã MAP 850T Hàng hóa ok)
2400000534 -33.T2-24/HPDQ-SSCNT      (Đã MAP 1568t hàng hóa ok)
2400000541 - 13.T1-24/HPDQ-ATV 1000T không skinpass (Dự kiến 30 NK)</t>
  </si>
  <si>
    <t>28.01.2024
NEO</t>
  </si>
  <si>
    <t>29-30/01 Bến 1</t>
  </si>
  <si>
    <t>2200001549 - OTBD - 850T   (Hàng spot-hàng hóa ok)
2200001553 - OTBD cân tải   (Hàng spot-hàng hóa ok)</t>
  </si>
  <si>
    <t>28.01.2024
Dỡ phế</t>
  </si>
  <si>
    <t>13h 28/01 Bến 1</t>
  </si>
  <si>
    <t>2200001553 - OTBD   cân tải (Hàng spot-hàng hóa ok)
2200001556 - OTBD (Hàng spot-hàng hóa ok)</t>
  </si>
  <si>
    <t>27-28.01.2024
NEO</t>
  </si>
  <si>
    <t>30/01 Bến 2</t>
  </si>
  <si>
    <t>2000002036 - KKBV T12 - 2.000T (LSD 5/2) Dự kiến 30 NK
22000001552 - THP - 1.800T cân tải    (Hàng spot-hàng hóa ok)</t>
  </si>
  <si>
    <t>LỊCH TÀU XUẤT HRC THÁNG 02/2025</t>
  </si>
  <si>
    <t>01.02.2025</t>
  </si>
  <si>
    <t>19H00 01/02 Bến 1</t>
  </si>
  <si>
    <r>
      <rPr>
        <sz val="14"/>
        <color rgb="FF000000"/>
        <rFont val="Times New Roman"/>
        <family val="1"/>
      </rPr>
      <t xml:space="preserve">2200001829 - 1829.T01.2025/HPDQ-THP 433TAN Hàng hóa ok hàng spot		
2200001831 - 1831.T01.2025/HPDQ-OTHY 3825TAN Hàng hóa ok hàng spot	
</t>
    </r>
    <r>
      <rPr>
        <sz val="14"/>
        <color rgb="FFFF0000"/>
        <rFont val="Times New Roman"/>
        <family val="1"/>
      </rPr>
      <t>TÀU NÀY KHÔNG HẠ BÃI NHƯ HÀNG TRƯỚC TẾT, TRẢ HÀNG LUÔN</t>
    </r>
  </si>
  <si>
    <t>22*1829: thiếu 3 size Ok</t>
  </si>
  <si>
    <t>01 - 03-02.2025
Chạy rỗng từ Vĩnh Tân về</t>
  </si>
  <si>
    <t>01/02 Bến 5</t>
  </si>
  <si>
    <r>
      <rPr>
        <sz val="14"/>
        <color rgb="FF000000"/>
        <rFont val="Times New Roman"/>
        <family val="1"/>
      </rPr>
      <t xml:space="preserve">HSNS T01 - 23.000T                 </t>
    </r>
    <r>
      <rPr>
        <b/>
        <sz val="14"/>
        <color rgb="FF7030A0"/>
        <rFont val="Times New Roman"/>
        <family val="1"/>
      </rPr>
      <t xml:space="preserve">  Hàng hóa ok
</t>
    </r>
    <r>
      <rPr>
        <sz val="14"/>
        <color rgb="FF000000"/>
        <rFont val="Times New Roman"/>
        <family val="1"/>
      </rPr>
      <t xml:space="preserve">20*2556: </t>
    </r>
    <r>
      <rPr>
        <b/>
        <sz val="14"/>
        <color rgb="FF7030A0"/>
        <rFont val="Times New Roman"/>
        <family val="1"/>
      </rPr>
      <t xml:space="preserve">Hàng hóa ok
</t>
    </r>
    <r>
      <rPr>
        <sz val="14"/>
        <color rgb="FF000000"/>
        <rFont val="Times New Roman"/>
        <family val="1"/>
      </rPr>
      <t xml:space="preserve">20*2559: </t>
    </r>
    <r>
      <rPr>
        <b/>
        <sz val="14"/>
        <color rgb="FF7030A0"/>
        <rFont val="Times New Roman"/>
        <family val="1"/>
      </rPr>
      <t xml:space="preserve">Hàng hóa ok
</t>
    </r>
    <r>
      <rPr>
        <sz val="18"/>
        <color rgb="FFFF0000"/>
        <rFont val="Times New Roman"/>
        <family val="1"/>
      </rPr>
      <t>Xem tình hình LC của Hoa Sen thế nào mới biết có hạ bãi hay không</t>
    </r>
  </si>
  <si>
    <t>03.02.2025</t>
  </si>
  <si>
    <t>20H00 03/02 Bến 3</t>
  </si>
  <si>
    <r>
      <rPr>
        <sz val="14"/>
        <color rgb="FF000000"/>
        <rFont val="Times New Roman"/>
        <family val="1"/>
      </rPr>
      <t xml:space="preserve">2000002585 - 275.T01.TVĐ  - 1000T - </t>
    </r>
    <r>
      <rPr>
        <b/>
        <sz val="14"/>
        <color rgb="FFFF0000"/>
        <rFont val="Times New Roman"/>
        <family val="1"/>
      </rPr>
      <t xml:space="preserve">các anh chụp ảnh lúc xếp hàng giúp em ạ			</t>
    </r>
    <r>
      <rPr>
        <b/>
        <sz val="14"/>
        <color rgb="FF7030A0"/>
        <rFont val="Times New Roman"/>
        <family val="1"/>
      </rPr>
      <t xml:space="preserve">Hàng hóa ok - XUẤT HẾT MAPPING
</t>
    </r>
    <r>
      <rPr>
        <sz val="14"/>
        <color rgb="FF000000"/>
        <rFont val="Times New Roman"/>
        <family val="1"/>
      </rPr>
      <t xml:space="preserve">2200001830 - 1830.T01.2025/HPDQ-THP 6.200TAN </t>
    </r>
    <r>
      <rPr>
        <b/>
        <sz val="14"/>
        <color rgb="FF7030A0"/>
        <rFont val="Times New Roman"/>
        <family val="1"/>
      </rPr>
      <t>Hàng hóa ok hàng spot</t>
    </r>
    <r>
      <rPr>
        <sz val="14"/>
        <color rgb="FF000000"/>
        <rFont val="Times New Roman"/>
        <family val="1"/>
      </rPr>
      <t xml:space="preserve">				(Cân tải)
</t>
    </r>
    <r>
      <rPr>
        <sz val="14"/>
        <color rgb="FFFF0000"/>
        <rFont val="Times New Roman"/>
        <family val="1"/>
      </rPr>
      <t>TÀU NÀY KHÔNG HẠ BÃI NHƯ HÀNG TRƯỚC TẾT, TRẢ HÀNG LUÔN</t>
    </r>
  </si>
  <si>
    <t>04.02.2025
Dỡ đá -&gt; nhận HRC</t>
  </si>
  <si>
    <r>
      <rPr>
        <sz val="14"/>
        <color rgb="FF000000"/>
        <rFont val="Times New Roman"/>
        <family val="1"/>
      </rPr>
      <t xml:space="preserve">2000002588 - Tây Nam - 4.600T </t>
    </r>
    <r>
      <rPr>
        <b/>
        <sz val="14"/>
        <color rgb="FF7030A0"/>
        <rFont val="Times New Roman"/>
        <family val="1"/>
      </rPr>
      <t>Hàng hóa ok - lệnh ok</t>
    </r>
  </si>
  <si>
    <t>05/02 Bến 1</t>
  </si>
  <si>
    <r>
      <rPr>
        <sz val="14"/>
        <color rgb="FF000000"/>
        <rFont val="Times New Roman"/>
        <family val="1"/>
      </rPr>
      <t xml:space="preserve">2200001818 - 1818.T01.2025/OTHP-KH   540T    Hàng hóa ok
2200001834 - 1834.T01.2025/HPDQ-THP 1142T   Hàng hóa ok
2200001830 - 1830.T01.2025/HPDQ-THP 1700T Hàng hóa ok hàng spot- cân tải
2000002589 - 322.T02.2025/HPDQ-TMPHN 385TAN đi Hải Phòng - Hàng BBC </t>
    </r>
    <r>
      <rPr>
        <b/>
        <sz val="14"/>
        <color rgb="FF7030A0"/>
        <rFont val="Times New Roman"/>
        <family val="1"/>
      </rPr>
      <t>Hàng hóa ok</t>
    </r>
    <r>
      <rPr>
        <sz val="14"/>
        <color rgb="FF000000"/>
        <rFont val="Times New Roman"/>
        <family val="1"/>
      </rPr>
      <t xml:space="preserve"> xuất hết</t>
    </r>
  </si>
  <si>
    <t>21h 07.02.2025</t>
  </si>
  <si>
    <t>20h00 07/02 Bến 5</t>
  </si>
  <si>
    <r>
      <rPr>
        <sz val="14"/>
        <color rgb="FF000000"/>
        <rFont val="Times New Roman"/>
        <family val="1"/>
      </rPr>
      <t xml:space="preserve">2200001837 - 1837.T02.2025/HPDQ-OTHY 2k8TAN </t>
    </r>
    <r>
      <rPr>
        <b/>
        <sz val="14"/>
        <color rgb="FF7030A0"/>
        <rFont val="Times New Roman"/>
        <family val="1"/>
      </rPr>
      <t xml:space="preserve">Hàng hóa ok
</t>
    </r>
    <r>
      <rPr>
        <sz val="14"/>
        <color rgb="FF000000"/>
        <rFont val="Times New Roman"/>
        <family val="1"/>
      </rPr>
      <t xml:space="preserve">2200001838 - 1838.T02.2025/HPDQ-OTHY 770TAN </t>
    </r>
    <r>
      <rPr>
        <b/>
        <sz val="14"/>
        <color rgb="FF7030A0"/>
        <rFont val="Times New Roman"/>
        <family val="1"/>
      </rPr>
      <t xml:space="preserve">Hàng hóa ok
</t>
    </r>
    <r>
      <rPr>
        <sz val="14"/>
        <color rgb="FF000000"/>
        <rFont val="Times New Roman"/>
        <family val="1"/>
      </rPr>
      <t xml:space="preserve">2200001839 - 1839.T02.2025/HPDQ-OTHY 2k2TAN </t>
    </r>
    <r>
      <rPr>
        <b/>
        <sz val="14"/>
        <color rgb="FF7030A0"/>
        <rFont val="Times New Roman"/>
        <family val="1"/>
      </rPr>
      <t xml:space="preserve">Hàng hóa ok
</t>
    </r>
    <r>
      <rPr>
        <sz val="14"/>
        <color rgb="FF000000"/>
        <rFont val="Times New Roman"/>
        <family val="1"/>
      </rPr>
      <t xml:space="preserve">2200001836 - 1836.T02.2025/HPDQ-THP 200TAN - cân tải </t>
    </r>
    <r>
      <rPr>
        <b/>
        <sz val="14"/>
        <color rgb="FF7030A0"/>
        <rFont val="Times New Roman"/>
        <family val="1"/>
      </rPr>
      <t xml:space="preserve">Hàng hóa ok </t>
    </r>
  </si>
  <si>
    <t>1836: thiếu size 2.30x121x 213taans ok</t>
  </si>
  <si>
    <t>09-10.02.2025</t>
  </si>
  <si>
    <t>10/02 Bến Tàu lai</t>
  </si>
  <si>
    <r>
      <rPr>
        <sz val="14"/>
        <color rgb="FF000000"/>
        <rFont val="Times New Roman"/>
        <family val="1"/>
      </rPr>
      <t xml:space="preserve">2000002588 - Tây Nam - 1.400T - Thiên Lộc Thành </t>
    </r>
    <r>
      <rPr>
        <b/>
        <sz val="14"/>
        <color rgb="FF7030A0"/>
        <rFont val="Times New Roman"/>
        <family val="1"/>
      </rPr>
      <t xml:space="preserve">Hàng hóa ok 
</t>
    </r>
    <r>
      <rPr>
        <sz val="14"/>
        <color rgb="FF000000"/>
        <rFont val="Times New Roman"/>
        <family val="1"/>
      </rPr>
      <t xml:space="preserve">2200001840 - 1840.T02.2025/HPDQ-OTBD - 2.500T - Long Bình  </t>
    </r>
    <r>
      <rPr>
        <b/>
        <sz val="14"/>
        <color rgb="FF7030A0"/>
        <rFont val="Times New Roman"/>
        <family val="1"/>
      </rPr>
      <t>Hàng hóa ok</t>
    </r>
    <r>
      <rPr>
        <sz val="14"/>
        <color rgb="FF000000"/>
        <rFont val="Times New Roman"/>
        <family val="1"/>
      </rPr>
      <t xml:space="preserve"> </t>
    </r>
  </si>
  <si>
    <t>09-10.02.2025
Dỡ đá -&gt; nhận HRC</t>
  </si>
  <si>
    <t>10-11/02 Bến 2</t>
  </si>
  <si>
    <r>
      <rPr>
        <sz val="14"/>
        <color rgb="FF000000"/>
        <rFont val="Times New Roman"/>
        <family val="1"/>
      </rPr>
      <t xml:space="preserve">2200001840 - 1840.T02.2025/HPDQ-OTBD - 800T - Long Bình </t>
    </r>
    <r>
      <rPr>
        <b/>
        <sz val="14"/>
        <color rgb="FF7030A0"/>
        <rFont val="Times New Roman"/>
        <family val="1"/>
      </rPr>
      <t xml:space="preserve">Hàng hóa ok 
</t>
    </r>
    <r>
      <rPr>
        <sz val="14"/>
        <color rgb="FF000000"/>
        <rFont val="Times New Roman"/>
        <family val="1"/>
      </rPr>
      <t xml:space="preserve">2200001835 - 1835.T02.2025/HPDQ-HPC 555T  -  Phú Mỹ </t>
    </r>
    <r>
      <rPr>
        <b/>
        <sz val="14"/>
        <color rgb="FF7030A0"/>
        <rFont val="Times New Roman"/>
        <family val="1"/>
      </rPr>
      <t xml:space="preserve">Hàng hóa ok 
</t>
    </r>
    <r>
      <rPr>
        <sz val="14"/>
        <color rgb="FF000000"/>
        <rFont val="Times New Roman"/>
        <family val="1"/>
      </rPr>
      <t xml:space="preserve">2000002601 - 257.T12.2024/HPDQ-MISVN(SMC) - 1.000T - 7/2 duyệt lệnh - Phú Mỹ -  </t>
    </r>
    <r>
      <rPr>
        <b/>
        <sz val="14"/>
        <color rgb="FF7030A0"/>
        <rFont val="Times New Roman"/>
        <family val="1"/>
      </rPr>
      <t>Hàng hóa ok</t>
    </r>
    <r>
      <rPr>
        <sz val="14"/>
        <color rgb="FF000000"/>
        <rFont val="Times New Roman"/>
        <family val="1"/>
      </rPr>
      <t xml:space="preserve"> 
</t>
    </r>
    <r>
      <rPr>
        <sz val="14"/>
        <color rgb="FFFF0000"/>
        <rFont val="Times New Roman"/>
        <family val="1"/>
      </rPr>
      <t>Ghép thép thành phẩm - cân tải</t>
    </r>
  </si>
  <si>
    <r>
      <rPr>
        <b/>
        <sz val="14"/>
        <color rgb="FF000000"/>
        <rFont val="Times New Roman"/>
        <family val="1"/>
      </rPr>
      <t xml:space="preserve">2586 cũ (2601 mới): </t>
    </r>
    <r>
      <rPr>
        <b/>
        <sz val="14"/>
        <color rgb="FFFF0000"/>
        <rFont val="Times New Roman"/>
        <family val="1"/>
      </rPr>
      <t>Xử lý hen gỉ trước khi xuất bán</t>
    </r>
  </si>
  <si>
    <t>PHƯƠNG NAM 189</t>
  </si>
  <si>
    <r>
      <rPr>
        <sz val="14"/>
        <color rgb="FF000000"/>
        <rFont val="Times New Roman"/>
        <family val="1"/>
      </rPr>
      <t xml:space="preserve">2000002597 - HNS - 5.800T              Dự kiến 10-11/2 duyệt lệnh (LSD 20/2)
TÀU XUẤT NHỮNG SIZE NÀY NHÉ Ạ - có gì mn nhớ nhắn NGA
Thép cuộn cán nóng 2.25 x 1250 SS400	Kg	 100,000 
Thép cuộn cán nóng 3.75 x 1410 SS400	Kg	 800,000 
Thép cuộn cán nóng 7.90 x 1500 SS400	Kg	 400,000 
Thép cuộn cán nóng 9.90 x 1500 SS400	Kg	 300,000 
Thép cuộn cán nóng 2.00 x 1250 SAE1006	Kg	 2,050,000 
Thép cuộn cán nóng 2.30 x 1250 SAE1006	Kg	 650,000 
Thép cuộn cán nóng 2.75 x 1250 SAE1006	Kg	 1,000,000 
Thép cuộn cán nóng 3.00 x 1230 SAE1006	Kg	 500,000 
</t>
    </r>
    <r>
      <rPr>
        <sz val="14"/>
        <color rgb="FFFF0000"/>
        <rFont val="Times New Roman"/>
        <family val="1"/>
      </rPr>
      <t>KHÁCH TỪ CHỐI NHẬN HÀNG GỈ</t>
    </r>
  </si>
  <si>
    <t>10-11.02.2025</t>
  </si>
  <si>
    <t>11/02 Bến 3/5</t>
  </si>
  <si>
    <r>
      <rPr>
        <sz val="14"/>
        <color rgb="FF000000"/>
        <rFont val="Times New Roman"/>
        <family val="1"/>
      </rPr>
      <t xml:space="preserve">2200001841 - 1841.T02.2025/HPDQ-OTHY 1k6tan - đi hết  </t>
    </r>
    <r>
      <rPr>
        <sz val="14"/>
        <color rgb="FFFF0000"/>
        <rFont val="Times New Roman"/>
        <family val="1"/>
      </rPr>
      <t xml:space="preserve">- HÀNG HRC 2
</t>
    </r>
    <r>
      <rPr>
        <sz val="14"/>
        <color rgb="FF000000"/>
        <rFont val="Times New Roman"/>
        <family val="1"/>
      </rPr>
      <t xml:space="preserve">2200001842 - 1842.T02.2025/HPDQ-OTHY 1k1tan - đi hết  </t>
    </r>
    <r>
      <rPr>
        <sz val="14"/>
        <color rgb="FFFF0000"/>
        <rFont val="Times New Roman"/>
        <family val="1"/>
      </rPr>
      <t xml:space="preserve">- HÀNG HRC 2
</t>
    </r>
    <r>
      <rPr>
        <sz val="14"/>
        <color rgb="FF000000"/>
        <rFont val="Times New Roman"/>
        <family val="1"/>
      </rPr>
      <t xml:space="preserve">2200001843 - 1843.T02.2025/HPDQ-OTHY 3k2tan - đi hết  </t>
    </r>
    <r>
      <rPr>
        <sz val="14"/>
        <color rgb="FFFF0000"/>
        <rFont val="Times New Roman"/>
        <family val="1"/>
      </rPr>
      <t xml:space="preserve">- HÀNG HRC 2
</t>
    </r>
    <r>
      <rPr>
        <sz val="14"/>
        <color rgb="FF000000"/>
        <rFont val="Times New Roman"/>
        <family val="1"/>
      </rPr>
      <t xml:space="preserve">2200001844 - 1844.T02.2025/HPDQ-THP 1k3tan - đi hết     </t>
    </r>
    <r>
      <rPr>
        <sz val="14"/>
        <color rgb="FFFF0000"/>
        <rFont val="Times New Roman"/>
        <family val="1"/>
      </rPr>
      <t xml:space="preserve">- HÀNG HRC 2
</t>
    </r>
    <r>
      <rPr>
        <sz val="14"/>
        <color rgb="FF000000"/>
        <rFont val="Times New Roman"/>
        <family val="1"/>
      </rPr>
      <t xml:space="preserve">2200001836 - 1836.T02.2025/HPDQ-THP 1.300T Hàng hóa ok </t>
    </r>
    <r>
      <rPr>
        <sz val="14"/>
        <color rgb="FFFF0000"/>
        <rFont val="Times New Roman"/>
        <family val="1"/>
      </rPr>
      <t xml:space="preserve"> (ưu tiên 2.3x1265: 832 tấn và 2.45x1250: 180 tấn đi hết, hàng khác cân tải)</t>
    </r>
  </si>
  <si>
    <t>TBA</t>
  </si>
  <si>
    <t>12-14.02.2025</t>
  </si>
  <si>
    <r>
      <rPr>
        <sz val="14"/>
        <color rgb="FF000000"/>
        <rFont val="Times New Roman"/>
        <family val="1"/>
      </rPr>
      <t xml:space="preserve">2000002587 - 296.T01.2025/HPDQ-TYTS - 500T - 12/2 thanh toán TT - Tân Thuận - giao càng sớm càng tốt ngay khi có TT - </t>
    </r>
    <r>
      <rPr>
        <b/>
        <sz val="14"/>
        <color rgb="FF7030A0"/>
        <rFont val="Times New Roman"/>
        <family val="1"/>
      </rPr>
      <t xml:space="preserve">Hàng hóa ok
</t>
    </r>
    <r>
      <rPr>
        <sz val="14"/>
        <color rgb="FF000000"/>
        <rFont val="Times New Roman"/>
        <family val="1"/>
      </rPr>
      <t xml:space="preserve">2000002590 - 286.T01..2025/HPDQ-JFE (TDA) - 2.500T - Tân Thuận </t>
    </r>
    <r>
      <rPr>
        <b/>
        <sz val="14"/>
        <color rgb="FF7030A0"/>
        <rFont val="Times New Roman"/>
        <family val="1"/>
      </rPr>
      <t xml:space="preserve">Hàng hóa ok
</t>
    </r>
    <r>
      <rPr>
        <sz val="14"/>
        <color rgb="FF000000"/>
        <rFont val="Times New Roman"/>
        <family val="1"/>
      </rPr>
      <t>20*2590: đã mapping 3k8/5k, Lượng còn lại 12.02 nk đủ</t>
    </r>
  </si>
  <si>
    <r>
      <rPr>
        <sz val="14"/>
        <color rgb="FF000000"/>
        <rFont val="Times New Roman"/>
        <family val="1"/>
      </rPr>
      <t xml:space="preserve">2200001836 - 1836.T02.2025/HPDQ-THP 2.500T </t>
    </r>
    <r>
      <rPr>
        <b/>
        <sz val="14"/>
        <color rgb="FF7030A0"/>
        <rFont val="Times New Roman"/>
        <family val="1"/>
      </rPr>
      <t>Hàng hóa ok - cân tải
Chờ thêm hàng ghép đi sau</t>
    </r>
  </si>
  <si>
    <t>15-20/2/2025</t>
  </si>
  <si>
    <t xml:space="preserve"> Port Klang, Malaysia </t>
  </si>
  <si>
    <r>
      <rPr>
        <b/>
        <sz val="14"/>
        <color rgb="FF000000"/>
        <rFont val="Times New Roman"/>
        <family val="1"/>
      </rPr>
      <t>2400001013 - 10.T02-25/HPDQ-CSC - LINH</t>
    </r>
    <r>
      <rPr>
        <sz val="14"/>
        <color rgb="FF000000"/>
        <rFont val="Times New Roman"/>
        <family val="1"/>
      </rPr>
      <t xml:space="preserve"> SX đủ chờ skin - 7-8/02/25 dự kiến xong 
</t>
    </r>
    <r>
      <rPr>
        <b/>
        <sz val="14"/>
        <color rgb="FF000000"/>
        <rFont val="Times New Roman"/>
        <family val="1"/>
      </rPr>
      <t xml:space="preserve">11.T02-25/HPDQ-GS - HẰNG
</t>
    </r>
    <r>
      <rPr>
        <sz val="14"/>
        <color rgb="FF000000"/>
        <rFont val="Times New Roman"/>
        <family val="1"/>
      </rPr>
      <t xml:space="preserve">24*1000: </t>
    </r>
    <r>
      <rPr>
        <b/>
        <sz val="14"/>
        <color rgb="FF7030A0"/>
        <rFont val="Times New Roman"/>
        <family val="1"/>
      </rPr>
      <t>Hàng hóa ok</t>
    </r>
    <r>
      <rPr>
        <sz val="14"/>
        <color rgb="FF000000"/>
        <rFont val="Times New Roman"/>
        <family val="1"/>
      </rPr>
      <t xml:space="preserve"> 
24*1001: SX đủ -Đang Skin  dk 9/2/25 nk
24*1002: </t>
    </r>
    <r>
      <rPr>
        <b/>
        <sz val="14"/>
        <color rgb="FF7030A0"/>
        <rFont val="Times New Roman"/>
        <family val="1"/>
      </rPr>
      <t xml:space="preserve">Hàng hóa ok 
</t>
    </r>
    <r>
      <rPr>
        <b/>
        <sz val="14"/>
        <color rgb="FF000000"/>
        <rFont val="Times New Roman"/>
        <family val="1"/>
      </rPr>
      <t>12.T02-25/HPDQ-GS</t>
    </r>
    <r>
      <rPr>
        <sz val="14"/>
        <color rgb="FF000000"/>
        <rFont val="Times New Roman"/>
        <family val="1"/>
      </rPr>
      <t xml:space="preserve"> SX đủ chờ skin - 8-9/02/25 dự kiến xong - </t>
    </r>
    <r>
      <rPr>
        <b/>
        <sz val="14"/>
        <color rgb="FFFF0000"/>
        <rFont val="Times New Roman"/>
        <family val="1"/>
      </rPr>
      <t xml:space="preserve">chưa SO
</t>
    </r>
    <r>
      <rPr>
        <b/>
        <sz val="14"/>
        <color rgb="FF000000"/>
        <rFont val="Times New Roman"/>
        <family val="1"/>
      </rPr>
      <t xml:space="preserve">13.T02-25/HPDQ-GS
</t>
    </r>
    <r>
      <rPr>
        <sz val="14"/>
        <color rgb="FF000000"/>
        <rFont val="Times New Roman"/>
        <family val="1"/>
      </rPr>
      <t xml:space="preserve">24*1008: SX đủ -Đang Skin  dk 9/2/25 nk
24*1010: SX đủ -Đang Skin  dk 9/2/25 nk
24*1011: SX đủ - dk 8/2/25 nk
</t>
    </r>
    <r>
      <rPr>
        <b/>
        <sz val="14"/>
        <color rgb="FF000000"/>
        <rFont val="Times New Roman"/>
        <family val="1"/>
      </rPr>
      <t>14.T02-25/HPDQ-GS</t>
    </r>
    <r>
      <rPr>
        <sz val="14"/>
        <color rgb="FF000000"/>
        <rFont val="Times New Roman"/>
        <family val="1"/>
      </rPr>
      <t xml:space="preserve"> - 2400001004 NGỌC </t>
    </r>
    <r>
      <rPr>
        <b/>
        <sz val="14"/>
        <color rgb="FF7030A0"/>
        <rFont val="Times New Roman"/>
        <family val="1"/>
      </rPr>
      <t xml:space="preserve">Hàng hóa ok 
</t>
    </r>
    <r>
      <rPr>
        <b/>
        <sz val="14"/>
        <color rgb="FF000000"/>
        <rFont val="Times New Roman"/>
        <family val="1"/>
      </rPr>
      <t xml:space="preserve">15.T02-25/HPDQ-GS </t>
    </r>
    <r>
      <rPr>
        <sz val="14"/>
        <color rgb="FF000000"/>
        <rFont val="Times New Roman"/>
        <family val="1"/>
      </rPr>
      <t xml:space="preserve">SX đủ -Đang Skin + nk  dk 9/2/25 nk </t>
    </r>
    <r>
      <rPr>
        <b/>
        <sz val="14"/>
        <color rgb="FFFF0000"/>
        <rFont val="Times New Roman"/>
        <family val="1"/>
      </rPr>
      <t xml:space="preserve">chưa SO
</t>
    </r>
    <r>
      <rPr>
        <b/>
        <sz val="14"/>
        <color rgb="FF000000"/>
        <rFont val="Times New Roman"/>
        <family val="1"/>
      </rPr>
      <t>16.T02-25/HPDQ-GS</t>
    </r>
    <r>
      <rPr>
        <sz val="14"/>
        <color rgb="FF000000"/>
        <rFont val="Times New Roman"/>
        <family val="1"/>
      </rPr>
      <t xml:space="preserve"> - 2400001005 NGỌC </t>
    </r>
    <r>
      <rPr>
        <b/>
        <sz val="14"/>
        <color rgb="FF7030A0"/>
        <rFont val="Times New Roman"/>
        <family val="1"/>
      </rPr>
      <t xml:space="preserve">Hàng hóa ok </t>
    </r>
  </si>
  <si>
    <t>Dự kiến trước 10/2 sẽ nk đủ
2 size 2.72x151Y và 2.43x151Y của SO 24*1010 chỉ đạt 83%</t>
  </si>
  <si>
    <t>\</t>
  </si>
  <si>
    <t>TBN</t>
  </si>
  <si>
    <t>20-25/2/2025</t>
  </si>
  <si>
    <r>
      <rPr>
        <sz val="14"/>
        <color rgb="FF000000"/>
        <rFont val="Times New Roman"/>
        <family val="1"/>
      </rPr>
      <t xml:space="preserve">09.T02-25/HPDQ-SI - </t>
    </r>
    <r>
      <rPr>
        <b/>
        <sz val="14"/>
        <color rgb="FFFF0000"/>
        <rFont val="Times New Roman"/>
        <family val="1"/>
      </rPr>
      <t xml:space="preserve">Chưa có SO
</t>
    </r>
    <r>
      <rPr>
        <sz val="14"/>
        <color rgb="FF000000"/>
        <rFont val="Times New Roman"/>
        <family val="1"/>
      </rPr>
      <t>LOT1: SX đủ chờ skin dự kiến 9-10/2 nk
LOT2: SX đủ chờ skin dự kiến 9-10/2 nk</t>
    </r>
  </si>
  <si>
    <t>15-20/02/2025</t>
  </si>
  <si>
    <r>
      <rPr>
        <sz val="14"/>
        <color rgb="FF000000"/>
        <rFont val="Times New Roman"/>
        <family val="1"/>
      </rPr>
      <t xml:space="preserve">2400001009 - 07.T02-25/HPDQ-AMI - - LINH </t>
    </r>
    <r>
      <rPr>
        <b/>
        <sz val="14"/>
        <color rgb="FF7030A0"/>
        <rFont val="Times New Roman"/>
        <family val="1"/>
      </rPr>
      <t xml:space="preserve">Hàng hóa ok </t>
    </r>
  </si>
  <si>
    <t>20-25/02/2025</t>
  </si>
  <si>
    <t>2400001007 - 08.T02-25/HPDQ-JFE - GIANG - SX đủ -Đang Skin  dk 9/2/25 nk</t>
  </si>
  <si>
    <t>Semarang</t>
  </si>
  <si>
    <t>06.T02-25/HPDQ-MI - LINH Bố trí SX đợt 6-13/2 - dự kiến 19-20/2 mới nk</t>
  </si>
  <si>
    <t>19-20.02.2025</t>
  </si>
  <si>
    <t>2000002602 - VNO 222E- 3000T - Phú Mỹ (dự kiến 20/02 có hàng, có thể đi luôn ngay khi có hàng)
Đang SX đợt 6-13.02 DK nk 18-19.02  - Chưa SO
2000002603 - VNO 222F- 3000T - Phú Mỹ (dự kiến 20/02 có hàng, có thể đi luôn ngay khi có hàng)
Đang SX đợt 6-13.02 DK nk 18-19.02 - Chưa SO</t>
  </si>
  <si>
    <t>2000002597 - HNS - 1.700T (25/2 mới nhận hàng)</t>
  </si>
  <si>
    <r>
      <rPr>
        <sz val="14"/>
        <color rgb="FF000000"/>
        <rFont val="Times New Roman"/>
        <family val="1"/>
      </rPr>
      <t xml:space="preserve">290.T01.2025/HPDQ-KD - giữa T2 mở LC - Tân Thuận </t>
    </r>
    <r>
      <rPr>
        <b/>
        <sz val="14"/>
        <color rgb="FF000000"/>
        <rFont val="Times New Roman"/>
        <family val="1"/>
      </rPr>
      <t>chia 3 lot giao tháng 3</t>
    </r>
    <r>
      <rPr>
        <sz val="14"/>
        <color rgb="FF000000"/>
        <rFont val="Times New Roman"/>
        <family val="1"/>
      </rPr>
      <t xml:space="preserve"> </t>
    </r>
    <r>
      <rPr>
        <b/>
        <sz val="14"/>
        <color rgb="FF7030A0"/>
        <rFont val="Times New Roman"/>
        <family val="1"/>
      </rPr>
      <t xml:space="preserve">hàng hóa ok - chờ khách chốt phương án em sẽ tạo lệnh
</t>
    </r>
    <r>
      <rPr>
        <sz val="14"/>
        <color rgb="FF000000"/>
        <rFont val="Times New Roman"/>
        <family val="1"/>
      </rPr>
      <t>+ 3500T nhận từ 01/3
+ 3500T nhận từ 10/3
+ 3000T nhận từ 20/3</t>
    </r>
  </si>
  <si>
    <t>Hàng hóa ok hết rồi - Chưa SO để mapping</t>
  </si>
  <si>
    <r>
      <rPr>
        <sz val="14"/>
        <color rgb="FF000000"/>
        <rFont val="Times New Roman"/>
        <family val="1"/>
      </rPr>
      <t xml:space="preserve">268B.T12.QTVN - 5000T - chưa chốt lịch mở LC - Hải Phòng
20*2592: </t>
    </r>
    <r>
      <rPr>
        <b/>
        <sz val="14"/>
        <color rgb="FF7030A0"/>
        <rFont val="Times New Roman"/>
        <family val="1"/>
      </rPr>
      <t>hàng hóa ok</t>
    </r>
  </si>
  <si>
    <r>
      <rPr>
        <b/>
        <sz val="14"/>
        <color rgb="FF000000"/>
        <rFont val="Times New Roman"/>
        <family val="1"/>
      </rPr>
      <t>KKNH - 10.000T</t>
    </r>
    <r>
      <rPr>
        <sz val="14"/>
        <color rgb="FF000000"/>
        <rFont val="Times New Roman"/>
        <family val="1"/>
      </rPr>
      <t xml:space="preserve"> (Tháng 3 mới nhận hàng)
20*2600: Đợt 1 đã mapping 8k tấn; Đợt 2 SX 2k khổ 130X 6-13.02 DK nk 18-19.02
</t>
    </r>
    <r>
      <rPr>
        <b/>
        <sz val="14"/>
        <color rgb="FF000000"/>
        <rFont val="Times New Roman"/>
        <family val="1"/>
      </rPr>
      <t>TĐA - 2.500T T01</t>
    </r>
    <r>
      <rPr>
        <sz val="14"/>
        <color rgb="FF000000"/>
        <rFont val="Times New Roman"/>
        <family val="1"/>
      </rPr>
      <t xml:space="preserve"> + 5.000T T02 (Cuối tháng 2 mới nhận hàng)</t>
    </r>
    <r>
      <rPr>
        <b/>
        <sz val="14"/>
        <color rgb="FF000000"/>
        <rFont val="Times New Roman"/>
        <family val="1"/>
      </rPr>
      <t xml:space="preserve"> - </t>
    </r>
    <r>
      <rPr>
        <b/>
        <sz val="14"/>
        <color rgb="FFFF0000"/>
        <rFont val="Times New Roman"/>
        <family val="1"/>
      </rPr>
      <t xml:space="preserve">Chưa SO
</t>
    </r>
    <r>
      <rPr>
        <sz val="14"/>
        <color rgb="FF000000"/>
        <rFont val="Times New Roman"/>
        <family val="1"/>
      </rPr>
      <t xml:space="preserve">20*2590: đã mapping 3k8/5k, Lượng còn lại 12.02 nk đủ
TĐA T.02: Đang SX đợt 6-13.02 DK nk 18-19.02  </t>
    </r>
    <r>
      <rPr>
        <b/>
        <sz val="14"/>
        <color rgb="FFFF0000"/>
        <rFont val="Times New Roman"/>
        <family val="1"/>
      </rPr>
      <t xml:space="preserve">- Chưa SO
</t>
    </r>
    <r>
      <rPr>
        <b/>
        <sz val="14"/>
        <color rgb="FF000000"/>
        <rFont val="Times New Roman"/>
        <family val="1"/>
      </rPr>
      <t>TMP - 18.000T</t>
    </r>
    <r>
      <rPr>
        <sz val="14"/>
        <color rgb="FF000000"/>
        <rFont val="Times New Roman"/>
        <family val="1"/>
      </rPr>
      <t xml:space="preserve">  (Chưa có lịch nhận hàng) - </t>
    </r>
    <r>
      <rPr>
        <b/>
        <sz val="14"/>
        <color rgb="FFFF0000"/>
        <rFont val="Times New Roman"/>
        <family val="1"/>
      </rPr>
      <t xml:space="preserve">Chưa SO
</t>
    </r>
    <r>
      <rPr>
        <sz val="14"/>
        <color rgb="FF000000"/>
        <rFont val="Times New Roman"/>
        <family val="1"/>
      </rPr>
      <t xml:space="preserve">Còn 2000t MC chưa SX (SX đợt 13-20.02)
</t>
    </r>
    <r>
      <rPr>
        <b/>
        <sz val="14"/>
        <color rgb="FF000000"/>
        <rFont val="Times New Roman"/>
        <family val="1"/>
      </rPr>
      <t>VNO</t>
    </r>
    <r>
      <rPr>
        <sz val="14"/>
        <color rgb="FF000000"/>
        <rFont val="Times New Roman"/>
        <family val="1"/>
      </rPr>
      <t xml:space="preserve"> - 5.000T (Chưa có lịch nhận hàng)  - </t>
    </r>
    <r>
      <rPr>
        <b/>
        <sz val="14"/>
        <color rgb="FFFF0000"/>
        <rFont val="Times New Roman"/>
        <family val="1"/>
      </rPr>
      <t>Chưa SO</t>
    </r>
  </si>
  <si>
    <r>
      <rPr>
        <b/>
        <sz val="14"/>
        <color rgb="FF000000"/>
        <rFont val="Times New Roman"/>
        <family val="1"/>
      </rPr>
      <t>PVN T02</t>
    </r>
    <r>
      <rPr>
        <sz val="14"/>
        <color rgb="FF000000"/>
        <rFont val="Times New Roman"/>
        <family val="1"/>
      </rPr>
      <t xml:space="preserve"> - 5.000T : HẠN CHẾ HAN GỈ</t>
    </r>
  </si>
  <si>
    <r>
      <rPr>
        <sz val="14"/>
        <color rgb="FF000000"/>
        <rFont val="Times New Roman"/>
        <family val="1"/>
      </rPr>
      <t xml:space="preserve">316.T02.2025/HPDQ-PVN - 5000T - Posco (ASAP Tháng 2, Posco kẹt cầu từ 23/2) (Dự kiến 13/2 duyệt lệnh)
Đang SX đợt 6-13.02 DK nk 18-19.02 - </t>
    </r>
    <r>
      <rPr>
        <b/>
        <sz val="14"/>
        <color rgb="FFFF0000"/>
        <rFont val="Times New Roman"/>
        <family val="1"/>
      </rPr>
      <t>Chưa SO</t>
    </r>
  </si>
  <si>
    <t>LỊCH TÀU XUẤT HRC THÁNG 12/2024</t>
  </si>
  <si>
    <t>02-03.12.2024
Neo Quy Nhơn, giảm gió chạy về</t>
  </si>
  <si>
    <t>07h30 02/12 Bến Tàu Lai</t>
  </si>
  <si>
    <t>2000002419 - KKBV - 2000T     lệnh ok                              Hàng hóa ok
2000002440 - OT190 - 2000T     lệnh ok             Dự kiến 29/11 NK
2000002436 - Phú Nam T10 - 450T      27/11 duyệt lệnh    Dự kiến 30/11 NK
2000002405 - Phú Nam - 150T sx lại    có hàng là xuất được            Dự kiến 27/11NK</t>
  </si>
  <si>
    <t>20*2419: hàng hóa ok
20*2440: OK
20*2436: hàng hóa ok 
20*2405: hàng hóa ok</t>
  </si>
  <si>
    <t>03.12.2024
NEO</t>
  </si>
  <si>
    <t>11h00 03/12 Bến Tàu Lai</t>
  </si>
  <si>
    <r>
      <rPr>
        <sz val="14"/>
        <color rgb="FF000000"/>
        <rFont val="Times New Roman"/>
        <family val="1"/>
      </rPr>
      <t>2000002442 - OTSG - 1000T - Phú Mỹ (</t>
    </r>
    <r>
      <rPr>
        <b/>
        <sz val="14"/>
        <color rgb="FFFF0000"/>
        <rFont val="Times New Roman"/>
        <family val="1"/>
      </rPr>
      <t>phải xuất hóa đơn điện tử muộn nhất vào 05/12</t>
    </r>
    <r>
      <rPr>
        <sz val="14"/>
        <color rgb="FF000000"/>
        <rFont val="Times New Roman"/>
        <family val="1"/>
      </rPr>
      <t xml:space="preserve">) - lệnh ok      
2000002465 - 200T - 218.T10.2024/HPDQ-THEONE - Phú Mỹ
2000002466 - 200T - 242.T11.2024/HPDQ-THEONE -  Phú Mỹ
2000002460 - TN 199 - 3.000T - Thiên Lộc Thành (LSD: 10/12)    Hàng hóa ok 
</t>
    </r>
    <r>
      <rPr>
        <sz val="14"/>
        <color rgb="FFFF0000"/>
        <rFont val="Times New Roman"/>
        <family val="1"/>
      </rPr>
      <t>2 lệnh The One đi hết, lệnh OTSG + Tây Nam xuất đủ dung sai cân tải</t>
    </r>
  </si>
  <si>
    <t>-20*2442: hàng hóa ok
'-20*2465: ok
'-20*2466: ok
-20*2460: hàng hóa ok</t>
  </si>
  <si>
    <t>04.12.2024
Dỡ đá -&gt; nhận HRC</t>
  </si>
  <si>
    <t>11H00 04/12 Bến 2</t>
  </si>
  <si>
    <t>2000002453 - TVP - 4.450T  lệnh ok</t>
  </si>
  <si>
    <t>ok</t>
  </si>
  <si>
    <t>ĐĂNG KHOA 79</t>
  </si>
  <si>
    <t>04.12.2024
Từ Quy Nhơn về</t>
  </si>
  <si>
    <t>14H00 04/12 Bến Tàu Lai</t>
  </si>
  <si>
    <r>
      <rPr>
        <sz val="14"/>
        <color rgb="FF000000"/>
        <rFont val="Times New Roman"/>
        <family val="1"/>
      </rPr>
      <t xml:space="preserve">2000002459- TN 199 - 3.000T - Thiên Lộc Thành (LSD: 10/12)  Đã map 2461/3000t
2200001792 - 1792.T11/2024/HPDQ-OTBD - 1.100T - Long Bình </t>
    </r>
    <r>
      <rPr>
        <sz val="14"/>
        <color rgb="FF7030A0"/>
        <rFont val="Times New Roman"/>
        <family val="1"/>
      </rPr>
      <t>Hàng spot, hàng hóa ok</t>
    </r>
  </si>
  <si>
    <t>20*2459: ok
22*1792: ok</t>
  </si>
  <si>
    <t>05.12.2024</t>
  </si>
  <si>
    <t>05/12 C.TH</t>
  </si>
  <si>
    <r>
      <rPr>
        <sz val="14"/>
        <color rgb="FF000000"/>
        <rFont val="Times New Roman"/>
        <family val="1"/>
      </rPr>
      <t xml:space="preserve">2000002484 - 220.TDA - 1.500T - Tân Thuận
</t>
    </r>
    <r>
      <rPr>
        <sz val="14"/>
        <color rgb="FF0D0D0D"/>
        <rFont val="Times New Roman"/>
        <family val="1"/>
      </rPr>
      <t>2000002468 - TYTS - 500T - Tân Thuận (</t>
    </r>
    <r>
      <rPr>
        <sz val="14"/>
        <color rgb="FFFF0000"/>
        <rFont val="Times New Roman"/>
        <family val="1"/>
      </rPr>
      <t>Hóa đơn cần xuất trong 1 ngày trước 16h, không kịp thì xuất sang ngày hôm sau, không xuất hóa đơn vắt ngày</t>
    </r>
    <r>
      <rPr>
        <sz val="14"/>
        <color rgb="FF0D0D0D"/>
        <rFont val="Times New Roman"/>
        <family val="1"/>
      </rPr>
      <t xml:space="preserve">) - lệnh ok       Dự kiến 4/12 NK
2000002470 - SEAH - 500T  LSD 10/12 - Tân Thuận        Lệnh OK                  
2000002485 - 338T - 271.T12.2024/HPDQ-TMPHN-SPOT - Tân Thuận
</t>
    </r>
    <r>
      <rPr>
        <sz val="14"/>
        <color rgb="FFFF0000"/>
        <rFont val="Times New Roman"/>
        <family val="1"/>
      </rPr>
      <t xml:space="preserve">
2000002447 - 220.TĐA - POSCO - 1.000T                                       </t>
    </r>
    <r>
      <rPr>
        <sz val="14"/>
        <color rgb="FF7030A0"/>
        <rFont val="Times New Roman"/>
        <family val="1"/>
      </rPr>
      <t xml:space="preserve"> Hàng hoá ok
</t>
    </r>
    <r>
      <rPr>
        <sz val="14"/>
        <color rgb="FFFF0000"/>
        <rFont val="Times New Roman"/>
        <family val="1"/>
      </rPr>
      <t xml:space="preserve">2000002450 - 239.JFE - Posco - 2.500T                                             </t>
    </r>
    <r>
      <rPr>
        <sz val="14"/>
        <color rgb="FF7030A0"/>
        <rFont val="Times New Roman"/>
        <family val="1"/>
      </rPr>
      <t xml:space="preserve">Hàng hoá ok
</t>
    </r>
    <r>
      <rPr>
        <sz val="14"/>
        <color rgb="FFFF0000"/>
        <rFont val="Times New Roman"/>
        <family val="1"/>
      </rPr>
      <t xml:space="preserve">2000002467 - PVN T10 - 5.000T  - Posco -  lệnh ok LSD 5/12 (ra hàng, xuất hóa đơn muộn nhất 5/12)
</t>
    </r>
    <r>
      <rPr>
        <sz val="14"/>
        <color rgb="FF1F4E78"/>
        <rFont val="Times New Roman"/>
        <family val="1"/>
      </rPr>
      <t xml:space="preserve">2000002448 - 220.TĐA - Phú Mỹ - 1.000T                                                   </t>
    </r>
    <r>
      <rPr>
        <sz val="14"/>
        <color rgb="FF7030A0"/>
        <rFont val="Times New Roman"/>
        <family val="1"/>
      </rPr>
      <t xml:space="preserve">Hàng hóa ok
</t>
    </r>
    <r>
      <rPr>
        <sz val="14"/>
        <color rgb="FF1F4E78"/>
        <rFont val="Times New Roman"/>
        <family val="1"/>
      </rPr>
      <t xml:space="preserve">2000002429 - HSPM - 1.000T  - Phú Mỹ  map 5K8                                        </t>
    </r>
    <r>
      <rPr>
        <sz val="14"/>
        <color rgb="FF7030A0"/>
        <rFont val="Times New Roman"/>
        <family val="1"/>
      </rPr>
      <t xml:space="preserve">Hàng hóa ok
</t>
    </r>
    <r>
      <rPr>
        <sz val="14"/>
        <color rgb="FF1F4E78"/>
        <rFont val="Times New Roman"/>
        <family val="1"/>
      </rPr>
      <t xml:space="preserve">2000002464 - TVN - 2000T - Phú Mỹ (LSD 15/12) - lệnh ok       </t>
    </r>
    <r>
      <rPr>
        <sz val="14"/>
        <color rgb="FF7030A0"/>
        <rFont val="Times New Roman"/>
        <family val="1"/>
      </rPr>
      <t xml:space="preserve">Hàng hóa ok (+/-10% mỗi size)
</t>
    </r>
    <r>
      <rPr>
        <sz val="14"/>
        <color rgb="FF1F4E78"/>
        <rFont val="Times New Roman"/>
        <family val="1"/>
      </rPr>
      <t xml:space="preserve">2000002474 - TPK - 1.000T - Phú Mỹ             lệnh ok          </t>
    </r>
    <r>
      <rPr>
        <sz val="14"/>
        <color rgb="FF2F75B5"/>
        <rFont val="Times New Roman"/>
        <family val="1"/>
      </rPr>
      <t xml:space="preserve">    </t>
    </r>
    <r>
      <rPr>
        <sz val="14"/>
        <color rgb="FF7030A0"/>
        <rFont val="Times New Roman"/>
        <family val="1"/>
      </rPr>
      <t xml:space="preserve">Hàng hóa ok
</t>
    </r>
    <r>
      <rPr>
        <sz val="14"/>
        <color rgb="FF1F4E78"/>
        <rFont val="Times New Roman"/>
        <family val="1"/>
      </rPr>
      <t>2000002475 - TPK T11 - 2.000T - Phú Mỹ (</t>
    </r>
    <r>
      <rPr>
        <sz val="14"/>
        <color rgb="FFFF0000"/>
        <rFont val="Times New Roman"/>
        <family val="1"/>
      </rPr>
      <t>xuất 2 hóa đơn, size 2.00 một HĐ, size 2.3 + 2.5 một hóa đơn</t>
    </r>
    <r>
      <rPr>
        <sz val="14"/>
        <color rgb="FF1F4E78"/>
        <rFont val="Times New Roman"/>
        <family val="1"/>
      </rPr>
      <t xml:space="preserve">) lệnh ok
2200001793 - 1793.T11.2024/HPDQ-HPC-KH - 85T - Phú Mỹ
</t>
    </r>
    <r>
      <rPr>
        <sz val="16"/>
        <color rgb="FFFF0000"/>
        <rFont val="Times New Roman"/>
        <family val="1"/>
      </rPr>
      <t>Dỡ Tân Thuận -&gt; Posco -&gt; Phú Mỹ</t>
    </r>
  </si>
  <si>
    <t>- 2484: ok
- 2468: ok
- 2470: ok
- 2485: spot ok
- 2447: ok
- 2450: ok
- 2467: ok
- 2448: ok
- 2429: ok 
- 2464: ok
- 2474: ok
- 2475: ok
- 1793: ok</t>
  </si>
  <si>
    <t>20h00 05/12 Bến 1</t>
  </si>
  <si>
    <t>2000002489 - 220.TDA - 1.500T - Tân Thuận      Hàng hóa ok
2000002483 - 239.JFE - 1.500T - Tân Thuận        Hàng hóa ok
2200001798 - 1798.T12.2024/HPDQ-OTBD 720TAN  - Long Bình                 Hàng hóa ok</t>
  </si>
  <si>
    <t>07-08.12.2024</t>
  </si>
  <si>
    <t>07/12 Bến Tàu Lai</t>
  </si>
  <si>
    <t>2000002488 - PVN T11 - 3.000T - Posco      LSD 5/1/2025              (sx 28/11-4/12) Lệnh OK
2000002453 - TVP - 600T - Cẩm Nguyên   (LSD 15/12) (5-6/12 Nhập Kho) Lệnh ok
2000002491- 227.IDC - 550T - Cẩm Nguyên   hàng hóa ok</t>
  </si>
  <si>
    <t>2488: ok
2453: ok (đã ship 4443, còn lại 488t thôi)
2491: ok</t>
  </si>
  <si>
    <t>03-04.12.2024</t>
  </si>
  <si>
    <t>18h00 08/12 Bến 5</t>
  </si>
  <si>
    <r>
      <rPr>
        <sz val="14"/>
        <color rgb="FF000000"/>
        <rFont val="Times New Roman"/>
        <family val="1"/>
      </rPr>
      <t xml:space="preserve">2000002493 - HSNS - 5.800T  - Nghi Sơn  - </t>
    </r>
    <r>
      <rPr>
        <sz val="14"/>
        <color rgb="FFFF0000"/>
        <rFont val="Times New Roman"/>
        <family val="1"/>
      </rPr>
      <t>Cân tải</t>
    </r>
    <r>
      <rPr>
        <sz val="14"/>
        <color rgb="FF000000"/>
        <rFont val="Times New Roman"/>
        <family val="1"/>
      </rPr>
      <t xml:space="preserve">                   
2200001786 - 1786.T11/2024/HPDQ-OTHY - KH - 6.500 TAN    </t>
    </r>
    <r>
      <rPr>
        <sz val="14"/>
        <color rgb="FFFF0000"/>
        <rFont val="Times New Roman"/>
        <family val="1"/>
      </rPr>
      <t xml:space="preserve">        
</t>
    </r>
    <r>
      <rPr>
        <sz val="14"/>
        <color rgb="FF000000"/>
        <rFont val="Times New Roman"/>
        <family val="1"/>
      </rPr>
      <t xml:space="preserve">2200001797 - 1797.T12.2024/HPDQ-OTHY 873TAN      Hàng hóa ok
2200001795 - 1795.T12.2024/HPDQ-OTHY 3,687TAN   Hàng hóa ok 
2000002486 - 211.T10.2024.HPDQ-TCĐ - 2.000T                          Hàng hóa ok                                                                                              
2200001789 - 1789.T11.2024/HPDQ-THP 112TAN -xếp trên cùng cảng HP để dỡ trước 
2000002462 - Vinas - 2.700T   (sx 28/11-4/12)
2000002473 - TVĐ - 1.050T  - LSD 31/12 - lệnh ok    hàng hóa ok
2000002446 - Hùng Nguyên - 500T (sx 28/11-4/12)
2000002471 - 1000T - LSD 30/12 - NHẬT QUANG - Hải Phòng - Lệnh ok        
</t>
    </r>
    <r>
      <rPr>
        <sz val="14"/>
        <color rgb="FFFF0000"/>
        <rFont val="Times New Roman"/>
        <family val="1"/>
      </rPr>
      <t>Dỡ Nghi Sơn -&gt; Hải Phòng</t>
    </r>
  </si>
  <si>
    <t>10.12.2024
NEO</t>
  </si>
  <si>
    <t>16h00 10/12 Bến 5/10</t>
  </si>
  <si>
    <r>
      <rPr>
        <sz val="14"/>
        <color rgb="FF000000"/>
        <rFont val="Times New Roman"/>
        <family val="1"/>
      </rPr>
      <t xml:space="preserve">2000002494 - HSQN - 8.000 - Quy Nhơn   (sx 28/11-4/12) Đi hết tàu này , 
</t>
    </r>
    <r>
      <rPr>
        <sz val="14"/>
        <color rgb="FFFF0000"/>
        <rFont val="Times New Roman"/>
        <family val="1"/>
      </rPr>
      <t>Tàu đi thiếu tải</t>
    </r>
  </si>
  <si>
    <t>hang hóa ok.</t>
  </si>
  <si>
    <t>10.12.2024
Trưa 10.12 chạy từ Đà Nẵng về</t>
  </si>
  <si>
    <t>19h00 10/12 Bến Tàu lai</t>
  </si>
  <si>
    <r>
      <rPr>
        <sz val="14"/>
        <color rgb="FF000000"/>
        <rFont val="Times New Roman"/>
        <family val="1"/>
      </rPr>
      <t xml:space="preserve">2200001780 - 3.716T 
</t>
    </r>
    <r>
      <rPr>
        <sz val="14"/>
        <color rgb="FFFF0000"/>
        <rFont val="Times New Roman"/>
        <family val="1"/>
      </rPr>
      <t xml:space="preserve">Ưu tiên xuất hàng: 3.0x123X SAE1017 - 217T
                               3.45x123X SAE1017 - 435T
                               3.95x123X SAE1017 - 200T
Còn lại bao nhiêu lấy hàng khác ở SO này cân tải
</t>
    </r>
    <r>
      <rPr>
        <sz val="14"/>
        <color rgb="FF000000"/>
        <rFont val="Times New Roman"/>
        <family val="1"/>
      </rPr>
      <t xml:space="preserve">2200001799 - 234T (xuất </t>
    </r>
    <r>
      <rPr>
        <sz val="14"/>
        <color rgb="FFFF0000"/>
        <rFont val="Times New Roman"/>
        <family val="1"/>
      </rPr>
      <t>4.00x124X SAE1006</t>
    </r>
    <r>
      <rPr>
        <sz val="14"/>
        <color rgb="FF000000"/>
        <rFont val="Times New Roman"/>
        <family val="1"/>
      </rPr>
      <t xml:space="preserve"> trên tàu này) </t>
    </r>
  </si>
  <si>
    <t>11.12.2024</t>
  </si>
  <si>
    <t>16h00 11/12 Bến 2</t>
  </si>
  <si>
    <r>
      <rPr>
        <sz val="14"/>
        <color rgb="FF000000"/>
        <rFont val="Times New Roman"/>
        <family val="1"/>
      </rPr>
      <t xml:space="preserve">2000002492 - VNO 95F - 1600T - Cẩm Nguyên (LSD: 15/12)             Hàng hóa ok  - lệnh ok
2000002504 - 270A.JFE - 2.000T - Tân Thuận                                       Hàng hóa ok
2200001798 - 1798.T12.2024/HPDQ-OTBD 770T  - Long Bình           Hàng hóa ok
</t>
    </r>
    <r>
      <rPr>
        <sz val="14"/>
        <color rgb="FFFF0000"/>
        <rFont val="Times New Roman"/>
        <family val="1"/>
      </rPr>
      <t>Dỡ Cẩm Nguyên -&gt; Tân Thuận -&gt; Long Bình</t>
    </r>
  </si>
  <si>
    <t>VIỆT THUẬN 30-06</t>
  </si>
  <si>
    <t>17.12.2024
Tàu không hạn chế, chạy gió được</t>
  </si>
  <si>
    <t>17/12 Bến 5</t>
  </si>
  <si>
    <t>TRƯA 20/12 LÀ PHẢI CUT OFF TÀU NÀY ĐỂ CHO TÀU CHẠY ĐI TRẢ HÀNG
(DỰ KIẾN XUẤT KHOẢNG 23.000 - 25.000 TẤN)</t>
  </si>
  <si>
    <t>2200001780 - 1780.T11/2024/HPDQ-THP-KH - 2.000T           Hàng hóa ok 
2200001794 - 1794.T12.2024/HPDQ-THP  5.700T                   Hàng hóa ok
2200001803 - 1803.T12.2024/HPDQ-NMCN - 3,451T             Hàng hóa ok
2200001802 - 1802.T12.2024/HPDQ-OTHY - 4,731T              Hàng hóa ok
2200001800 - 1800.T12.2024/HPDQ-THP - 800T                     Hàng hóa ok
2000002443 - KKBV - 2500T  lệnh ok                                       Hàng hóa ok
2200001799 - 1799.T12/2024/HPDQ-THP-KH - 6.000T  cân tải          Hàng hóa ok</t>
  </si>
  <si>
    <t>19-20.12.2024
Dỡ đá -&gt; nhận HRC</t>
  </si>
  <si>
    <t>18/12 Bến Tàu lai</t>
  </si>
  <si>
    <t>2000002503 - 4.130T - Tây Nam T11 - Thiên Lộc Thành - cân tải            Hàng hóa ok
2200001798 - 1798.T12.2024/HPDQ-OTBD 500TAN  - Long Bình - xuất hết       Hàng hóa ok</t>
  </si>
  <si>
    <t>18.12.2024
Đang chạy về</t>
  </si>
  <si>
    <t>19h00 18/12 Bến 1</t>
  </si>
  <si>
    <t>2200001799 - 1799.T12/2024/HPDQ-THP-KH - 3.300T          Hàng hóa ok</t>
  </si>
  <si>
    <t>Ok</t>
  </si>
  <si>
    <t>21.12.2024
Dỡ đá -&gt; nhận HRC</t>
  </si>
  <si>
    <t>10h00 20/12 Bến Tàu lai</t>
  </si>
  <si>
    <t>2000002493 -  237.T11 (Nghi Sơn) Hoa Sen - 3.500T: phải có khổ 123x và 126x (load cuối cùng)</t>
  </si>
  <si>
    <t>21.12.2024</t>
  </si>
  <si>
    <t>15h00 23/12 Bến 5/10</t>
  </si>
  <si>
    <t>Cho tàu vào càng sớm càng tốt giúp em ạ
NGÀY NÀO KHÁCH CŨNG ĐÒI HÀNG RỒI Ạ!!!
Chốt lệnh</t>
  </si>
  <si>
    <t>2000002505 - 270A.JFE - 1.000T - Tân Thuận
Nam Kim - 7.500T - Tân Thuận (sx 5-12/12) 
2000002507 - 4000t / 2000002508 - 2000t / 2000002509 - 1000t / 2000002511 - 500t (lệnh ok)
2000002458 - 3.000T - QHP 225B- Tân Thuận - Lệnh ok   Hàng hóa ok (LSD: 31/12)
2000002457 - 2.000T - QHP 225A- Tân Thuận       Lệnh ok            Hàng hóa ok   (LSD: 31/12)
2000002512 - 100T - TL T11 - Tân Thuận Lệnh ok (LSD: 31/12) (xuất hết mapping)
2000002498 - SEAH T11 - 500T - Tân Thuận - LSD 05/01/2025 - lệnh ok, 23-24/12 nk
2000002476 - Tiến Lợi 234A - 2500T - Phú Mỹ - LSD 05/1/25 - Hàng hóa ok lệnh ok (xuất hoá đơn càng sớm càng tốt) 
2000002490 - CSVC - 500T - Phú Mỹ   Lệnh ok     Hàng hóa ok
2000002517 - TVN 230C - 1.250T - Phú Mỹ - giao trong T12 - (sx 2b) lệnh ok (khách yc xuất đủ 3 size hàng, xuất 500t size 2.3 - 500t size 2.45 - còn lại xuất 250t size 2.5 )
Dỡ Tân Thuận -&gt; Phú Mỹ</t>
  </si>
  <si>
    <t>2505: OK 
2507: OK
2508: Ok  
2509: OK
2511: OK
2512: OK
2457: OK 
2476: OK  
2490: OK  
2498: Ok
2517: ok</t>
  </si>
  <si>
    <r>
      <rPr>
        <sz val="14"/>
        <color rgb="FF000000"/>
        <rFont val="Times New Roman"/>
        <family val="1"/>
      </rPr>
      <t xml:space="preserve">26.12.2024
</t>
    </r>
    <r>
      <rPr>
        <sz val="14"/>
        <color rgb="FFFF0000"/>
        <rFont val="Times New Roman"/>
        <family val="1"/>
      </rPr>
      <t>Đang chạy về DQ</t>
    </r>
  </si>
  <si>
    <t>26/12 Bến 2</t>
  </si>
  <si>
    <t>Xuất hết trong tháng 12
Chốt lệnh</t>
  </si>
  <si>
    <r>
      <rPr>
        <sz val="14"/>
        <color rgb="FF000000"/>
        <rFont val="Times New Roman"/>
        <family val="1"/>
      </rPr>
      <t xml:space="preserve">2200001799 - 1799.T12/2024/HPDQ-THP-KH - 4.400T - Hải Phòng      Hàng hóa ok
</t>
    </r>
    <r>
      <rPr>
        <sz val="14"/>
        <color rgb="FFFF0000"/>
        <rFont val="Times New Roman"/>
        <family val="1"/>
      </rPr>
      <t xml:space="preserve">Ưu tiên:
4.0x1222 SAE1006: 240t
3.95x1260 SAE1006: 500t
3.95x1270 SAE1006: 530t
2.05x1260 SAE1006 skp: 880t
2.35x1260 SAE1006 skp: 270t
2.55x1260 SAE1006 skp: 220t
2.45x1262 SAE1017 skp: 1,100t
</t>
    </r>
    <r>
      <rPr>
        <sz val="14"/>
        <color rgb="FF000000"/>
        <rFont val="Times New Roman"/>
        <family val="1"/>
      </rPr>
      <t>hàng ưu tiên đã mapping bao nhiêu thì xuất, Còn lại xuất hàng khổ 1212 trong lệnh</t>
    </r>
  </si>
  <si>
    <t>Sẵn hàng 10k tấn, map lũy kế 19k/22k</t>
  </si>
  <si>
    <t>26/12 Bến Tàu lai</t>
  </si>
  <si>
    <t>2200001810 - 1810.T12.2024/HPDQ-OTBD - 47T  - xuất hết                                          Hàng hóa ok
2200001757 - OTBD -  370T - Long Bình  - xuất hết                                                       Hàng hóa ok
2200001809 - 1809.T12.2024/HPDQ-OTBD - 800T - Long Bình - xuất hết                   Hàng hóa ok
2000002502 - 2.174T - Tây Nam T11 - Thiên Lộc Thành    (LSD: 05/01)       
Ghép thép XD - cân tải</t>
  </si>
  <si>
    <t>1757:ok
1809:ok
2502: ok</t>
  </si>
  <si>
    <t>27/12 Bến C.TH</t>
  </si>
  <si>
    <t xml:space="preserve">2000002503 - 900T - Tây Nam T11 - Thiên Lộc Thành (LSD: 05/01) - xuất hết              Hàng hóa ok
2000002502 - 2.826T - Tây Nam T11 - Thiên Lộc Thành - cân tải (LSD: 05/01) </t>
  </si>
  <si>
    <t>2503: ok
2502: ok</t>
  </si>
  <si>
    <r>
      <rPr>
        <sz val="14"/>
        <color rgb="FF000000"/>
        <rFont val="Times New Roman"/>
        <family val="1"/>
      </rPr>
      <t xml:space="preserve">27-28.12.2024
</t>
    </r>
    <r>
      <rPr>
        <sz val="14"/>
        <color rgb="FFFF0000"/>
        <rFont val="Times New Roman"/>
        <family val="1"/>
      </rPr>
      <t>Từ Quy Nhơn về</t>
    </r>
  </si>
  <si>
    <t>27/12 Bến 3</t>
  </si>
  <si>
    <t>2000002516 - 230B KKNH - Cẩm Nguyên - 2000T - LSD 05/1 - lệnh ok
2000002518 - 230D TVN - Phú Mỹ - 2.000T - LSD 05/1 - lệnh ok
Ghép thép XD cân tải</t>
  </si>
  <si>
    <t xml:space="preserve">
20*2516: ok
20*2518: ok 
</t>
  </si>
  <si>
    <t>27.12.2024</t>
  </si>
  <si>
    <t>28/12 Bến 5</t>
  </si>
  <si>
    <t>2000002506 - 253.T12 (Nghi Sơn) Hoa Sen - 12.000 tấn 
2000002493 -  237.T11 (Nghi Sơn) Hoa Sen - 900 tấn Hàng hóa ok</t>
  </si>
  <si>
    <t>- 2493: ok
- 2506 ok</t>
  </si>
  <si>
    <t>ĐẠI THẮNG 88</t>
  </si>
  <si>
    <t>28-29.12.2024
Dỡ đá -&gt; nhận HRC</t>
  </si>
  <si>
    <t>28/12 Bến 5/10</t>
  </si>
  <si>
    <r>
      <rPr>
        <sz val="14"/>
        <color rgb="FF000000"/>
        <rFont val="Times New Roman"/>
        <family val="1"/>
      </rPr>
      <t xml:space="preserve">2000002519 - MISV 233C (OTSG) - 1200T - Hải Phòng   Hàng hóa ok - lệnh ok  
LSD 10/1/25 </t>
    </r>
    <r>
      <rPr>
        <b/>
        <sz val="14"/>
        <color rgb="FFFF0000"/>
        <rFont val="Times New Roman"/>
        <family val="1"/>
      </rPr>
      <t xml:space="preserve">(xuất hết size 3.0x1230)
</t>
    </r>
    <r>
      <rPr>
        <sz val="14"/>
        <color rgb="FF000000"/>
        <rFont val="Times New Roman"/>
        <family val="1"/>
      </rPr>
      <t>2000002520 - MISV 233D (OTSG) - 2400T - Hải Phòng - Lấy tồn kho - lệnh ok 
LSD 10/1/25</t>
    </r>
  </si>
  <si>
    <r>
      <rPr>
        <sz val="14"/>
        <color rgb="FF000000"/>
        <rFont val="Times New Roman"/>
        <family val="1"/>
      </rPr>
      <t xml:space="preserve">31.12.2024
</t>
    </r>
    <r>
      <rPr>
        <sz val="14"/>
        <color rgb="FFFF0000"/>
        <rFont val="Times New Roman"/>
        <family val="1"/>
      </rPr>
      <t>Tàu vừa chạy vừa trú gió về</t>
    </r>
  </si>
  <si>
    <t>30/12 Bến 5</t>
  </si>
  <si>
    <t>2200001799 - 1799.T12/2024/HPDQ-THP-KH - 3.000T - Hải Phòng - cân tải     Hàng hóa ok
2200001808 - 1808.T12.2024/HPDQ-NMCN - 3000tan                         Hàng hóa ok
2200001804 - 1804.T12.2024/HPDQ-THP - 2.460tan                            Hàng hóa ok
2200001807 - 1807.T12.2024/HPDQ-OTHY - 3.200tan                         Hàng hóa ok
2000002524 - Citicom - 400T                                                                  Hàng hóa ok</t>
  </si>
  <si>
    <t>1799: đã map lũy kế 19k
Citicom: Ok</t>
  </si>
  <si>
    <r>
      <rPr>
        <sz val="14"/>
        <color rgb="FF000000"/>
        <rFont val="Times New Roman"/>
        <family val="1"/>
      </rPr>
      <t xml:space="preserve">31.12.2024
</t>
    </r>
    <r>
      <rPr>
        <sz val="14"/>
        <color rgb="FFFF0000"/>
        <rFont val="Times New Roman"/>
        <family val="1"/>
      </rPr>
      <t>Sáng 30/12 bắt đầu chạy từ Quy Nhơn về</t>
    </r>
  </si>
  <si>
    <t>31/12 Bến C.TH</t>
  </si>
  <si>
    <r>
      <rPr>
        <sz val="14"/>
        <color rgb="FF000000"/>
        <rFont val="Times New Roman"/>
        <family val="1"/>
      </rPr>
      <t xml:space="preserve">2000002515 - KKNH 230A - 2000T - Cẩm Nguyên - giao trong T12  (sx 2b) lệnh ok  Hàng hóa ok
2000002517 - TVN 230C - 1.750T - Phú Mỹ - giao trong T12 - lệnh ok  </t>
    </r>
    <r>
      <rPr>
        <sz val="14"/>
        <color rgb="FFFF0000"/>
        <rFont val="Times New Roman"/>
        <family val="1"/>
      </rPr>
      <t xml:space="preserve"> (xuất 1750T size 2.5)</t>
    </r>
  </si>
  <si>
    <t xml:space="preserve">2515:ok 
2517: ok </t>
  </si>
  <si>
    <t>31.12.2024
Đang chạy rỗng về nhận hàng</t>
  </si>
  <si>
    <t>31/12 Bến 3/5</t>
  </si>
  <si>
    <t>2000002519 - MISV 233C (OTSG) - 600T - Hải Phòng (size 2.0 - xuất hết maping)
2000002520 - MISV 233D (OTSG) - 730T - Hải Phòng (size 2.5 xuất hết maping)
2200001806 - 1806.T12.2024/HPDQ-OTHY - 4.600 tan    cân tải                     Hàng hóa ok</t>
  </si>
  <si>
    <t>31.12.2024
Từ Quy Nhơn về</t>
  </si>
  <si>
    <t>2000002521 - CSVC T12 - 500T - Phú Mỹ - LSD 30/12/2024 - dự kiến 26/12 duyệt lệnh
2000002514 - CSVC T11 - 500T - Phú Mỹ - LSD 05/01/2025 - lệnh ok
2000002518 - 230D TVN - Phú Mỹ - 1.000T - LSD 05/1 - lệnh ok (xuất lượng &gt;1000T, dung sai 10%)
2000002488 - PVN T11 - 2.000T - Posco   LSD 5/1/2025 - Lệnh OK</t>
  </si>
  <si>
    <t xml:space="preserve">
2521: Ok- chốt mapping
2514: ok- chốt mapping
2518: ok
2488: ok - chốt mapping</t>
  </si>
  <si>
    <t>c</t>
  </si>
  <si>
    <t>CẬP NHẬT TÌNH HÌNH XUẤT HÀNG HRC THÁNG 07/2023</t>
  </si>
  <si>
    <t>01/07
Dỡ quặng xong sang lấy HRC</t>
  </si>
  <si>
    <t>Chiều 01/07 Bến 5/10</t>
  </si>
  <si>
    <t>2000001796 - HOA SEN (Hàng hóa ok) chỉ được xuất âm 2.0-2.3x1230 các mã khác phải đủ
Xuất hàng 2.0x1212 sau cùng để dỡ đầu tiên</t>
  </si>
  <si>
    <t>02/07</t>
  </si>
  <si>
    <t>02/07 Bến 1</t>
  </si>
  <si>
    <t>2000001796 - HOA SEN (Hàng hóa ok) chỉ được xuất âm 2.0-2.3x1230 các mã khác phải đủ</t>
  </si>
  <si>
    <t>02/07 Bến 5</t>
  </si>
  <si>
    <t>2200001365 - OTHY 4000T  (Hàng đã sản xuất đang chờ MAP)
2200001366 - OTHY đi hết  (Hàng hóa ok)
2200001352 - THP 966T cân tải  (Hàng hóa ok)
2200001353 - THP 180T  (Hàng hóa ok)</t>
  </si>
  <si>
    <t>12h00 05/07 Bến 1</t>
  </si>
  <si>
    <t>2200001364 - OTBD - 2000T (Hang hóa ok)
2200001359 - OTBD 300T (Hang hóa ok)
2200001370 - OTBD 1600T (Hang hóa ok)
đi hết hàng 3 lệnh này tàu thiếu tải không vấn đề gì</t>
  </si>
  <si>
    <t>02h00 08/07 Bến 2</t>
  </si>
  <si>
    <t>Xong hàng HRC</t>
  </si>
  <si>
    <r>
      <rPr>
        <sz val="14"/>
        <color rgb="FF000000"/>
        <rFont val="Times New Roman"/>
        <family val="1"/>
      </rPr>
      <t xml:space="preserve">2000001805 - TĐA - 2.000 mts - Phú Mỹ (Dự kiến chiều 7/7 NK)
2000001800 - VISA 1000MT - Lệnh ok - Tân Thuận (Đã sản xuất chiều 9 NK)
</t>
    </r>
    <r>
      <rPr>
        <sz val="14"/>
        <color rgb="FFFF0000"/>
        <rFont val="Times New Roman"/>
        <family val="1"/>
      </rPr>
      <t>1.170mts thép cuộn Hưng Yên - Liên hệ Mr Tú - Tân Thuận - cân tải (Hàng hóa ok)</t>
    </r>
  </si>
  <si>
    <t>LMZ EUROPA</t>
  </si>
  <si>
    <t>06.07.2023</t>
  </si>
  <si>
    <t>11h 06/07 Bến 5</t>
  </si>
  <si>
    <t>2400000132 - cần gắn CE marking
2400000133
Đã MAP 7K3 + (13.00 tấn mùng 6 NK) + (8K8 dự kiến mùng 8 NK)</t>
  </si>
  <si>
    <t>1 lệnh có nhãn phụ</t>
  </si>
  <si>
    <t>07.07.2023</t>
  </si>
  <si>
    <t>Ben-line</t>
  </si>
  <si>
    <t>12h 07/07 Bến 5/10</t>
  </si>
  <si>
    <t>2400000099 - 1,800,000 (Hàng hóa ok)
2400000112 - 400,000 (Hàng hóa ok)
2400000100 - 800,000 (Hàng hóa ok)
2400000113 - 800,000 (Hàng hóa ok)
2400000101 - 6,200,000 (Hàng hóa ok)</t>
  </si>
  <si>
    <t>Ghép vs WR</t>
  </si>
  <si>
    <t>09/07 Bến 1</t>
  </si>
  <si>
    <t>2000001798 Hoa Sen - 3.000 mts  Khổ 1230 ngày 7/7 sx-200 tấn khổ 1200 dự kiến ca đêm mùng 8 sx</t>
  </si>
  <si>
    <t>GLORY MAJESTY</t>
  </si>
  <si>
    <t>HOYE</t>
  </si>
  <si>
    <t>6h 10/07 Bến 6</t>
  </si>
  <si>
    <t>2400000148 - SI (SUNRISE)    (Hàng hóa ok)
2400000147 - SI (ALEXINDO)    (Hàng hóa ok)</t>
  </si>
  <si>
    <t>có nhãn phụ, KHAI HỘ CON NÀY NHÉ</t>
  </si>
  <si>
    <t>10/7
Quay đầu HP về</t>
  </si>
  <si>
    <t>10/07 Bến 3</t>
  </si>
  <si>
    <r>
      <rPr>
        <sz val="14"/>
        <color rgb="FF000000"/>
        <rFont val="Times New Roman"/>
        <family val="1"/>
      </rPr>
      <t xml:space="preserve">3880T hàng gửi kho liên hệ anh Danh xuất hết tồn
2200001367 - OTHY 130T (Hàng hóa ok)
2200001372 - OTHY  1077T   (Hàng hóa ok)
2200001352 - THP 390T     (Hàng hóa ok)
2200001358 - THP 1015T    (Hàng hóa ok) </t>
    </r>
    <r>
      <rPr>
        <sz val="14"/>
        <color rgb="FFFF0000"/>
        <rFont val="Times New Roman"/>
        <family val="1"/>
      </rPr>
      <t xml:space="preserve">(Cân tải)
</t>
    </r>
    <r>
      <rPr>
        <sz val="14"/>
        <color rgb="FF000000"/>
        <rFont val="Times New Roman"/>
        <family val="1"/>
      </rPr>
      <t>2200001373 - THP 343T    (Hàng hóa ok)</t>
    </r>
  </si>
  <si>
    <t>14/07
NEO</t>
  </si>
  <si>
    <t>15/07 Bến 1</t>
  </si>
  <si>
    <t>xong tàu</t>
  </si>
  <si>
    <t>2000001817 - Nhật Quang 1000T - hàng hóa ok - lệnh ok
2000001816 - MI (Thuận Phát) - 2.000T - 13/7 sx - lệnh ok
2000001818 - Trường Thành - 800T - hàng hóa ok - lệnh ok</t>
  </si>
  <si>
    <t>08/07
Quay đầu từ Nghi Sơn về</t>
  </si>
  <si>
    <t>10/07 Bến 2</t>
  </si>
  <si>
    <t>20000001798 2.000mts - Hoa Sen (Khổ 1260 chiều mùng 7 NK + Khổ 1230 ngày 7/7 sx)
2000001806 - 200mts - PVX ( Chiều 10 NK) - lệnh ok
2000001807 - 300mts - PVX - Lệnh ok ( Chiều 10 NK) 
2000001801, 1802 The One - 600mts - Phú Mỹ ( có 100t 2.00x1212 chiều 10 NK)
2000001795 - SMCCK - 200mts (Hàng đã sx xong 3/7 NK) - Lệnh ok</t>
  </si>
  <si>
    <t>Đang dỡ đá 
tại Cảng
 20h00 13/07</t>
  </si>
  <si>
    <t>14/07 Bến 2</t>
  </si>
  <si>
    <t>2200001377 - NMCN 1174T ( hàng hóa ok)
2200001375 - OTHY cân tải   ( hàng hóa ok)</t>
  </si>
  <si>
    <t>PAC SHARON</t>
  </si>
  <si>
    <t>12.07.2023</t>
  </si>
  <si>
    <t>16h 13/07 Bến 10</t>
  </si>
  <si>
    <r>
      <rPr>
        <sz val="14"/>
        <color rgb="FF000000"/>
        <rFont val="Times New Roman"/>
        <family val="1"/>
      </rPr>
      <t xml:space="preserve">2400000134 - 2.00x1015 - BLUE    (Hàng hóa ok)
2400000135 - 2.00x1267 - YELLOW   (Hàng hóa ok)
</t>
    </r>
    <r>
      <rPr>
        <sz val="14"/>
        <color rgb="FFFF0000"/>
        <rFont val="Times New Roman"/>
        <family val="1"/>
      </rPr>
      <t xml:space="preserve">2400000136 </t>
    </r>
    <r>
      <rPr>
        <sz val="14"/>
        <color rgb="FF000000"/>
        <rFont val="Times New Roman"/>
        <family val="1"/>
      </rPr>
      <t xml:space="preserve">- 2.00x1517 - RED   (Hàng hóa ok)
2400000137 - 2.50x1015 - BLUE &amp; YELLOW   (Hàng hóa ok)
2400000138 - 2.50x1267 - BLUE &amp; RED  (Hàng hóa ok)
</t>
    </r>
    <r>
      <rPr>
        <sz val="14"/>
        <color rgb="FFFF0000"/>
        <rFont val="Times New Roman"/>
        <family val="1"/>
      </rPr>
      <t xml:space="preserve">2400000139 </t>
    </r>
    <r>
      <rPr>
        <sz val="14"/>
        <color rgb="FF000000"/>
        <rFont val="Times New Roman"/>
        <family val="1"/>
      </rPr>
      <t>- 2.50x1517 - RED &amp;  YELLOW  (Hàng hóa ok)</t>
    </r>
  </si>
  <si>
    <t>Có colormark, khi xuất hàng nhớ gọi KCS dán nhé ạ</t>
  </si>
  <si>
    <t>TITANAS</t>
  </si>
  <si>
    <t>14.07.2023</t>
  </si>
  <si>
    <t>6h 15/07 Bến 6</t>
  </si>
  <si>
    <t>Liverpool
Bilbao</t>
  </si>
  <si>
    <t>2400000157 - MANUCHAR STEEL NV - BILBAO, SPAIN (Đã MAP 847T + 125T dự kiến mùng 8 NK)
2400000158 - MANUCHAR STEEL NV - BILBAO, SPAIN  (Hàng hóa ok)
2400000140 - CVACEROS - BILBAO, SPAIN  (Hàng hóa ok)
2400000144 - Thyssen - BILBAO, SPAIN  (Hàng hóa ok) - x
2400000145 - Thyssen - BILBAO, SPAIN (Hàng hóa ok) - x
2400000154 - EP Steel - BILBAO, SPAIN  (Hàng hóa ok)
2400000155 - EP Steel - BILBAO, SPAIN  (Đã MAP 265T + 25T dự kiến mùng 8 NK)
2400000156 - EP Steel - LIVERPOOL  (Hàng hóa ok)
2400000152 - INDO INTERTRADE AG - BILBAO, SPAIN (Đã MAP 425T + 50T dự kiến mùng 8 NK)
2400000172 - SteelForce - BILBAO, SPAIN   (Hàng hóa ok) - x
2400000168 - INTERFER EDELSTAHL - LIVERPOOL  (Hàng hóa ok)
2400000146 - STEELINVEST (JERSEY) LTD - BILBAO, SPAIN (Hàng hóa ok) - x
2400000143 - SALZGITTER - LIVERPOOL (Hàng hóa ok)</t>
  </si>
  <si>
    <t>Có nhãn phụ+ nhãn màu (lệnh: 154,155,157,158)</t>
  </si>
  <si>
    <t xml:space="preserve">INLACO ACCORD </t>
  </si>
  <si>
    <r>
      <rPr>
        <sz val="14"/>
        <color rgb="FFFF0000"/>
        <rFont val="Times New Roman"/>
        <family val="1"/>
      </rPr>
      <t xml:space="preserve">17h 13/07 Bến 5 </t>
    </r>
    <r>
      <rPr>
        <sz val="14"/>
        <color rgb="FF000000"/>
        <rFont val="Times New Roman"/>
        <family val="1"/>
      </rPr>
      <t>=&gt; đẩy vào tầm 12-13/7 vì hàng chưa xong (không được báo với tàu thông tin này)</t>
    </r>
  </si>
  <si>
    <t>xong hàng</t>
  </si>
  <si>
    <t xml:space="preserve">2400000170 - KBI 68A L
2400000165 - KBI 68A
2400000178  - KBI 68A H (DÁN NHÃN MÀU)
2400000171 - KBI 68B L
2400000166 - KBI 68B
2400000179 - KBI 68B H (DÁN NHÃN MÀU)
</t>
  </si>
  <si>
    <t>CÓ NHÃN PHỤ,  BỐ TRÍ HÀNG HÓA THEO CỤM 3 LỆNH CÙNG 1 KHU VỰC ĐỂ TIỆN DỠ HÀNG</t>
  </si>
  <si>
    <t>SILVER LUCKY</t>
  </si>
  <si>
    <t>20h20 ngày 15/07 
Bến 5</t>
  </si>
  <si>
    <t>2400000149 - Lot 1 - AMI - 6800MT -  BL01   (Hàng hóa ok)
2400000150 - Lot 2 - AMI - 2800MT - BL02  (Hàng hóa ok)
2400000151 - Lot 3 - AMI - 1250MT - BL03 (Hàng hóa ok)</t>
  </si>
  <si>
    <t xml:space="preserve">có nhãn phụ
Chiều mai NK đủ </t>
  </si>
  <si>
    <t>15/07
NEO</t>
  </si>
  <si>
    <t>17/07 Bến 5</t>
  </si>
  <si>
    <t>2000001820 - Nam Kim - 4.500mts - Tân Thuận  (Hàng hóa ok)
2000001819 - TĐA - 5.000 mts ( (Hàng hóa ok) - Phú Mỹ
2200001315  - THP - 1.450mts - Phú Mỹ   (Hàng hóa ok)
2200001378 - THP - 70mts - Phú mỹ (Hàng hóa ok)</t>
  </si>
  <si>
    <t>15/7
NEO</t>
  </si>
  <si>
    <t>21h00 18/07 Bến 2</t>
  </si>
  <si>
    <t>2200001358 - THP 850T  (Hàng hóa ok)
2200001379 - THP 115T  (Hàng hóa ok)
2200001371 - OTHY 218T   (Hàng hóa ok)
2200001375 - OTHY 650T cân tải   (Hàng hóa ok)
2200001376 - OTHY 150T  (Hàng hóa ok)
2200001384 - OTHY 880T (Hàng hóa có sẵn chờ MAP)
2200001381 - THP 90T  (Hàng hóa có sẵn chờ MAP)</t>
  </si>
  <si>
    <t>20/7
Dỡ đá</t>
  </si>
  <si>
    <t>18h00 21/07 Bến 5</t>
  </si>
  <si>
    <r>
      <rPr>
        <sz val="14"/>
        <color rgb="FF000000"/>
        <rFont val="Times New Roman"/>
        <family val="1"/>
      </rPr>
      <t xml:space="preserve">2000001824 - Citicom - 325T - 17/7 sx (22NK) lệnh này sáng 22/7 duyệt ạ
2200001380 - THP - 3250T  (Hàng hóa ok)
2000001826 - Vinas - 600T  (22NK)
</t>
    </r>
    <r>
      <rPr>
        <sz val="14"/>
        <color rgb="FFFF0000"/>
        <rFont val="Times New Roman"/>
        <family val="1"/>
      </rPr>
      <t>2200001383 - OTHY cân tải 75 tấn nữa nhé</t>
    </r>
  </si>
  <si>
    <t>COMMON GALAXY</t>
  </si>
  <si>
    <t>23.07.2023</t>
  </si>
  <si>
    <t>23/07 Bến 5</t>
  </si>
  <si>
    <t>Antwerp
Cartagena</t>
  </si>
  <si>
    <r>
      <rPr>
        <sz val="14"/>
        <color rgb="FFFF0000"/>
        <rFont val="Times New Roman"/>
        <family val="1"/>
      </rPr>
      <t>2400000173 - 62.2023/HPDQ-CAS</t>
    </r>
    <r>
      <rPr>
        <sz val="14"/>
        <color rgb="FF000000"/>
        <rFont val="Times New Roman"/>
        <family val="1"/>
      </rPr>
      <t xml:space="preserve"> - 2000mt (Hàng hóa ok) - - CARTAGENA
2400000180 - 74.2023/HPDQ-SI - 100mt  (Hàng hóa ok) - TS STEEL ANTWERP
2400000181 - 74.2023/HPDQ-EUSIDER - 400mt (Hàng hóa ok) - ANTWERP
</t>
    </r>
    <r>
      <rPr>
        <sz val="14"/>
        <color rgb="FFFF0000"/>
        <rFont val="Times New Roman"/>
        <family val="1"/>
      </rPr>
      <t xml:space="preserve">2400000174 - 82.2023/HPDQ-CAS </t>
    </r>
    <r>
      <rPr>
        <sz val="14"/>
        <color rgb="FF000000"/>
        <rFont val="Times New Roman"/>
        <family val="1"/>
      </rPr>
      <t xml:space="preserve">- 200mt (Hàng hóa ok) - CARTAGENA
</t>
    </r>
    <r>
      <rPr>
        <sz val="14"/>
        <color rgb="FFFF0000"/>
        <rFont val="Times New Roman"/>
        <family val="1"/>
      </rPr>
      <t xml:space="preserve">2400000176 - 87.2023/HPDQ-HPI(A) - 500mt (Hàng hóa ok) - ANTWERP
2400000177 - 87.2023/HPDQ-HPI(B) - 925mt (Hàng hóa ok)  - ANTWERP
</t>
    </r>
    <r>
      <rPr>
        <sz val="14"/>
        <color rgb="FF000000"/>
        <rFont val="Times New Roman"/>
        <family val="1"/>
      </rPr>
      <t xml:space="preserve">2400000208 - 92.2023/HPDQ-SINV - 300mt (Hàng hóa ok) - CARTAGENA - </t>
    </r>
  </si>
  <si>
    <t>có nhãn phụ</t>
  </si>
  <si>
    <t>24.07.2023</t>
  </si>
  <si>
    <t>12h 24/07 Bến 3/5</t>
  </si>
  <si>
    <r>
      <rPr>
        <sz val="14"/>
        <color rgb="FF000000"/>
        <rFont val="Times New Roman"/>
        <family val="1"/>
      </rPr>
      <t xml:space="preserve">2400000183 70.2023/HPDQ-GS (CHYE - S275) (Hàng hóa ok)
</t>
    </r>
    <r>
      <rPr>
        <sz val="14"/>
        <color rgb="FFFF0000"/>
        <rFont val="Times New Roman"/>
        <family val="1"/>
      </rPr>
      <t xml:space="preserve">2400000192 70.2023/HPDQ-GS (CHYE - SPHC)    (Hàng hóa ok)
</t>
    </r>
    <r>
      <rPr>
        <sz val="14"/>
        <color rgb="FF000000"/>
        <rFont val="Times New Roman"/>
        <family val="1"/>
      </rPr>
      <t xml:space="preserve">2400000184 73.2023/HPDQ-GS (LEON-LOT 2 - S275) (Hàng hóa ok)
</t>
    </r>
    <r>
      <rPr>
        <sz val="14"/>
        <color rgb="FFFF0000"/>
        <rFont val="Times New Roman"/>
        <family val="1"/>
      </rPr>
      <t xml:space="preserve">2400000193 73.2023/HPDQ-GS (LEON-LOT 2 - SPHC) (Hàng hóa đã sx ok chờ MAP)
</t>
    </r>
    <r>
      <rPr>
        <sz val="14"/>
        <color rgb="FF000000"/>
        <rFont val="Times New Roman"/>
        <family val="1"/>
      </rPr>
      <t xml:space="preserve">2400000185 73.2023/HPDQ-GS (LEON - LOT 1) - KHÔNG NHÃN PHỤ (Hàng hóa ok)
2400000186 69.2023/HPDQ-GS (MKPC) (Hàng hóa ok)
2400000187 71.2023/HPDQ-GS (PP)  (Hàng hóa ok)
2400000188 72.2023/HPDQ-GS (WZ) (Hàng hóa ok)
</t>
    </r>
    <r>
      <rPr>
        <sz val="14"/>
        <color rgb="FFFF0000"/>
        <rFont val="Times New Roman"/>
        <family val="1"/>
      </rPr>
      <t xml:space="preserve">2400000194 72.2023/HPDQ-GS (WZ - SPHC) (Hàng hóa đã sx ok chờ MAP)
</t>
    </r>
    <r>
      <rPr>
        <sz val="14"/>
        <color rgb="FF000000"/>
        <rFont val="Times New Roman"/>
        <family val="1"/>
      </rPr>
      <t xml:space="preserve">2400000190 - 78.2023/HPDQ-LIANFENG  (Hàng hóa ok)
2400000182- 101.2023/HPDQ-NIPPON  (Hàng hóa ok)
</t>
    </r>
    <r>
      <rPr>
        <sz val="14"/>
        <color rgb="FFFF0000"/>
        <rFont val="Times New Roman"/>
        <family val="1"/>
      </rPr>
      <t xml:space="preserve">2400000195 - 101.2023/HPDQ-NIPPON (SPHC) (Hàng hóa đã sx ok chờ MAP)
</t>
    </r>
    <r>
      <rPr>
        <sz val="14"/>
        <color rgb="FF000000"/>
        <rFont val="Times New Roman"/>
        <family val="1"/>
      </rPr>
      <t>2400000189 - 79.2023/HPDQ-LIANFENG  (Hàng hóa ok)
2400000191 - MARESO PTE. LTD  (Hàng hóa ok)</t>
    </r>
  </si>
  <si>
    <t>CÓ NHÃN PHỤ SIRIM
TÀU NÀY SÁNG THỨ 2 DUYỆT LỆNH GS Ạ. BỌN E KIỆT SỨC RỒI</t>
  </si>
  <si>
    <t>BERLINDA</t>
  </si>
  <si>
    <t>25.07.2023</t>
  </si>
  <si>
    <t>5h 26/07 Bến 5</t>
  </si>
  <si>
    <t>2400000204  - 97.2023/HPDQ-MARCE(S235JR) - CẦN NHÃN PHỤ (Dự kiến 25 đủ hàng 27 Nhập kho)
2400000209  - 97.2023/ MARCE (SAE1006)
----
95/96 GSRL</t>
  </si>
  <si>
    <t>Có nhãn phụ
Chiều mai NK đủ 
ĐÃ CÓ 24KT NK (5k6 đã MAP + 18K4 CHỜ MAP)</t>
  </si>
  <si>
    <t>RINIA</t>
  </si>
  <si>
    <t>26.07.2023</t>
  </si>
  <si>
    <t>17h 26/07 Bến 10</t>
  </si>
  <si>
    <t>Antwerp
Liverpool
Leixoes</t>
  </si>
  <si>
    <t xml:space="preserve">2400000196 - 88.2023/HPDQ-DP - 5.650MT CE MARK - LOT A (Hàng hóa ok) - Leixoes, Portugal
2400000199 - 88.2023/HPDQ-DP - 4.350MT CE MARK - LOT B (Hàng hóa ok) - Leixoes, Portugal
2400000197 - 102.2023/HPDQ-DP - 250T - LOT A (Hàng hóa ok) - LIVERPOOL, UK
2400000200 - 102.2023/HPDQ-DP - 2.050MT CE MARK - LOT B (Hàng hóa ok) -  LIVERPOOL, UK
2400000201 - 102.2023/HPDQ-DP - 700MT CE MARK - LOT C (Hàng hóa ok) - LIVERPOOL, UK
2400000198 - 103.2023/HPDQ-DP - 1.000MT CE MARK (Hàng hóa ok) - Antwerp, Belgium
</t>
  </si>
  <si>
    <t>Có nhãn phụ. Đăng phụ trách chứng từ</t>
  </si>
  <si>
    <t>Trưa 29.07</t>
  </si>
  <si>
    <r>
      <rPr>
        <sz val="14"/>
        <color rgb="FF000000"/>
        <rFont val="Times New Roman"/>
        <family val="1"/>
      </rPr>
      <t xml:space="preserve">29/07 Bến 1
</t>
    </r>
    <r>
      <rPr>
        <sz val="14"/>
        <color rgb="FFFF0000"/>
        <rFont val="Times New Roman"/>
        <family val="1"/>
      </rPr>
      <t>Tàu này 28 về cho vào làm luôn nhé</t>
    </r>
  </si>
  <si>
    <t>Xong
XUẤT HẾT TRONG THÁNG 7</t>
  </si>
  <si>
    <t>2200001387 - OTHY - 4.000T  (Hàng hóa ok)</t>
  </si>
  <si>
    <t>09H40 ngày 28/07 Bến 3/5</t>
  </si>
  <si>
    <t>xong
XUẤT HẾT TRONG THÁNG 7</t>
  </si>
  <si>
    <t>2000001832 - TĐA - 2KT - Phú Mỹ (Hàng hóa đã sx chờ MAP)
2000001833 - TĐA - 2KT - tân thuận (Chiều 27 NK 1700T + 210T sáng 28 NK)
2000001820 - Nam Kim - 5.500T - Tân Thuận (Đã sx 4k8 chiều 28 NK lượng thiếu chiều 29 NK - Lệnh ok
2000001825 - Citicom - 475mts - Tân Thuận  (Hàng hóa đã sx xong) - Lệnh ok
2000001831- Posco - 1.000T - Phú Mỹ  (Hàng hóa ok) - đầu giờ sáng 31/7</t>
  </si>
  <si>
    <t>Xuất hết lượng của TĐA trong tháng 7, xuất hóa đơn tháng 7
2.000mt size 2,00 x 1254 và 2,20 x 1254 về cảng Tân Thuận
2.000mt size 2.30 x 1264 và 2.45 x 1264 về cảng Phú Mỹ
Không được xuất hóa đơn lẫn cảng</t>
  </si>
  <si>
    <t>LUCKY TIFFANY</t>
  </si>
  <si>
    <t>27.07.2023</t>
  </si>
  <si>
    <t>17h 28/07 Bến 6</t>
  </si>
  <si>
    <t>2400000210 - MARUBENI (Hàng hóa ok)
2400000131 - ARSEN   (Hàng hóa ok)</t>
  </si>
  <si>
    <t>MXD XIAMEN</t>
  </si>
  <si>
    <t>11:45 ngày 29/07 Bến 6</t>
  </si>
  <si>
    <t>Morocco</t>
  </si>
  <si>
    <t>2400000160 - MANUCHAR 81.2023 (Hàng hóa ok) ( ĐỎ)
2400000159 - MANUCHAR 81.2023 (Hàng hóa ok) ( ĐỎ)
2400000161 - MANUCHAR 81.2023 (Hàng hóa ok) ( ĐỎ)
2400000162 - MANUCHAR 81.2023 (Đã MAp 2K4 dự kiến 450t khổ 1000 chiều 29 NK khổ 1000 ( VÀNG + XANH blue)
2400000163 - MANUCHAR 81.2023  (Đã MAp 1K8 dự kiến 920t khổ 1000 chiều 29 NK khổ 1000 ( VÀNG)
2400000164 - MANUCHAR 81.2023 (Đã MAp 1K2 dự kiến 150t khổ 1000 chiều 29 NK khổ 1000 ( ĐỎ+ XANH blue)</t>
  </si>
  <si>
    <r>
      <rPr>
        <sz val="14"/>
        <color rgb="FF000000"/>
        <rFont val="Times New Roman"/>
        <family val="1"/>
      </rPr>
      <t xml:space="preserve">cắt số trước 0h:00 ngày 01/08 để lấy sản lượng tháng 7
</t>
    </r>
    <r>
      <rPr>
        <b/>
        <sz val="16"/>
        <color rgb="FFFF0000"/>
        <rFont val="Times New Roman"/>
        <family val="1"/>
      </rPr>
      <t>CA ĐÊM 27/7 NM SỰ CỐ NÊN CHƯA HOÀN THIỆN KHỔ 1000. Dự kiến ca 1C NGÀY 28/7 HOÀN THIỆN SÁNG 30 NHẬP KHO</t>
    </r>
    <r>
      <rPr>
        <sz val="14"/>
        <color theme="1"/>
        <rFont val="Times New Roman"/>
        <family val="1"/>
      </rPr>
      <t xml:space="preserve">
Có marking &amp; Color mark</t>
    </r>
  </si>
  <si>
    <t>29.07
Dỡ đá</t>
  </si>
  <si>
    <t>16h00 29/07 Bến 2</t>
  </si>
  <si>
    <t>2000001822 - TẤM LÁ PHÚ MỸ 3.000MT (có sẵn 1k2 rồi ạ, còn lại Dự kiến sáng 30 NK)</t>
  </si>
  <si>
    <t>30/07 Bến 5</t>
  </si>
  <si>
    <t>2200001380  - THP - 4150T (Đã sản xuất xong) (Giữ lại 5c không xuất: ID:71230708341, 71230708343, 71230708345, 72230708346, 71230708347)
2200001387 OTHY - 1.575T(Hàng hóa ok)
2200001386 OTHY - 2.050T (Hàng hóa ok)
2200001389 OTHY - 340T (Hàng hóa ok)
2200001390 OTHY - 560T (Hàng hóa ok)
2200001383 OTHY đi hết khoảng 1200T (Hàng hóa ok)</t>
  </si>
  <si>
    <t>10.07.2023</t>
  </si>
  <si>
    <t>CHECKING</t>
  </si>
  <si>
    <t>Jarkata, Indo</t>
  </si>
  <si>
    <t>AMI</t>
  </si>
  <si>
    <t>2400000131 - ARSEN  (Hàng hóa ok)</t>
  </si>
  <si>
    <t>CÓ NHÃN PHỤ, KHAI HỘ TỜ KHAI CON NÀY NHÉ</t>
  </si>
  <si>
    <t>+</t>
  </si>
  <si>
    <t>31.10.2023
Neo</t>
  </si>
  <si>
    <t>Chiều 01/11 Bến 5</t>
  </si>
  <si>
    <t>22000001474 OTHY 1800T   (Hàng hóa ok)
22000001477 OTHY 2400T  (Hàng hóa ok)
22000001475 OTHY 1400T (Hàng hóa ok có 100t 2.50x1250 SS400 còn tồn mã cũ)
22000001447 THP 3,600T (Hàng hóa ok)
22000001463 THP 740T (Hàng hóa ok)
22000001465 THP 400T (hàng hóa ok) - cân tải</t>
  </si>
  <si>
    <t>Giorgos Dracopoulos</t>
  </si>
  <si>
    <t>02.11.2023</t>
  </si>
  <si>
    <t>04/11 Bến 5</t>
  </si>
  <si>
    <t>BRISTOL, UK</t>
  </si>
  <si>
    <t>2400000370 - 180.2023/HPDQ-POSCO  (Hàng hóa ok)
2400000393 (lot 1) 192.2023/HPDQ-Trasteel (MARKING RED) (Hàng hóa ok)
2400000394 (lot 2) 192.2023/HPDQ-Trasteel (MARKING BLUE)  (Hàng hóa ok)</t>
  </si>
  <si>
    <t>Tàu cũ: EIHWAZ</t>
  </si>
  <si>
    <t>06.11.2023
Neo</t>
  </si>
  <si>
    <t>6/11 Bến 3
Đang làm hàng</t>
  </si>
  <si>
    <t>POSCO/PHÚ MỸ</t>
  </si>
  <si>
    <r>
      <rPr>
        <sz val="14"/>
        <color rgb="FF000000"/>
        <rFont val="Times New Roman"/>
        <family val="1"/>
      </rPr>
      <t xml:space="preserve">2000001944 -ĐÔNG Á - POSCO - 2500MT (Đã sản xuất 2KT + 500T sáng 5/11 NK)
</t>
    </r>
    <r>
      <rPr>
        <b/>
        <sz val="14"/>
        <color rgb="FF000000"/>
        <rFont val="Times New Roman"/>
        <family val="1"/>
      </rPr>
      <t xml:space="preserve">2000001945 -ĐÔNG Á - PHÚ MỸ - 750 (1214 CÂN TẢI) (Đã sản xuất chiều 4 NK)
</t>
    </r>
    <r>
      <rPr>
        <b/>
        <sz val="14"/>
        <color rgb="FFFF0000"/>
        <rFont val="Times New Roman"/>
        <family val="1"/>
      </rPr>
      <t>dỡ hàng Phú Mỹ -&gt; Posco</t>
    </r>
  </si>
  <si>
    <t>04.11.2023</t>
  </si>
  <si>
    <t>14h 05/11 Bến 5
Đang làm hàng</t>
  </si>
  <si>
    <t>2200001486 - THP 170T   (Hàng hóa ok chờ MAP)
2200001485 - OTHY 190T (Hàng hóa ok chờ MAP)
2200001483 - OTHY 2,440T (Hàng hóa ok chờ MAP)
2200001482 - OTHY 1200T  (Hàng hóa ok chờ MAP)
2200001481 - OTHY 2475T  (Hàng hóa ok chờ MAP)
2200001478 - THP 1440T    (Hàng hóa ok chờ MAP)
2200001471 - OTHY 100T  (Hàng hóa ok)
2200001447 - THP 3300T   (Hàng hóa ok)
22000001465 THP 300T       (Hàng hóa ok)</t>
  </si>
  <si>
    <t>Đi thiếu tải</t>
  </si>
  <si>
    <t>RUI EN 17</t>
  </si>
  <si>
    <t>05.11.2023</t>
  </si>
  <si>
    <t>13h 05/11 Bến 5
Đang làm hàng</t>
  </si>
  <si>
    <t>2400000396 - 193.2023/HPDQ-GS   (Hàng hóa ok)
2400000399 - 194.2023/HPDQ-GS (CHYEKEONG)   (Hàng hóa ok)
2400000397 - 195.2023/HPDQ-GS (LEONFUAT) - SPHC   (Hàng hóa ok)
2400000398 - 195.2023/HPDQ-GS (LEONFUAT) - S275JR   (Hàng hóa ok)
2400000400 - 196.2023/HPDQ-GS (MKPC)   (Hàng hóa ok)
2400000401 - 197.2023/HPDQ-GS (PE)    (Hàng hóa ok)
2400000402 - 198.2023/HPDQ-GS (PP)    (Hàng hóa ok)</t>
  </si>
  <si>
    <t>05.11.2023
NEO</t>
  </si>
  <si>
    <t>06/11
Đang làm hàng</t>
  </si>
  <si>
    <t>2000001943 - TĐA - 9.000T - Tân Thuận (Hàng hóa ok)</t>
  </si>
  <si>
    <t>23h 06.11.2023</t>
  </si>
  <si>
    <t>07/11 Bến 3
Đang làm hàng</t>
  </si>
  <si>
    <t>2000001935 - JFE -  PHÚ MỸ - 1000T 
2000001941 - ĐÔNG Á - PHŨ MỸ - 2240MT (Hàng hóa ok)</t>
  </si>
  <si>
    <t>22h00 06.11.2023</t>
  </si>
  <si>
    <t>9/11 Bến 5</t>
  </si>
  <si>
    <r>
      <rPr>
        <sz val="14"/>
        <color rgb="FF000000"/>
        <rFont val="Times New Roman"/>
        <family val="1"/>
      </rPr>
      <t xml:space="preserve">2000001952 - PVX  - 1000T (6/11) (Hàng hóa okt)
2200001479 - THP 1450T cân tải  (Hàng hóa ok chờ MAP)
2200001488 - THP cân tải
</t>
    </r>
    <r>
      <rPr>
        <sz val="14"/>
        <color rgb="FFFF0000"/>
        <rFont val="Times New Roman"/>
        <family val="1"/>
      </rPr>
      <t>Ghép 64 tấn thép cuộn - Liên hệ Mr Tú - Hưng Yên - đi hết hàng này</t>
    </r>
  </si>
  <si>
    <t>04.11.2023
NEO</t>
  </si>
  <si>
    <t>09/11 Bến 2</t>
  </si>
  <si>
    <t>Thiên Lộc Thành/ 
Cẩm Nguyên</t>
  </si>
  <si>
    <t>2000001953 - Tây Nam - 3.000T (Hàng hóa ok) - lệnh ok
2000001922 &amp; 2000001954 - Indeco - 800T - Cẩm Nguyên</t>
  </si>
  <si>
    <t>Thay Thắng Lợi 568</t>
  </si>
  <si>
    <t>3h 07.11.2023</t>
  </si>
  <si>
    <t>08/11 Bến 3</t>
  </si>
  <si>
    <t>Posco/ Phú Mỹ</t>
  </si>
  <si>
    <r>
      <rPr>
        <sz val="14"/>
        <color rgb="FF000000"/>
        <rFont val="Times New Roman"/>
        <family val="1"/>
      </rPr>
      <t xml:space="preserve">Posco - 2000001946 - 191.2023/HPDQ.POSCO cân tải
(Hàng hóa đã sx 3kt chờ MAP + 1kt chiều 04/11 NK)
2000001932 - THE ONE 300T - Phú Mỹ
</t>
    </r>
    <r>
      <rPr>
        <sz val="14"/>
        <color rgb="FFFF0000"/>
        <rFont val="Times New Roman"/>
        <family val="1"/>
      </rPr>
      <t>dỡ hàng Phú Mỹ -&gt; Posco</t>
    </r>
  </si>
  <si>
    <t xml:space="preserve"> GLORY DYNASTY  </t>
  </si>
  <si>
    <t>09.11.2023</t>
  </si>
  <si>
    <t>10/11 Bến 10</t>
  </si>
  <si>
    <t>Port Klang/Pasir Gudang, Malaysia</t>
  </si>
  <si>
    <t>2400000421 - 215.2023/HPDQ-GS - Port Klang (Hàng hóa ok)
2400000420 - 213.2023/HPDQ-GS - Port Klang ((Hàng hóa ok)
2400000432 - 213.2023/HPDQ-GS - PORT KLANG ((Hàng hóa ok))
2400000419 - 210.2023/HPDQ-GS - Port Klang   (Hàng hóa ok)
2400000422 - 218.2023/HPDQ-HWA - Port Klang   (Hàng hóa ok)
2400000412- 223.2023/HPDQ-MI - Port Klang         (Hàng hóa ok)
2400000411 - 217.2023 HPDQ-LF - Port Klang         (Hàng hóa ok)
2400000431-224.2023/HPDQ-NI - Port Klang    (Hàng hóa ok)
2400000423 - 219.2023/HPDQ-HWA - Port Klang    (Hàng hóa ok)
2400000429, 2400000433 -225.2023 HPDQ-NIPPON - Pasir Gudang-S275JR   (Hàng hóa ok)
2400000430 -225.2023 HPDQ-NIPPON - Pasir Gudang-SPHT3   (Hàng hóa ok)</t>
  </si>
  <si>
    <t>10.11.2023
Neo</t>
  </si>
  <si>
    <t>Ngày 10/11 Bến 6</t>
  </si>
  <si>
    <r>
      <rPr>
        <sz val="14"/>
        <color rgb="FF000000"/>
        <rFont val="Times New Roman"/>
        <family val="1"/>
      </rPr>
      <t xml:space="preserve">2000001953 - Tây Nam - 2.000T - Thiên Lộc Thành (Hàng hóa ok)
2000001949 - PVX - 2.000T - Tân Thuận    (Hàng hóa ok)
</t>
    </r>
    <r>
      <rPr>
        <sz val="14"/>
        <color rgb="FFFF0000"/>
        <rFont val="Times New Roman"/>
        <family val="1"/>
      </rPr>
      <t>=&gt; dỡ hàng Tân Thuận - Thiên Lộc Thành</t>
    </r>
  </si>
  <si>
    <t>09.11.2023
NEO</t>
  </si>
  <si>
    <t>Ngày 10/11 Bến 3</t>
  </si>
  <si>
    <t>2200001489 - THP 3000T (Hàng hóa chờ MAP thiếu 1 cuộn 3.95x126X)
2200001488 - THP cân tải</t>
  </si>
  <si>
    <t>Thay Hải Đăng 238</t>
  </si>
  <si>
    <t>15h00 07.11.2023
Neo</t>
  </si>
  <si>
    <t>Ngày 10/11 Bến 2</t>
  </si>
  <si>
    <r>
      <rPr>
        <sz val="14"/>
        <color rgb="FF000000"/>
        <rFont val="Times New Roman"/>
        <family val="1"/>
      </rPr>
      <t xml:space="preserve">2000001948 - PVX - 2.600T - Tân Thuận   (Hàng hóa ok)
2000001949 - PVX - 400T - Tân Thuận (Hàng hóa ok)
2000001934-184.2023 TLPM - 1.000T - Phú Mỹ (LSD 15/11)     (Hàng hóa ok)
</t>
    </r>
    <r>
      <rPr>
        <sz val="14"/>
        <color rgb="FFFF0000"/>
        <rFont val="Times New Roman"/>
        <family val="1"/>
      </rPr>
      <t>=&gt; dỡ hàng Tân Thuận - Phú Mỹ</t>
    </r>
  </si>
  <si>
    <t>11.11.2023</t>
  </si>
  <si>
    <t>2200001490 - OTHY (Đã MAP 4430T Thiếu 160t 2.50x1158 + 18t 2.50x123Y)
2200001492-OTHY  Cân Tải</t>
  </si>
  <si>
    <t>AN HAI VINCENT</t>
  </si>
  <si>
    <t>07.11.2023</t>
  </si>
  <si>
    <t>01h 09/11 Bến 5</t>
  </si>
  <si>
    <t>Jakarta
Semarang</t>
  </si>
  <si>
    <t>2400000413- AMI - 22KT  (Hàng hóa đã sản xuất) - Jakarta 
2400000408- 221.2023/HPDQ-MI (13/11 duyệt lệnh) - Semarang</t>
  </si>
  <si>
    <t>2400000408 - lệnh này 13/11 mới duyệt 
=&gt; Mọi người cân đối việc làm hàng, ko để tình trạng tàu chờ hàng, tránh tàu phạt</t>
  </si>
  <si>
    <t>14.11.2023</t>
  </si>
  <si>
    <t>22h00 ngày 14/11
Bến 5</t>
  </si>
  <si>
    <t>2200001477 - OTHY - 200T (Hàng hóa ok)
2200001492 - OTHY 1600T (Hàng hóa MAP + bán 1825t)
2200001494 - OTHY 2700T
2200001495 - NMCN cân tải</t>
  </si>
  <si>
    <t>13.11.2023
NEO</t>
  </si>
  <si>
    <t>08h00 15/11 Bến 2</t>
  </si>
  <si>
    <t>2200001499 - OTBD 1700T  (Hàng hóa ok)
2200001493 - OTBD 1550T  (Hàng hóa ok)</t>
  </si>
  <si>
    <t>13.11.2023 
NEO</t>
  </si>
  <si>
    <t>12h00 18/11 Bến 3</t>
  </si>
  <si>
    <t>2200001488 - THP (Đã MAP 2.356 TẤN)
2200001497 - THP cân tải (Đã MAP 2.044 TẤN)</t>
  </si>
  <si>
    <t>XIN HAI TONG 36</t>
  </si>
  <si>
    <t>16.11.023</t>
  </si>
  <si>
    <t>7h 18/11 Bến 5/10</t>
  </si>
  <si>
    <t>2400000427 - P09104 Cargill - 8,500 mt  (Hàng hóa ok)
2400000428 - P09021 Cargill - 2,000 mt  (Hàng hóa ok)</t>
  </si>
  <si>
    <t>20.11.2023</t>
  </si>
  <si>
    <r>
      <rPr>
        <sz val="14"/>
        <color rgb="FF000000"/>
        <rFont val="Times New Roman"/>
        <family val="1"/>
      </rPr>
      <t xml:space="preserve">2000001959 + 2000001957 - Hoa Sen T10 - đi hết tải tảu   (2 lệnh đã MAP 8.219t)
 </t>
    </r>
    <r>
      <rPr>
        <sz val="14"/>
        <color rgb="FFFF0000"/>
        <rFont val="Times New Roman"/>
        <family val="1"/>
      </rPr>
      <t xml:space="preserve">2.80   1,160  SAE1006 18-24  340   UT1  180.T10.2023/HPDQ-HS   hàng hóa ọk
 4.00   1,260  SAE1006 18-24  1,120   UT1  178.T10.2023/HPDQ-HS   hàng hóa ok 
</t>
    </r>
    <r>
      <rPr>
        <b/>
        <sz val="14"/>
        <color rgb="FFFF0000"/>
        <rFont val="Times New Roman"/>
        <family val="1"/>
      </rPr>
      <t>TÀU MT HN 07 với 39. TÀU NÀO VÀO LÀM TRƯỚC THÌ ƯU TIÊN 2 SIZE NÀY
LOAD HÀNG CUỐI ĐỂ ĐƯỢC DỠ ĐẦU TIÊN ( 2Size ưu tiên này hàng hóa ok)</t>
    </r>
  </si>
  <si>
    <t>2000001959 + 2000001957 - Hoa Sen T10 -  đi hết tải tảu   (2 lệnh đã MAP 8.219t)</t>
  </si>
  <si>
    <t>23.11.2023</t>
  </si>
  <si>
    <r>
      <rPr>
        <sz val="14"/>
        <color rgb="FF000000"/>
        <rFont val="Times New Roman"/>
        <family val="1"/>
      </rPr>
      <t xml:space="preserve">2000001959 + 2000001957 - Hoa Sen T10 - đi hết lượng còn lại  
(2 lệnh đã MAP 8.219t) lượng còn lại chiều 21 NK
</t>
    </r>
    <r>
      <rPr>
        <sz val="14"/>
        <color rgb="FFFF0000"/>
        <rFont val="Times New Roman"/>
        <family val="1"/>
      </rPr>
      <t>Tàu đi thiếu tải, không cần bổ sung lệnh</t>
    </r>
  </si>
  <si>
    <t xml:space="preserve">SUNRISE JADE </t>
  </si>
  <si>
    <t>18.11.2023</t>
  </si>
  <si>
    <t>08H30 ngày 20/11
Bến 6/11</t>
  </si>
  <si>
    <t>Marcegaglia Berth, Ravenna, Italy</t>
  </si>
  <si>
    <t>2400000434 - 207.2023/HPDQ-MARCE (SAE1006) (Hàng hóa ok)
2400000441 - 207.2023/HPDQ-MARCE (S235JR)    (Hàng hóa ok)</t>
  </si>
  <si>
    <t>Loading rate: 6k/day
2400000441: Có nhãn phụ</t>
  </si>
  <si>
    <t>19.11.2023
NEO</t>
  </si>
  <si>
    <t>Tối 23/11 Bến 5</t>
  </si>
  <si>
    <r>
      <rPr>
        <sz val="14"/>
        <color rgb="FF000000"/>
        <rFont val="Times New Roman"/>
        <family val="1"/>
      </rPr>
      <t xml:space="preserve">Hoa Sen T10 Phú Mỹ
2000001958 (9160 tấn)  (Hàng hóa ok)
2000001970  (4840 tấn)  (Đã MAP 1.232t + 3K6 24 NK)
</t>
    </r>
    <r>
      <rPr>
        <sz val="14"/>
        <color rgb="FFFF0000"/>
        <rFont val="Times New Roman"/>
        <family val="1"/>
      </rPr>
      <t>Xuất full tải tàu này</t>
    </r>
  </si>
  <si>
    <t>Tối 22.11.2023</t>
  </si>
  <si>
    <t>Tối 23/11 Bến 6</t>
  </si>
  <si>
    <t>2200001495 - NMCN 520T     (Hàng hóa ok)
2200001500 - OTHY 2,450T   (Hàng hóa ok)
2200001502 - OTHY 2,860T    (Hàng hóa ok)
2200001497 - THP 1,050T       (Hàng hóa ok)
2200001501 - THP 4,180T       (Hàng hóa ok)
2000001972 - TCĐ 1,500T        (Hàng hóa ok)
1700T hàng gửi kho của THP cân tải (Liên hệ anh Danh)</t>
  </si>
  <si>
    <t>23.11.2023
NEO</t>
  </si>
  <si>
    <t>24/11 Bến 1/2</t>
  </si>
  <si>
    <t>2000001966 - Nam Kim - 3.240 tấn  Dự kiến sang 23 NK đủ</t>
  </si>
  <si>
    <t>Nam Kim Cho đi mã 2.0x1230; 2.25x1230; 2.4x1230; 2.0x1260;</t>
  </si>
  <si>
    <t>25.11.2023</t>
  </si>
  <si>
    <t>25/11 Bến 1</t>
  </si>
  <si>
    <r>
      <rPr>
        <sz val="14"/>
        <color rgb="FF000000"/>
        <rFont val="Times New Roman"/>
        <family val="1"/>
      </rPr>
      <t xml:space="preserve">2000001966 - Nam Kim T10 - 3.300T - Tân Thuận - duyệt 20/11  (Hàng hóa ok)
2000001967 - Tiến Lên - 150T - Tân Thuận - lệnh ok </t>
    </r>
    <r>
      <rPr>
        <sz val="14"/>
        <color rgb="FFFF0000"/>
        <rFont val="Times New Roman"/>
        <family val="1"/>
      </rPr>
      <t xml:space="preserve">(LSD 30/11)   (Hàng hóa ok)
</t>
    </r>
    <r>
      <rPr>
        <sz val="14"/>
        <color rgb="FF000000"/>
        <rFont val="Times New Roman"/>
        <family val="1"/>
      </rPr>
      <t>2000001964 - SMC T11 - 300T - Phú Mỹ - Lệnh OK       (Hàng hóa ok)
2000001962  - SMC T10 - 300T - Phú Mỹ D- Lệnh OK   (Hàng hóa ok)</t>
    </r>
  </si>
  <si>
    <t>24.11.2023
NEO</t>
  </si>
  <si>
    <t>26/11 Bến 1/2</t>
  </si>
  <si>
    <t>2000001969-TPLM - 1.000T - Phú Mỹ - lệnh ok (Hàng hóa ok)
2000001971 -TĐA - 2.350 T - cân tải - Tân Thuận (Hàng hóa ok)</t>
  </si>
  <si>
    <t>SKY HEIGHT</t>
  </si>
  <si>
    <t>21.11.2023</t>
  </si>
  <si>
    <t>10h 25/11 Bến 6/11</t>
  </si>
  <si>
    <t>INDONESIA</t>
  </si>
  <si>
    <t>2400000442 -216.2023/HPDQ-SI - LOT 1-LINH (dự kiến 24/11 lệnh ok) Hàng hóa ok
2400000444 -216.2023/HPDQ-SI - LOT 2-LINH (dự kiến 24/11 lệnh ok) Hàng hóa ok
2400000443 -216.2023/HPDQ-SI - LOT 2-LINH(dự kiến 24/11 lệnh ok) Hàng hóa ok
2400000435 - 178.2023/HPDQ-SI (LOT 1)- GIANG (Hàng hóa ok)
2400000436 - 178.2023/HPDQ-SI (LOT 1)- GIANG (Hàng hóa ok)</t>
  </si>
  <si>
    <t>HOSEI 8
(đổi tàu)</t>
  </si>
  <si>
    <t>Sáng 28.11.2023</t>
  </si>
  <si>
    <t>16h 28/11 Bến 6</t>
  </si>
  <si>
    <t>Nhất định phải đi hết muộn nhất 30/11</t>
  </si>
  <si>
    <t>MALAYSIA</t>
  </si>
  <si>
    <t>2400000445  - 211.2023/HPDQ-GS - HÀ   (Hàng hóa ok)
2400000448  - 212.2023/HPDQ-GS - HÀ    (Hàng hóa ok)
2400000438 - 214.2023/HPDQ-GS (SPHC) - GIANG   (Hàng hóa ok)
2400000437 - 214.2023/HPDQ-GS (S275JR) - GIANG    (Hàng hóa ok)
2400000440 - 216.2023/HPDQ-GS (SPHT1)- GIANG  (Hàng hóa ok)
2400000439 - 216.2023/HPDQ-GS (S275JR)- GIANG (Hàng hóa ok)</t>
  </si>
  <si>
    <t>Tàu cũ: MITO</t>
  </si>
  <si>
    <t xml:space="preserve">   </t>
  </si>
  <si>
    <t xml:space="preserve"> Chiều 28.11.2023</t>
  </si>
  <si>
    <t>28/11 Bến 1</t>
  </si>
  <si>
    <t>Phú Mỹ/ Cẩm Nguyên</t>
  </si>
  <si>
    <t>2000001970 - Hoa Sen T10 - đi hết lượng còn lại (Lệnh ok) - Phú Mỹ (Đã MAP 1.732 tấn)
2000001961 + 2000001960 - VinaOne T10 - 2.000T - Cẩm Nguyên (Hàng hóa ok)  Lệnh ok</t>
  </si>
  <si>
    <t>26.11.2023
NEO</t>
  </si>
  <si>
    <t>29/11 Bến 5</t>
  </si>
  <si>
    <t>2200001506 - OTHY 1800T  (Hàng hóa ok)
2200001507 - OTHY 400T    (Hàng hóa ok)
2200001488 - THP 1700T
2200001509 - OTHY 900T
2200001508 - THP cân tải
2000001974 - Nippon - 100T (lệnh ok) - NGA (Hàng hóa ok)</t>
  </si>
  <si>
    <t>28.11.2023
Dự kiến 29/11 dỡ quặng xong</t>
  </si>
  <si>
    <t>29/11 Bến 1</t>
  </si>
  <si>
    <t>2200001511 - OTHY 3700T (Thiếu 1 cuộn 3.10X140X) còn lại hàng hóa ok
2200001508 - THP cân tải     (Hàng hóa ok)</t>
  </si>
  <si>
    <t>TRƯỜNG HƯNG 16</t>
  </si>
  <si>
    <t>NEW ENERGY</t>
  </si>
  <si>
    <t>07-09.11.2023</t>
  </si>
  <si>
    <t>05-06.11.2023</t>
  </si>
  <si>
    <t>10-11.11.2023</t>
  </si>
  <si>
    <t>Từ ngày 1-10 (Nhịp 1), từ ngày 11-21 (Nhịp 2), từ ngày 22 - hết tháng (nhịp 3)</t>
  </si>
  <si>
    <t>Tháng</t>
  </si>
  <si>
    <t>Tổng</t>
  </si>
  <si>
    <t>Kế hoạch update 03/06</t>
  </si>
  <si>
    <t>SLG update NGÀY 12/6</t>
  </si>
  <si>
    <t>Tồn kho đầu kỳ</t>
  </si>
  <si>
    <t>SLSX HRC KH</t>
  </si>
  <si>
    <t>SLSX thực tế</t>
  </si>
  <si>
    <t>Tồn kho cuối kỳ</t>
  </si>
  <si>
    <t>Mục tiêu QT25</t>
  </si>
  <si>
    <t>Đại lý</t>
  </si>
  <si>
    <t>Sản lượng</t>
  </si>
  <si>
    <t xml:space="preserve">Tỉ lệ </t>
  </si>
  <si>
    <t>TỔNG</t>
  </si>
  <si>
    <t>ATTA/PTSC</t>
  </si>
  <si>
    <t>LỊCH XUẤT HRC THÁNG 10/2025
LƯU Ý CẦN NHẮC LẠI NHIỀU LẦN: XUẤT ĐỦ DUNG SAI CÁC SIZE HÀNG, LÚC XUẤT COIL LIST MÀ CHƯA MAPPING ĐỦ DUNG SAI, SAU ĐÓ MAPPING THÊM THÌ PHẢI XUẤT THÊM CHO ĐỦ</t>
  </si>
  <si>
    <t>TỔNG XUẤT DỰ KIẾN</t>
  </si>
  <si>
    <t>Xếp theo thứ tự 
tàu vào</t>
  </si>
  <si>
    <t>PKH NOTE - đề nghị note sát kế hoạch</t>
  </si>
  <si>
    <t>P.KH UPDATE HÀNG NGÀY</t>
  </si>
  <si>
    <t>SỐ LỆNH TÁCH</t>
  </si>
  <si>
    <t>TÀU/
PHƯƠNG TIỆN VẬN TẢI</t>
  </si>
  <si>
    <t xml:space="preserve">KHỐI LƯỢNG TỔNG TÀU </t>
  </si>
  <si>
    <t>THỜI GIAN LÀM XONG HÀNG</t>
  </si>
  <si>
    <t>NGÀY DK DUYỆT SO</t>
  </si>
  <si>
    <t>Cảng xếp</t>
  </si>
  <si>
    <t>LỆNH XUẤT HÀNG - KẾ HOẠCH DUYỆT
(SỐ LỆNH ĐẦY ĐỦ - SỐ XNĐH  - KL TỔNG ĐƠN - LSD)
(MỖI LỆNH 1 DÒNG)</t>
  </si>
  <si>
    <t>KHỐI LƯỢNG HÀNG 
XUẤT LÊN TÀU</t>
  </si>
  <si>
    <r>
      <rPr>
        <b/>
        <sz val="14"/>
        <color rgb="FF000000"/>
        <rFont val="Times New Roman"/>
      </rPr>
      <t xml:space="preserve">SẢN XUẤT 
</t>
    </r>
    <r>
      <rPr>
        <b/>
        <sz val="13"/>
        <color rgb="FFFF0000"/>
        <rFont val="Times New Roman"/>
      </rPr>
      <t>(HRC 1/2-TÌNH TRẠNG)</t>
    </r>
  </si>
  <si>
    <t>C.W MAX TÀU NHẬN ĐƯỢC</t>
  </si>
  <si>
    <t>NHỊP</t>
  </si>
  <si>
    <t>TÌNH TRẠNG</t>
  </si>
  <si>
    <t>SO</t>
  </si>
  <si>
    <t>TỔNG ĐÃ MAP</t>
  </si>
  <si>
    <t>ĐÃ XUẤT</t>
  </si>
  <si>
    <t>CÒN LẠI</t>
  </si>
  <si>
    <t>HONG CHANG HAI</t>
  </si>
  <si>
    <t>Busan, Korea</t>
  </si>
  <si>
    <t>2400001332 - 139.T10-25/HPDQ-TOP (lot 1)/ LSD 15.11 - NHÃN MÀU</t>
  </si>
  <si>
    <t>HRC 2 - đã map 1,8kt
chờ skin 150t
dự kiến 2/11 nk</t>
  </si>
  <si>
    <t>1</t>
  </si>
  <si>
    <t>2400001333 - 139.T10-25/HPDQ-TOP (lot 2) / LSD 15.11 - - NHÃN MÀU</t>
  </si>
  <si>
    <t>HRC 2 - HÀNG HÓA OK
còn 1 cuộn hụt cw chờ xin</t>
  </si>
  <si>
    <t>2400001334 - 139.T10-25/HPDQ-TOP (lot 3)/ LSD 15.11 -- NHÃN MÀU</t>
  </si>
  <si>
    <t>HRC 2 - HÀNG HÓA OK</t>
  </si>
  <si>
    <t>2400001335 - 144.T10-25/HPDQ-NI / LSD 15.11</t>
  </si>
  <si>
    <t>2400001349 - 147.T10-25/HPDQ-DFT/ LSD 15.11 - LOT 1</t>
  </si>
  <si>
    <t>HRC 2 - đã map 1,2kt
còn 2 cuộn chờ nk - no skin
dự kiến 2/11 nk</t>
  </si>
  <si>
    <t>2400001351 - 147.T10-25/HPDQ-DFT/ LSD 15.12 - LOT 2</t>
  </si>
  <si>
    <t>HRC 2 - đã map 1,1kt
chờ skin 150t
dự kiến 2/11 nk</t>
  </si>
  <si>
    <t>2400001352 - 147.T10-25/HPDQ-DFT/ LSD 15.13 - LOT 3</t>
  </si>
  <si>
    <t>HRC 2 - đã map 2,2kt
chờ skin 20t
dự kiến 2/11 nk</t>
  </si>
  <si>
    <t>2400001347 - 149.T11-25/HPDQ-YS/ LSD 15.11 - SM490A</t>
  </si>
  <si>
    <t>2400001348 - 149.T11-25/HPDQ-YS/ LSD 15.12 - SS400</t>
  </si>
  <si>
    <t>HRC 2 - đã map 600t
chờ skin 50t
dự kiến 2/11 nk</t>
  </si>
  <si>
    <t>Pohang, Korea</t>
  </si>
  <si>
    <t>2400001327 - 142.T10-25/HPDQ-YS/ LSD 15.11 - SS400 SKIN - HẰNG</t>
  </si>
  <si>
    <t>HRC 2
chờ skin 600t
2/11</t>
  </si>
  <si>
    <t>2400001328 - 142.T10-25/HPDQ-YS/ LSD 15.11 - SS400 NON SKIN - HẰNG</t>
  </si>
  <si>
    <t>2400001329 - 142.T10-25/HPDQ-YS/ LSD 15.11 - SPHC - HẰNG</t>
  </si>
  <si>
    <t>HRC 2
chờ skin 500t
2/11</t>
  </si>
  <si>
    <t>2400001330 - 143.T10-25/HPDQ-YS/ LSD 15.11 - HẰNG</t>
  </si>
  <si>
    <t>HRC 2 - đã map 1,4kt
chờ nk 100t
dự kiến 2/11 nk</t>
  </si>
  <si>
    <t>2400001336 - 145.T10-25/HPDQ-DFT/ LSD 15.11</t>
  </si>
  <si>
    <t>2400001331 - 148.T10-25/HPDQ-EP/ LSD 15.11</t>
  </si>
  <si>
    <t xml:space="preserve">XIN ZHONG RUI 7 </t>
  </si>
  <si>
    <t>Pyeongtaek Port</t>
  </si>
  <si>
    <t>2400001321 - 140.T10-25/HPDQ-DS - Hương</t>
  </si>
  <si>
    <t>2400001322 - 141.T10-25/HPDQ-EP - Hương</t>
  </si>
  <si>
    <t>2400001343 - 150.T11-25/HPDQ-KG - Hương</t>
  </si>
  <si>
    <t>2400001338 - 151.T11-25/HPDQ-SMX - LOT 1 - HẰNG</t>
  </si>
  <si>
    <t>2400001339 - 151.T11-25/HPDQ-SMX - LOT 2 - HẰNG</t>
  </si>
  <si>
    <t>2400001340 - 151.T11-25/HPDQ-SMX - LOT 3 - SPHC - HẰNG</t>
  </si>
  <si>
    <t>HRC 2 còn 25t chờ skin  2/11 nk</t>
  </si>
  <si>
    <t>2400001341 - 151.T11-25/HPDQ-SMX - LOT 3 - SS400 - HẰNG</t>
  </si>
  <si>
    <t>2400001342 - 151.T11-25/HPDQ-SMX - LOT 3 - S355JR - HẰNG</t>
  </si>
  <si>
    <t>2400001345 - 152.T11-25/HPDQ-YS - LOT 1 - SPHC - Hương</t>
  </si>
  <si>
    <t>HRC 2 - đã map 1,3kt
23t chờ skin
dự kiến 2/11 nk</t>
  </si>
  <si>
    <t>2400001346 - 152.T11-25/HPDQ-YS - LOT 1 - SS400 Hương</t>
  </si>
  <si>
    <t>HRC 2 50t chờ nk - noskin
dự kiến 2/11 nk</t>
  </si>
  <si>
    <t>2400001344 - 152.T11-25/HPDQ-YS - LOT 2 - SS400 Hương</t>
  </si>
  <si>
    <t>2400001355 - 155.T11-25/HPDQ-JFE - HẰNG</t>
  </si>
  <si>
    <t>30-31.10.2025</t>
  </si>
  <si>
    <t>SO đã duyệt</t>
  </si>
  <si>
    <t xml:space="preserve">2000003482 - 499.T10.2025/HPDQ-TMMN-NKH - 15kt - CÂN TẢI </t>
  </si>
  <si>
    <t>HRC 1  - T10.5 - đã map 4k6
30-31/10 nk trước 6k, còn lại tháng 3-4/11 nk</t>
  </si>
  <si>
    <t>2000003404 - 550B.T09.2025/HPDQ-OTVĐ-KH - LSD:20/11 - 4000 T - chờ ghép hàng do khách đi sà lan</t>
  </si>
  <si>
    <t>HRC 1 - HÀNG HÓA OK</t>
  </si>
  <si>
    <t>2000003409 - 550B.T09.2025/HPDQ-OTVĐ-KH - LSD:20/11 - 1000 T 
- em lên sẵn lệnh, có tên cảng dỡ, em xin duyệt luôn ạ</t>
  </si>
  <si>
    <t>2000003407 - 550C.T09.2025/HPDQ-OTVĐ-KH - LSD: 20/11 - 1000 T
- em lên sẵn lệnh, có tên cảng dỡ, em xin duyệt luôn ạ</t>
  </si>
  <si>
    <t>HRC 2 T10.5 (khả năng làm vắt tháng) - 1-2/11 nk đủ
Dự kiến nk tới ngày 31 đc 500t</t>
  </si>
  <si>
    <t>01.11.2025</t>
  </si>
  <si>
    <t>2200002291 - 587B.T10.2025/HPDQ-THP-KH đi Hải Phòng 6600TAN HRC1 - cân tải</t>
  </si>
  <si>
    <t>HRC 1 - ĐÃ MAP 655 Tấn
T11.1 2K4 dự kiến 03-04/11 nk</t>
  </si>
  <si>
    <t>2200002307 - 0082.T10.2025/HPDQ-OTHY-NKH 480TAN đi Hải Phòng HRC2</t>
  </si>
  <si>
    <t>HRC 2 - HÀNG HÓA OK
spot</t>
  </si>
  <si>
    <t xml:space="preserve">2200002304 - 0080.T10.2025/HPDQ-OTHY-NKH đi Hải Phòng </t>
  </si>
  <si>
    <t>HRC 2 - Chỉ map được 516t thôi
Hàng spot - hàng hóa ok</t>
  </si>
  <si>
    <t>3</t>
  </si>
  <si>
    <t>HPS-02</t>
  </si>
  <si>
    <t>31.10.2025</t>
  </si>
  <si>
    <t>27/10/2025</t>
  </si>
  <si>
    <t>2000003482 - 499.T10.2025/HPDQ-TMMN-NKH - 15kt (chờ tình hình hàng hóa để cân lại lượng tàu này)
LSD 15/11</t>
  </si>
  <si>
    <t>HRC 1 
T10.5 - map dương để đủ tải tàu nhé
dự kiến 03-04/11 nk</t>
  </si>
  <si>
    <t>Tàu neo chờ hàng</t>
  </si>
  <si>
    <t>NỘI BỘ</t>
  </si>
  <si>
    <t>2200002290 - 587B.T10.2025/HPDQ-THP-KH đi Hải Phòng 5000TAN HRC2</t>
  </si>
  <si>
    <t>HRC 2 T10.5
Dự kiến 8/11 nk</t>
  </si>
  <si>
    <t>2200002287 - 586B.T10.2025/HPDQ-OTHY-KH đi Hải Phòng 2000TAN HRC2</t>
  </si>
  <si>
    <t>HRC 2 Hàng hóa ok</t>
  </si>
  <si>
    <t>2200002288 - 586B.T10.2025/HPDQ-OTHY-KH đi Hải Phòng 12700TAN HRC1</t>
  </si>
  <si>
    <t>HRC 1 
T11.1 5k dự kiến 7-8/11 nk =&gt; push nk sớm</t>
  </si>
  <si>
    <t>2000003408 - 550E.T09.2025/HPDQ-OTVD-KH, LSD, 26/11</t>
  </si>
  <si>
    <t>2200002292 - 587C.T10.2025/HPDQ-THP-KH đi Hải Phòng 10000TAN HRC1</t>
  </si>
  <si>
    <t>HRC 1
T11.1 3k5 dự kiến 5-6/11 nk
T11.4 6k5</t>
  </si>
  <si>
    <t>hẹn 3-7/11 có LC</t>
  </si>
  <si>
    <r>
      <rPr>
        <sz val="14"/>
        <color rgb="FF000000"/>
        <rFont val="Times New Roman"/>
      </rPr>
      <t xml:space="preserve">2000003466 - 548A.T09.2025/HPDQ-TMP-KH- 6900t - 
</t>
    </r>
    <r>
      <rPr>
        <sz val="14"/>
        <color rgb="FFFF0000"/>
        <rFont val="Times New Roman"/>
      </rPr>
      <t>CW: 18-28T</t>
    </r>
  </si>
  <si>
    <t>2000003493 - 548C1.T09.2025/HPDQ-TMPHD-KH 
CW: 27-30T</t>
  </si>
  <si>
    <t>HOÀNG PHÚC 56</t>
  </si>
  <si>
    <t>04-05.11.2025</t>
  </si>
  <si>
    <t>7/11 khách mở LC</t>
  </si>
  <si>
    <t>2000003509 - 598.T10.2025/HPDQ-HSNS-KH - 4000t</t>
  </si>
  <si>
    <t>HRC 1
T11.1 4k dự kiến 07-08/11 nk (Sản xuất dương 5% để đỡ hụt tải tàu nhé Sỹ)</t>
  </si>
  <si>
    <t>03-04.11.2025</t>
  </si>
  <si>
    <t>các anh lưu ý ngày 7-11 mới có lệnh</t>
  </si>
  <si>
    <t>2000003466 - 548A.T09.2025/HPDQ-TMP-KH- 6900t - CÂN TẢI
CW: 18-28T</t>
  </si>
  <si>
    <t>2000003468- 548B.T09.2025/HPDQ-TMP-KH - 2800 - XUẤT HẾT MAPPING</t>
  </si>
  <si>
    <t>2000003467- 548B.T09.2025/HPDQ-TMP-KH - 1300 - XUẤT HẾT MAPPING
CW: 18-28T (1300T)</t>
  </si>
  <si>
    <t>02-03.11.2025</t>
  </si>
  <si>
    <t>2000003472 - 564.T09.2025/HPDQ-NK-KH  - 10,830t - CÂN TẢI</t>
  </si>
  <si>
    <t>HRC 2 T10.5 - đã map 885
Đã báo ưu tiên sx trước ( dự kiến 31/10 nk)</t>
  </si>
  <si>
    <r>
      <rPr>
        <sz val="14"/>
        <color rgb="FF000000"/>
        <rFont val="Times New Roman"/>
      </rPr>
      <t xml:space="preserve">2000003471 - 569D.T09.2025/HPDQ-KD-KH, </t>
    </r>
    <r>
      <rPr>
        <b/>
        <sz val="14"/>
        <color rgb="FFFF0000"/>
        <rFont val="Times New Roman"/>
      </rPr>
      <t xml:space="preserve">CW&gt;25T, CÂN TẢI
</t>
    </r>
    <r>
      <rPr>
        <b/>
        <sz val="14"/>
        <color rgb="FF000000"/>
        <rFont val="Times New Roman"/>
      </rPr>
      <t xml:space="preserve">Phải tách tàu nhá Hương vì toàn cuộn to thui/vâng </t>
    </r>
  </si>
  <si>
    <t>HRC 2 Hàng hóa ok
 (đã map 3k1)</t>
  </si>
  <si>
    <t>2000003479 - 600A.T10.2025/HPDQ-HSPM-KH</t>
  </si>
  <si>
    <t>05-06.11.2025</t>
  </si>
  <si>
    <t>2000003264 - 481E.T07.2025/HPDQ-TVN-KH - dự kiến 30/10 có L/C</t>
  </si>
  <si>
    <t>HRC 2 T10.5 đã map 1,2kt
dự kiến 8-9/11 nk hết</t>
  </si>
  <si>
    <t xml:space="preserve">2000003494 - 548I.T09.2025/HPDQ-TMP-KH - 1700t </t>
  </si>
  <si>
    <t>2000003266 - 481G.T07.2025/HPDQ-TVN-KH - dự kiến 03/11 có L/C</t>
  </si>
  <si>
    <t>HRC 2 T10.5
dự kiến 8-9/11 nk hết</t>
  </si>
  <si>
    <r>
      <rPr>
        <sz val="14"/>
        <color rgb="FF000000"/>
        <rFont val="Times New Roman"/>
      </rPr>
      <t xml:space="preserve">2000003471 - 569D.T09.2025/HPDQ-KD-KH, </t>
    </r>
    <r>
      <rPr>
        <b/>
        <sz val="14"/>
        <color rgb="FFFF0000"/>
        <rFont val="Times New Roman"/>
      </rPr>
      <t xml:space="preserve">CW&gt;25T
</t>
    </r>
    <r>
      <rPr>
        <b/>
        <sz val="14"/>
        <color rgb="FF000000"/>
        <rFont val="Times New Roman"/>
      </rPr>
      <t>Phải tách tàu nhá Hương vì toàn cuộn to thui/vâng ạ</t>
    </r>
  </si>
  <si>
    <t>HRC 2 T10.5
8-9/11 nk</t>
  </si>
  <si>
    <t>08/11</t>
  </si>
  <si>
    <t>2000003490 - 611.T10.2025/HPDQ-CSVC-KH</t>
  </si>
  <si>
    <t>HRC 2 T10.5
dự kiến 8-9/11 nk</t>
  </si>
  <si>
    <r>
      <rPr>
        <sz val="14"/>
        <color rgb="FF000000"/>
        <rFont val="Times New Roman"/>
      </rPr>
      <t xml:space="preserve">607.T10.2025/HPDQ-QM-KH - 200t  </t>
    </r>
    <r>
      <rPr>
        <sz val="14"/>
        <color rgb="FFFF0000"/>
        <rFont val="Times New Roman"/>
      </rPr>
      <t>(giao hết, đơn không cho phép giao hàng từng phần)
cw: max 29t</t>
    </r>
  </si>
  <si>
    <t>2000003500 - 614.T10.2025/HPDQ-SUNSCO-KH - T/T đầu tháng 11</t>
  </si>
  <si>
    <t xml:space="preserve">2000003472 - 564.T09.2025/HPDQ-NK-KH  - 10,830t </t>
  </si>
  <si>
    <t xml:space="preserve">2000003455 - 574.T09.2025/HPDQ-POSCO-KH, LSD 15/11 </t>
  </si>
  <si>
    <t>VIỆT THUẬN 12-06</t>
  </si>
  <si>
    <t>2000003504 - 548I.T09.2025/HPDQ-TMP-KH - 3300t</t>
  </si>
  <si>
    <t>HRC 1
T11.1 dự kiến 05-06/11 nk</t>
  </si>
  <si>
    <t>2000003501 - 601.T10.2025/KH/HPDQ-JFE - 8.6kt</t>
  </si>
  <si>
    <t>2</t>
  </si>
  <si>
    <t>khách hẹn mở LC 03-07/11</t>
  </si>
  <si>
    <t>Quốc tế Long An</t>
  </si>
  <si>
    <t>2000003492 - 548E2.T09.2025/HPDQ-TMPHD-KH - 7120t - CÂN TẢI</t>
  </si>
  <si>
    <t>548C2.T09.2025/HPDQ-TMPHD-KH 
CW: 27-30T</t>
  </si>
  <si>
    <t>có lịch tàu mới update được lịch duyệt SO</t>
  </si>
  <si>
    <t>2000003513 - 602.T10.2025/KH/HPDQ-TDA - 5.8kt</t>
  </si>
  <si>
    <t>HRC 2 - T11.1
14-15/11 nk</t>
  </si>
  <si>
    <t xml:space="preserve">2000003480 - 600B.T10.2025/HPDQ-HSPM-KH </t>
  </si>
  <si>
    <t>HRC 1 ĐÃ MAP 3K3
T10.5 4860 dự kiến 3-4/11 nk</t>
  </si>
  <si>
    <t>29-30.10.2025</t>
  </si>
  <si>
    <t xml:space="preserve">2000003412 - 579B.T09.2025/HPDQ-ASIA-KH, LSD 20/11 - 9200mt </t>
  </si>
  <si>
    <t>GRAND FAMILY 68</t>
  </si>
  <si>
    <t>2000003412 - 579B.T09.2025/HPDQ-ASIA-KH, LSD 20/11 - 9200mt</t>
  </si>
  <si>
    <t>DK 31/10 có LC</t>
  </si>
  <si>
    <r>
      <rPr>
        <b/>
        <sz val="14"/>
        <color rgb="FF000000"/>
        <rFont val="Times New Roman"/>
      </rPr>
      <t xml:space="preserve">2000003495- 565B1.T09.2025/HPDQ-TNM-KH - 5000t </t>
    </r>
    <r>
      <rPr>
        <b/>
        <sz val="14"/>
        <color rgb="FFFF0000"/>
        <rFont val="Times New Roman"/>
      </rPr>
      <t>(LSD: 10/11)</t>
    </r>
  </si>
  <si>
    <t>3-T11</t>
  </si>
  <si>
    <r>
      <rPr>
        <b/>
        <sz val="14"/>
        <color rgb="FF000000"/>
        <rFont val="Times New Roman"/>
      </rPr>
      <t>2000003495- 565B1.T09.2025/HPDQ-TNM-KH - 5000t</t>
    </r>
    <r>
      <rPr>
        <b/>
        <sz val="14"/>
        <color rgb="FFFF0000"/>
        <rFont val="Times New Roman"/>
      </rPr>
      <t xml:space="preserve"> (LSD: 10/11)</t>
    </r>
  </si>
  <si>
    <t>2200002153 - 537G.T08.2025/HPDQ-OTBD-KH 5000TAN đi HCM HRC1 - CÂN TẢI</t>
  </si>
  <si>
    <t>HRC 1 ĐÃ MAP 2K7
T10.5 dự kiến 02-03/11 nk</t>
  </si>
  <si>
    <t>02-04.11.2025</t>
  </si>
  <si>
    <r>
      <rPr>
        <b/>
        <sz val="14"/>
        <color rgb="FF000000"/>
        <rFont val="Times New Roman"/>
      </rPr>
      <t xml:space="preserve">2000003473 - 567A.T09.2025/HPDQ-TVP-KH - 10,000mt -  tối đa 3 tàu - đã có LC, </t>
    </r>
    <r>
      <rPr>
        <b/>
        <sz val="14"/>
        <color rgb="FFFF0000"/>
        <rFont val="Times New Roman"/>
      </rPr>
      <t xml:space="preserve">ưu tiên xuất hết SS400 đã mapping 
</t>
    </r>
    <r>
      <rPr>
        <b/>
        <sz val="14"/>
        <color rgb="FF000000"/>
        <rFont val="Times New Roman"/>
      </rPr>
      <t>LSD 20/11</t>
    </r>
  </si>
  <si>
    <t>HRC 2 - T10.5 - ĐÃ MAP 1,8KT
dự kiến 8-9/11 nk =&gt; cố gắng đủ 3k5 cho tàu này ngày 4/11 ạ</t>
  </si>
  <si>
    <t>03-4.11.2025</t>
  </si>
  <si>
    <t>2000003502 - 548G.T09.2025/HPDQ-TMP-KH - 2000t - CÂN TẢI</t>
  </si>
  <si>
    <t>HRC 1 - đã map 430t
T11.1 dự kiến 07-08/11 nk =&gt; push nk sớm nha</t>
  </si>
  <si>
    <t xml:space="preserve">2000003505 - 548F.T09.2025/HPDQ-OTMP-KH - 3000	</t>
  </si>
  <si>
    <t>HRC 2 T10.5 Hàng hóa ok - 3028</t>
  </si>
  <si>
    <t>T11</t>
  </si>
  <si>
    <t>2200002153 - 537G.T08.2025/HPDQ-OTBD-KH 5000TAN đi HCM HRC1</t>
  </si>
  <si>
    <t>2200002289 - 586D.T10.2025/HPDQ-OTBD-KH đi Long Bình 4790TAN HRC1</t>
  </si>
  <si>
    <t>HRC 1
T11.1 dự kiến 04-05/11 nk trước 2k. còn lại 2k8 dự kiến 6-7/11 nk</t>
  </si>
  <si>
    <t>MINH PHÁT 36</t>
  </si>
  <si>
    <t>03.11.2025</t>
  </si>
  <si>
    <t>2000003503 - 548F.T09.2025/HPDQ-OTMP-KH -2000t CÂN TẢI</t>
  </si>
  <si>
    <t>HRC 1
T11.1 dự kiến 06-07/11 nk</t>
  </si>
  <si>
    <t>2000003412 - 579B.T09.2025/HPDQ-ASIA-KH, LSD 20/11 - 9200mt
XUẤT HẾT MAPPING</t>
  </si>
  <si>
    <t>HRC 1 - HÀNG HÓA OK - MAP 9488</t>
  </si>
  <si>
    <t>2000003411 - 579B.T09.2025/HPDQ-ASIA-KH, LSD 20/11 - 1800mt
Xuất hết mapping</t>
  </si>
  <si>
    <t>2000003506 - 548G.T09.2025/HPDQ-TMP-KH - Linh check tình trạng rồi update nhé</t>
  </si>
  <si>
    <t>2000003485 - 548D.T09.2025/HPDQ-TMPHD-KH - Linh check tình trạng rồi update nhé</t>
  </si>
  <si>
    <t>2000003486 - 548D.T09.2025/HPDQ-TMPHD-KH - Linh check tình trạng rồi update nhé</t>
  </si>
  <si>
    <t>2000003487 - 548D.T09.2025/HPDQ-TMPHD-KH - Linh check tình trạng rồi update nhé</t>
  </si>
  <si>
    <t>2000003510 - 596.T10.2025/HPDQ-TPH-KH, LSD 12/12</t>
  </si>
  <si>
    <t>HRC 2 T10.5
dự kiến 14-15/11 nk hết</t>
  </si>
  <si>
    <t>2000003489 - 597B.T10.2025/HPDQ-THACO-KH, LSD 15/11</t>
  </si>
  <si>
    <t>2000003488 - 597C.T10.2025/HPDQ-CKTC-KH, LSD 15/11</t>
  </si>
  <si>
    <t>2000003458 - 559C.T09.2025/HPDQ-CKTC-KH, LSD 25/11</t>
  </si>
  <si>
    <t>2200002300 - 0077.T10.2025/HPDQ-OTĐN-NKH 181TAN đi Đà Nẵng HRC1</t>
  </si>
  <si>
    <t>2200002301 - 0077.T10.2025/HPDQ-OTĐN-NKH 500TAN đi Đà Nẵng HRC2</t>
  </si>
  <si>
    <t>10-11.11.2025</t>
  </si>
  <si>
    <r>
      <rPr>
        <b/>
        <sz val="14"/>
        <color rgb="FF000000"/>
        <rFont val="Times New Roman"/>
      </rPr>
      <t>2000003473 - 567A.T09.2025/HPDQ-TVP-KH - tối đa 3 tàu - đã có LC 
LSD 20/11</t>
    </r>
  </si>
  <si>
    <t>HRC 2 - T11.1 5K7
14-15/11 nk hết</t>
  </si>
  <si>
    <t>2000003502 - 548G.T09.2025/HPDQ-TMP-KH - 2000t - XUẤT HẾT MAPPING</t>
  </si>
  <si>
    <t>HRC 1
T11.1 dự kiến 07-08/11 nk</t>
  </si>
  <si>
    <t>2000003503 - 548F.T09.2025/HPDQ-OTMP-KH -2000t</t>
  </si>
  <si>
    <r>
      <rPr>
        <sz val="14"/>
        <color rgb="FF000000"/>
        <rFont val="Times New Roman"/>
      </rPr>
      <t xml:space="preserve">2000003473 - 567A.T09.2025/HPDQ-TVP-KH - tối đa 3 tàu - đã có LC 
</t>
    </r>
    <r>
      <rPr>
        <b/>
        <sz val="14"/>
        <color rgb="FF000000"/>
        <rFont val="Times New Roman"/>
      </rPr>
      <t>LSD 20/11</t>
    </r>
  </si>
  <si>
    <r>
      <rPr>
        <sz val="14"/>
        <color rgb="FF000000"/>
        <rFont val="Times New Roman"/>
      </rPr>
      <t xml:space="preserve">2000003474 - 567B.T09.2025/HPDQ-TVP-KH - tối đa 3 tàu - đã có LC 
</t>
    </r>
    <r>
      <rPr>
        <b/>
        <sz val="14"/>
        <color rgb="FF000000"/>
        <rFont val="Times New Roman"/>
      </rPr>
      <t>LSD 20/11, không cần giao sau 567A nữa ạ, 2 lot giao gối nhau được</t>
    </r>
  </si>
  <si>
    <t>HRC 2 T11.1
dự kiến 15-16/11 nk</t>
  </si>
  <si>
    <t>2000003507 - 548K.T09.2025/HPDQ-TMP-KH - 3200t</t>
  </si>
  <si>
    <t>HRC 2 T11.1
dự kiến 16-17/11 nk</t>
  </si>
  <si>
    <t>khách hẹn mở LC 27-31/10</t>
  </si>
  <si>
    <t>2000003508 - 548L.T09.2025HPDQ-TMPHD-KH - 6020t</t>
  </si>
  <si>
    <t>HRC 2 dự kiến 14-15/11 nk</t>
  </si>
  <si>
    <t>11-12/11/2025</t>
  </si>
  <si>
    <t>2000003268 - 544B.T07.2025/HPDQ-KKNH-KH - 4000t - 10/11 mở LC</t>
  </si>
  <si>
    <t>HRC 2 dự kiến 21-22/11 nk</t>
  </si>
  <si>
    <t>610.T10.2025/HPDQ-POSCO-KH, LSD 10/12</t>
  </si>
  <si>
    <t>HRC 2</t>
  </si>
  <si>
    <t>604.T10.2025/HPDQ-TN-KH - dự kiến lùi kế hoạch nha c LA ui - ơ T11.2 hay 3 gì mà</t>
  </si>
  <si>
    <t>HRC 1
T11.3 4k5 dự kiến 26-27/11 nk
T11.4 5k5 dự kiến 01-02/12 nk</t>
  </si>
  <si>
    <t>VIỆT THUẬN 095-01 (trả hàng miền nam xong quay đầu về DQ)</t>
  </si>
  <si>
    <t>12.10.2025</t>
  </si>
  <si>
    <t>15/11/2025</t>
  </si>
  <si>
    <t>2000003457 - 499.T10.2025/HPDQ-TMMN-NKH - 5kt 
LSD 15/11 - phải ra hóa đơn muộn nhất 15/11</t>
  </si>
  <si>
    <t>HRC 2 - T11.1
dự kiến 14-15/11 nk =&gt; a Tuân ơi muộn nhất sáng 15 nk đủ nhé ạ</t>
  </si>
  <si>
    <t>đang check KH LC, chưa ký XNDH</t>
  </si>
  <si>
    <t>592B.T10.2025/HPDQ-OTVĐ-KH - 2,500t</t>
  </si>
  <si>
    <t>HRC 1
T11.2 2k5 dự kiến 15-16/11 nk =&gt; Sỹ ơi push nk sớm nhé 15 xong thôi</t>
  </si>
  <si>
    <t>4-7/11/2025</t>
  </si>
  <si>
    <t>592D.T10.2025/HPDQ-OTVĐ-KH - 750t</t>
  </si>
  <si>
    <t>spot</t>
  </si>
  <si>
    <t>spot - checking</t>
  </si>
  <si>
    <t>2200002291 - 587B.T10.2025/HPDQ-THP-KH đi Hải Phòng 6600TAN HRC1</t>
  </si>
  <si>
    <t>HRC 1 
T11.4 3k6 dự kiến 29-30/11 nk</t>
  </si>
  <si>
    <t>HRC 1
T11.4 6k5 dự kiến 29-30/11 nk</t>
  </si>
  <si>
    <t>6-7/11/2025</t>
  </si>
  <si>
    <t>2000003512 - 592C.T10.2025/HPDQ-OTVĐ-KH - 7000t
- Dự kiến mở LC ngày 4-6.11.2025</t>
  </si>
  <si>
    <t>HRC 2 T11.1
dự kiến 3-4/11 map được 2kt
còn lại dự kiến 15-16/11 nk</t>
  </si>
  <si>
    <t>2000003483 - 589.T10.2025/HPDQ-TMMN-KH - 10kt</t>
  </si>
  <si>
    <t>HRC 1 
T11.2 1k9 dự kiến 17-18/11 nk
T11.4 6k1 dự kiến 28-29/11 nk</t>
  </si>
  <si>
    <r>
      <rPr>
        <sz val="14"/>
        <color rgb="FF000000"/>
        <rFont val="Times New Roman"/>
      </rPr>
      <t xml:space="preserve">2200002236 - 580A.T09.2025/HPDQ-HPC-KH - 9727mt 
</t>
    </r>
    <r>
      <rPr>
        <sz val="14"/>
        <color rgb="FFFF0000"/>
        <rFont val="Times New Roman"/>
      </rPr>
      <t>Chưa có kế hoạch</t>
    </r>
  </si>
  <si>
    <t>HRC 2  - 05/11 đủ - đang cán bù
còn 300t chờ cán bù (skin ra II)</t>
  </si>
  <si>
    <t>592B.T10.2025/HPDQ-OTVĐ-KH - 2500t</t>
  </si>
  <si>
    <t>HRC 1
T11.3 5k5 dự kiến 23-24/11 nk</t>
  </si>
  <si>
    <t>06/11</t>
  </si>
  <si>
    <t>2000003519 - 593.T10.2025/HPDQ-TP-KH, LSD 10/12</t>
  </si>
  <si>
    <t>HRC 2 dự kiến 21-22/11 nk
Đã map tồn 200t</t>
  </si>
  <si>
    <t>2200002293 - 587D.T10.2025/HPDQ-THP-KH đi Hải Phòng 1900TAN HRC1</t>
  </si>
  <si>
    <t>HRC 1
T11.1 1k9 dự kiến 4-5/11 nk</t>
  </si>
  <si>
    <t>KHỐI LƯỢNG 
TỔNG TÀU</t>
  </si>
  <si>
    <t xml:space="preserve">MT HÀ NỘI 07 </t>
  </si>
  <si>
    <t>02.10.2025</t>
  </si>
  <si>
    <t>4/10 B1</t>
  </si>
  <si>
    <t>5/10 phải xong</t>
  </si>
  <si>
    <t>2200002207 - 0038.T09.2025/HPDQ-OTBD-NKH đi Long Bình 5806TAN HRC2 - CÂN TẢI</t>
  </si>
  <si>
    <t>Stock HRC 2
Hàng hóa ok</t>
  </si>
  <si>
    <t>2200002208 - 0038.T09.2025/HPDQ-OTBD-NKH đi Long Bình 1485TAN HRC1</t>
  </si>
  <si>
    <t>Stock HRC 1</t>
  </si>
  <si>
    <t xml:space="preserve">2200002197 - 0029.T09.2025/HPDQ-OTBD-NKH 2768TAN đi Long Bình HRC2 </t>
  </si>
  <si>
    <t xml:space="preserve">GLORY PIONEER </t>
  </si>
  <si>
    <t>03.10.2025</t>
  </si>
  <si>
    <t>3/10 7CTH</t>
  </si>
  <si>
    <t>10/10 phải xong</t>
  </si>
  <si>
    <t>29/09/2025</t>
  </si>
  <si>
    <t>Kuching</t>
  </si>
  <si>
    <t>2400001285 - 122.T09-25/HPDQ-HWA (LOT 1) - GIANG</t>
  </si>
  <si>
    <t xml:space="preserve">HRC 2 - Hàng hóa ok </t>
  </si>
  <si>
    <t>2400001286 - 122.T09-25/HPDQ-HWA (LOT 2)</t>
  </si>
  <si>
    <t>2400001287 - 122.T09-25/HPDQ-HWA (LOT 3)</t>
  </si>
  <si>
    <t>30.09.2025</t>
  </si>
  <si>
    <t>2200002220 - 0045.T09.2025/HPDQ-OTBD-NKH đi Long Bình 458TAN HRC1</t>
  </si>
  <si>
    <t>SPOT HRC 1
HÀNG HÓA OK</t>
  </si>
  <si>
    <r>
      <rPr>
        <sz val="14"/>
        <color rgb="FF000000"/>
        <rFont val="Times New Roman"/>
      </rPr>
      <t xml:space="preserve">2200002221 - 0045.T09.2025/HPDQ-OTBD-NKH đi Long Bình 6154TAN HRC2 - </t>
    </r>
    <r>
      <rPr>
        <sz val="14"/>
        <color rgb="FFFF0000"/>
        <rFont val="Times New Roman"/>
      </rPr>
      <t>CÂN TẢI</t>
    </r>
  </si>
  <si>
    <t>HRC 2 - STOCK Hàng hóa ok
Hụt 60t - chốt</t>
  </si>
  <si>
    <t>2/10 B2</t>
  </si>
  <si>
    <t>4/10 phải xong, khách cần gấp</t>
  </si>
  <si>
    <t>2000003344 - 522B.T08.2025/HPDQ-VNO-KH - 1450T  (sx nhịp T09.3)</t>
  </si>
  <si>
    <r>
      <rPr>
        <sz val="14"/>
        <color rgb="FF000000"/>
        <rFont val="Times New Roman"/>
      </rPr>
      <t xml:space="preserve">2000003341 - 522A.T08.2025/HPDQ-VNO-KH - 850t (sx nhịp T09.3)
</t>
    </r>
    <r>
      <rPr>
        <sz val="14"/>
        <color rgb="FFFF0000"/>
        <rFont val="Times New Roman"/>
      </rPr>
      <t>XUẤT ĐỦ DUNG SAI - CÂN TẢI</t>
    </r>
  </si>
  <si>
    <t>HRC 1 - 932t
HÀNG HÓA OK</t>
  </si>
  <si>
    <t>2000003372 - 522B.T08.2025/HPDQ-VNO-KH - 1400t</t>
  </si>
  <si>
    <t>HRC 2 - Hàng hóa ok</t>
  </si>
  <si>
    <t xml:space="preserve">2000003389 - 522D.T08.2025/HPDQ-VNO-KH- 3100t </t>
  </si>
  <si>
    <t>HRC 2 hàng hóa ok</t>
  </si>
  <si>
    <t xml:space="preserve">2000003390 - 522F.T08.2025/HPDQ-VNO-KH - 1000T </t>
  </si>
  <si>
    <t>27.09.2025</t>
  </si>
  <si>
    <t>04/10 phải xong</t>
  </si>
  <si>
    <t>nội bộ</t>
  </si>
  <si>
    <t>2200002214 - 0041.T09.2025/HPDQ-OTHY-NKH đi Hải Phòng 2401TAN HRC2 - CÂN TẢI</t>
  </si>
  <si>
    <t>SPOT HRC 2 HÀNG HÓA OK
chốt hụt 1 cuộn</t>
  </si>
  <si>
    <t>2000003349 - 551.T09.2025/HPDQ-TP-KH, LSD 20/10 - XUẤT HẾT MAPPING</t>
  </si>
  <si>
    <t>2000003379 - 511B.T08.2025/HPDQ-PN-KH - 400T - LSD: 10/10 - XUẤT HẾT MAPPING - SO đã duyệt</t>
  </si>
  <si>
    <t>2200002215 - 0042.T09.2025/HPDQ-OTHY-NKH đi Hải Phòng 211TAN HRC2 - XUẤT HẾT MAPPING</t>
  </si>
  <si>
    <t>SPOT HRC 2 HÀNG HÓA OK</t>
  </si>
  <si>
    <t>2200002150 - 537D.T08.2025/HPDQ-OTHY-KH 15000TAN đi Hải Phòng HRC1 - XUẤT HẾT MAPPING</t>
  </si>
  <si>
    <t>HRC 1 - HÀNG HÓA OK
MAP 15k5</t>
  </si>
  <si>
    <t>NAM DƯƠNG 666</t>
  </si>
  <si>
    <t>3/10 B1</t>
  </si>
  <si>
    <t>04/10 xong hàng</t>
  </si>
  <si>
    <r>
      <rPr>
        <b/>
        <sz val="14"/>
        <color rgb="FF000000"/>
        <rFont val="Times New Roman"/>
      </rPr>
      <t xml:space="preserve">2000003339 - 553A.T09.2025/HPDQ-VINAS-KH - 1800t - Đã có LC - TRANG
</t>
    </r>
    <r>
      <rPr>
        <b/>
        <sz val="14"/>
        <color rgb="FFFF0000"/>
        <rFont val="Times New Roman"/>
      </rPr>
      <t>XUẤT HẾT MAPPING</t>
    </r>
  </si>
  <si>
    <t>HRC 2 -  Hàng hóa ok</t>
  </si>
  <si>
    <r>
      <rPr>
        <b/>
        <sz val="14"/>
        <color rgb="FF000000"/>
        <rFont val="Times New Roman"/>
      </rPr>
      <t xml:space="preserve">2000003373- 522E.T08.2025/HPDQ-HWA(VNO)-KH - 2000t - DK 30/9 có LC
</t>
    </r>
    <r>
      <rPr>
        <b/>
        <sz val="14"/>
        <color rgb="FFFF0000"/>
        <rFont val="Times New Roman"/>
      </rPr>
      <t>XUẤT HẾT MAPPING, ĐỦ DUNG SAI</t>
    </r>
  </si>
  <si>
    <r>
      <rPr>
        <sz val="14"/>
        <color rgb="FF000000"/>
        <rFont val="Times New Roman"/>
      </rPr>
      <t xml:space="preserve">2200002221 - 0045.T09.2025/HPDQ-OTBD-NKH đi Long Bình 6154TAN HRC2
</t>
    </r>
    <r>
      <rPr>
        <sz val="14"/>
        <color rgb="FFFF0000"/>
        <rFont val="Times New Roman"/>
      </rPr>
      <t>CÂN TẢI
DỠ CẨM NGUYÊN - LONG BÌNH</t>
    </r>
  </si>
  <si>
    <t>AN ĐỨC 68</t>
  </si>
  <si>
    <t>06.10.2025</t>
  </si>
  <si>
    <t>7/10 B2</t>
  </si>
  <si>
    <t>07/10 xong hàng</t>
  </si>
  <si>
    <r>
      <rPr>
        <b/>
        <sz val="14"/>
        <color rgb="FF000000"/>
        <rFont val="Times New Roman"/>
      </rPr>
      <t xml:space="preserve">2000003368 - 503F.T08.2025/HPDQ-TMPHD-KH - 1200T - </t>
    </r>
    <r>
      <rPr>
        <b/>
        <sz val="14"/>
        <color rgb="FFFF0000"/>
        <rFont val="Times New Roman"/>
      </rPr>
      <t>CÂN TẢI</t>
    </r>
  </si>
  <si>
    <t>HRC 1- ĐỦ HÀNG</t>
  </si>
  <si>
    <r>
      <rPr>
        <sz val="14"/>
        <color rgb="FF000000"/>
        <rFont val="Times New Roman"/>
      </rPr>
      <t xml:space="preserve">2000003188 - 539E.T07.2025/HPDQ-TMPHD-KH 8005TAN đi LA HRC2 - 8000MT
</t>
    </r>
    <r>
      <rPr>
        <sz val="14"/>
        <color rgb="FFFF0000"/>
        <rFont val="Times New Roman"/>
      </rPr>
      <t>XUẤT HẾT MAPPING, phải xuất đủ dung sai lệnh</t>
    </r>
  </si>
  <si>
    <t>HRC 2 - HÀNG HÓA OK
còn 4 cuộn skin xong map nốt</t>
  </si>
  <si>
    <r>
      <rPr>
        <sz val="14"/>
        <color rgb="FF000000"/>
        <rFont val="Times New Roman"/>
      </rPr>
      <t xml:space="preserve">2000003186 - 539C.T07.2025/HPDQ-TMPHD-KH 2500TAN đi LA HRC2
</t>
    </r>
    <r>
      <rPr>
        <sz val="14"/>
        <color rgb="FFFF0000"/>
        <rFont val="Times New Roman"/>
      </rPr>
      <t>XUẤT HẾT MAPPING</t>
    </r>
  </si>
  <si>
    <r>
      <rPr>
        <sz val="14"/>
        <color rgb="FF000000"/>
        <rFont val="Times New Roman"/>
      </rPr>
      <t xml:space="preserve">2000003254 - 539A3.T07.2025/HPDQ-TMPHD-KH - 131T
</t>
    </r>
    <r>
      <rPr>
        <sz val="14"/>
        <color rgb="FFFF0000"/>
        <rFont val="Times New Roman"/>
      </rPr>
      <t>XUẤT HẾT MAPPING</t>
    </r>
  </si>
  <si>
    <t>1/10 B3 -&gt;B1</t>
  </si>
  <si>
    <r>
      <rPr>
        <sz val="14"/>
        <color rgb="FF000000"/>
        <rFont val="Times New Roman"/>
      </rPr>
      <t xml:space="preserve">2000003380 - 561A.T09.2025/HPDQ-HSQN-KH
</t>
    </r>
    <r>
      <rPr>
        <sz val="14"/>
        <color rgb="FFFF0000"/>
        <rFont val="Times New Roman"/>
      </rPr>
      <t>Khách cần gấp</t>
    </r>
  </si>
  <si>
    <t>04.10.2025</t>
  </si>
  <si>
    <t>6/10 B3/5</t>
  </si>
  <si>
    <r>
      <rPr>
        <b/>
        <sz val="14"/>
        <color rgb="FF000000"/>
        <rFont val="Times New Roman"/>
      </rPr>
      <t xml:space="preserve">2000003378 - 571.T09.2025/HPDQ-TL-KH
</t>
    </r>
    <r>
      <rPr>
        <b/>
        <sz val="14"/>
        <color rgb="FFFF0000"/>
        <rFont val="Times New Roman"/>
      </rPr>
      <t>Chỉ giao 375kt, để lại 1 cuộn 2.80</t>
    </r>
  </si>
  <si>
    <r>
      <rPr>
        <sz val="13"/>
        <color rgb="FF000000"/>
        <rFont val="Times New Roman"/>
      </rPr>
      <t xml:space="preserve">2000003375 - 563.T09.2025/KH/HPDQ-JFE - Tổng 5,000 - Đã giao 4kt tháng 9
</t>
    </r>
    <r>
      <rPr>
        <sz val="13"/>
        <color rgb="FFFF0000"/>
        <rFont val="Times New Roman"/>
      </rPr>
      <t>LỆNH NÀY DỠ TRƯỚC</t>
    </r>
  </si>
  <si>
    <r>
      <rPr>
        <b/>
        <sz val="13"/>
        <color rgb="FF000000"/>
        <rFont val="Times New Roman"/>
      </rPr>
      <t xml:space="preserve">2000003413 - 563.T09.2025/KH/HPDQ-JFE - Tổng 15000 - Đã giao 4kt tháng 9
</t>
    </r>
    <r>
      <rPr>
        <b/>
        <sz val="13"/>
        <color rgb="FFFF0000"/>
        <rFont val="Times New Roman"/>
      </rPr>
      <t>LỆNH NÀY DỠ TRƯỚC</t>
    </r>
  </si>
  <si>
    <r>
      <rPr>
        <sz val="14"/>
        <color rgb="FF000000"/>
        <rFont val="Times New Roman"/>
      </rPr>
      <t xml:space="preserve">2000003386 - 578.T09.2025/HPDQ-SUNSCO-KH - LSD 15/10
</t>
    </r>
    <r>
      <rPr>
        <sz val="14"/>
        <color rgb="FFFF0000"/>
        <rFont val="Times New Roman"/>
      </rPr>
      <t>LỆNH NÀY DỠ TRƯỚC</t>
    </r>
  </si>
  <si>
    <t xml:space="preserve">TRUNG THẮNG 66 </t>
  </si>
  <si>
    <t>2000003369 - 553B.T09.2025/HPDQ-VINAS-KH - 10000t - TRANG - CÂN TẢI</t>
  </si>
  <si>
    <t xml:space="preserve">2000003309 - 460D.T06.2025/HPDQ-TVN-KH - 3000T - đã có LC - TRANG
Giao tối đa 2 lot/ </t>
  </si>
  <si>
    <t>01.10.2025</t>
  </si>
  <si>
    <t>5/10 B3/5</t>
  </si>
  <si>
    <t>4/10 phải xong</t>
  </si>
  <si>
    <r>
      <rPr>
        <b/>
        <sz val="14"/>
        <color rgb="FF000000"/>
        <rFont val="Times New Roman"/>
      </rPr>
      <t xml:space="preserve">2000003364 - 497B3.T05.2025/HPDQ-STAVIAN(OTSG)-KH - 2000t (Stavian tối đa mỗi tàu 2000t hàng) </t>
    </r>
    <r>
      <rPr>
        <b/>
        <sz val="14"/>
        <color rgb="FFFF0000"/>
        <rFont val="Times New Roman"/>
      </rPr>
      <t>- XUẤT HẾT MAPPING</t>
    </r>
  </si>
  <si>
    <r>
      <rPr>
        <sz val="14"/>
        <color rgb="FF000000"/>
        <rFont val="Times New Roman"/>
      </rPr>
      <t xml:space="preserve">2000003308 - 460C.T06.2025/HPDQ-TVN-KH - 2000T - </t>
    </r>
    <r>
      <rPr>
        <sz val="14"/>
        <color rgb="FFFF0000"/>
        <rFont val="Times New Roman"/>
      </rPr>
      <t>CÒN BAO NHIÊU GIAO HẾT</t>
    </r>
  </si>
  <si>
    <r>
      <rPr>
        <sz val="14"/>
        <color rgb="FF000000"/>
        <rFont val="Times New Roman"/>
      </rPr>
      <t xml:space="preserve">2000003307 - 460B.T06.2025/HPDQ-TVN-KH - 4000T - đã có LC - 
Giao tối đa 2 lot / </t>
    </r>
    <r>
      <rPr>
        <sz val="14"/>
        <color rgb="FFFF0000"/>
        <rFont val="Times New Roman"/>
      </rPr>
      <t>- XUẤT HẾT MAPPING</t>
    </r>
  </si>
  <si>
    <r>
      <rPr>
        <sz val="14"/>
        <color rgb="FF000000"/>
        <rFont val="Times New Roman"/>
      </rPr>
      <t xml:space="preserve">2000003369 - 553B.T09.2025/HPDQ-VINAS-KH - 10000t - TRANG - </t>
    </r>
    <r>
      <rPr>
        <sz val="14"/>
        <color rgb="FFFF0000"/>
        <rFont val="Times New Roman"/>
      </rPr>
      <t>CÂN TẢI</t>
    </r>
  </si>
  <si>
    <r>
      <rPr>
        <b/>
        <sz val="14"/>
        <color rgb="FF000000"/>
        <rFont val="Times New Roman"/>
      </rPr>
      <t xml:space="preserve">2000003240 - 528.T08.2025/HPDQ-POSCO-KH, LSD 5/10 - tổng 3,000mt
 </t>
    </r>
    <r>
      <rPr>
        <b/>
        <sz val="14"/>
        <color rgb="FFFF0000"/>
        <rFont val="Times New Roman"/>
      </rPr>
      <t xml:space="preserve">MAP ĐƯỢC BAO NHIÊU THÌ XUẤT HẾT, lưu ý đủ dung sai. 
</t>
    </r>
    <r>
      <rPr>
        <b/>
        <sz val="14"/>
        <color rgb="FF002060"/>
        <rFont val="Times New Roman"/>
      </rPr>
      <t>Dỡ Phú mỹ -&gt; Posco</t>
    </r>
  </si>
  <si>
    <r>
      <rPr>
        <sz val="14"/>
        <color rgb="FF000000"/>
        <rFont val="Times New Roman"/>
      </rPr>
      <t xml:space="preserve">2000003242 - 480.T07.2025/HPDQ-PVN, lệnh ok, LSD 5/10,
 </t>
    </r>
    <r>
      <rPr>
        <sz val="14"/>
        <color rgb="FFFF0000"/>
        <rFont val="Times New Roman"/>
      </rPr>
      <t>MAP ĐƯỢC BAO NHIÊU THÌ XUẤT HẾT, lưu ý đủ dung sai</t>
    </r>
  </si>
  <si>
    <t>6/10 HH3</t>
  </si>
  <si>
    <t>07/10 phải xong
SOS</t>
  </si>
  <si>
    <t>2200002219 - 0044.T09.2025/HPDQ-THP-NKH đi Hải Phòng 2053TAN HRC2 - CÂN TẢI</t>
  </si>
  <si>
    <t>2200002212 - 587A.T10.2025/HPDQ-THP-KH đi Hải Phòng 1595TAN HRC1 - XUẤT HẾT MAPPING</t>
  </si>
  <si>
    <t>2000003355- 547A.T09.2025/HPDQ-PVN(OTMN)-KH - 13kt - xuất HẾT mapping</t>
  </si>
  <si>
    <t>2000003387 - 557.T09.2025/HPDQ-TNH-KH, LSD 15/10 - xuất hết mapping</t>
  </si>
  <si>
    <t>HOÀNG PHÚC 89</t>
  </si>
  <si>
    <t>5/10 BTL</t>
  </si>
  <si>
    <t>06/10 phải xong</t>
  </si>
  <si>
    <r>
      <rPr>
        <sz val="14"/>
        <color rgb="FF000000"/>
        <rFont val="Times New Roman"/>
      </rPr>
      <t xml:space="preserve">2000003311 - 542B.T06.2025/HPDQ-KKNH-KH - 4000t (Thép Việt Nhật) - Đã có LC (tối đa 2 lot) </t>
    </r>
    <r>
      <rPr>
        <sz val="14"/>
        <color rgb="FFFF0000"/>
        <rFont val="Times New Roman"/>
      </rPr>
      <t>MAP DƯƠNG GIAO DƯƠNG NHA ANH TUÂN ƠI</t>
    </r>
  </si>
  <si>
    <t>6/10 B1</t>
  </si>
  <si>
    <t>07/10 phải xong</t>
  </si>
  <si>
    <t>2000003402 - 523A.T08.2025/HPDQ-TVP-KH - giao tối đa 3 tàu - đã có LC
LSD 15/10</t>
  </si>
  <si>
    <t>2000003371 - 522A.T08.2025/HPDQ-VNO-KH - 1750t - CÂN TẢI</t>
  </si>
  <si>
    <t>2000003389 - 522D.T08.2025/HPDQ-VNO-KH- 3100t</t>
  </si>
  <si>
    <t>2000003390 - 522F.T08.2025/HPDQ-VNO-KH - 1000T</t>
  </si>
  <si>
    <t>HRC 2 - hàng hóa ok</t>
  </si>
  <si>
    <t>02-04.10.2025</t>
  </si>
  <si>
    <t>7/10 CL</t>
  </si>
  <si>
    <t>08/10 phải xong</t>
  </si>
  <si>
    <t>2000003383 - 560A.T09.2025/HPDQ-HSNS-KH LSD 15/11 - CÂN TẢI</t>
  </si>
  <si>
    <r>
      <rPr>
        <sz val="14"/>
        <color rgb="FF000000"/>
        <rFont val="Times New Roman"/>
      </rPr>
      <t xml:space="preserve">2000003391 - 503B.T08.2025/HPDQ-TMPHD-KH - </t>
    </r>
    <r>
      <rPr>
        <b/>
        <sz val="14"/>
        <color rgb="FFFF0000"/>
        <rFont val="Times New Roman"/>
      </rPr>
      <t>XUẤT VỪA ĐỦ 4KT - đủ dung sai mỗi size
CW: 27-30T (2300T)</t>
    </r>
  </si>
  <si>
    <t>05-06.10.2025</t>
  </si>
  <si>
    <t>8/10 HH3</t>
  </si>
  <si>
    <t>2000003404 - 550B.T09.2025/HPDQ-OTVĐ-KH - LSD:20/11 - 4000 T - CÂN TẢI</t>
  </si>
  <si>
    <t>HRC 1 ĐÃ MAP 3K7
 HÀNG HÓA OK</t>
  </si>
  <si>
    <t>2000003435 - 550D.T09.2025/HPDQ-OTVĐ-KH - LSD: 26/11 - 5000 T - XUẤT HẾT MAPPING</t>
  </si>
  <si>
    <t>08.10.2025</t>
  </si>
  <si>
    <t>10/10 b2</t>
  </si>
  <si>
    <t>09/10 phải xong</t>
  </si>
  <si>
    <t>09.10.2025</t>
  </si>
  <si>
    <t>11/10 b3</t>
  </si>
  <si>
    <t>2000003380 - 561A.T09.2025/HPDQ-HSQN-KH
Khách cần gấp, a Tuân bảo là ko đủ 100% thì đành giao âm</t>
  </si>
  <si>
    <r>
      <rPr>
        <sz val="14"/>
        <color rgb="FF000000"/>
        <rFont val="Times New Roman"/>
      </rPr>
      <t xml:space="preserve">2000003381 - 561A.T09.2025/HPDQ-HSQN-KH
</t>
    </r>
    <r>
      <rPr>
        <sz val="14"/>
        <color rgb="FFFF0000"/>
        <rFont val="Times New Roman"/>
      </rPr>
      <t>CÂN TẢI NHƯNG ĐỦ PHẢI DUNG SAI DÒNG HÀNG</t>
    </r>
  </si>
  <si>
    <t>10.10.2025</t>
  </si>
  <si>
    <t>13/10 b2</t>
  </si>
  <si>
    <t>11/10 phải xong</t>
  </si>
  <si>
    <t>2200002232 - 582D.T09.2025/HPDQ-OTBD-KH đi Long Bình 6860TAN HRC1</t>
  </si>
  <si>
    <t>VIỆT THUẬN 11-05</t>
  </si>
  <si>
    <t>8/10 B3/5</t>
  </si>
  <si>
    <t>2000003405 - 550C.T09.2025/HPDQ-OTVĐ-KH - LSD: 20/11 - 3000 T  - CÂN TẢI</t>
  </si>
  <si>
    <t>2000003346 - 503A.T08.2025/HPDQ-TMPHD-KH - 2000T - xuất hết mapping</t>
  </si>
  <si>
    <t>2000003357 - 547B.T09.2025/HPDQ-PVN(OTMN)-KH - 7kt - XUẤT HẾT MAPPING - ƯU TIÊN 1</t>
  </si>
  <si>
    <t>VIỆT THUẬN 11-03</t>
  </si>
  <si>
    <t>7/10 CTH</t>
  </si>
  <si>
    <t>xếp muộn muộn thôi cũng đc ạ nhưng vẫn ra hàng trước 10/10 anh ơi</t>
  </si>
  <si>
    <t>2200002162 - 582A.T09.2025/HPDQ-OTHY-KH đi Hải Phòng 32700TAN HRC1 - CÂN TẢI</t>
  </si>
  <si>
    <t>2000003395 - 554.T09.2025/HPDQ-HANOIS-KH - 3970t - CW&gt;25T - đã có LC XUẤT HẾT MAPPING</t>
  </si>
  <si>
    <t>2200002199 - 0031.T09.2025/HPDQ-OTHY-NKH 5056TAN đi Hải Phòng HRC2 - xuất hết mapping</t>
  </si>
  <si>
    <t>2200002213 - 0041.T09.2025/HPDQ-OTHY-NKH đi Hải Phòng 164TAN HRC1 - xuất hết mapping</t>
  </si>
  <si>
    <t>2200002219 - 0044.T09.2025/HPDQ-THP-NKH đi Hải Phòng 2053TAN HRC2 - xuất vừa đủ 1050 mt</t>
  </si>
  <si>
    <t>2200002218 - 0044.T09.2025/HPDQ-THP-NKH đi Hải Phòng 113TAN HRC1 - xuất hết mapping</t>
  </si>
  <si>
    <t>VIỆT THUẬN 10-05</t>
  </si>
  <si>
    <t>10/10 HH</t>
  </si>
  <si>
    <t>Ưu tiên, 11/10 phải xong</t>
  </si>
  <si>
    <t>đợi update sx</t>
  </si>
  <si>
    <t>2000003431 - 581.T09.2025/KH/HPDQ-TDA - 3kt - XUẤT HẾT MAPPING</t>
  </si>
  <si>
    <t>HRC 2  hàng hóa ok</t>
  </si>
  <si>
    <r>
      <rPr>
        <sz val="14"/>
        <color rgb="FF000000"/>
        <rFont val="Times New Roman"/>
      </rPr>
      <t xml:space="preserve">2000003353 - 581.T09.2025/KH/HPDQ-TDA - 2kt -  XUẤT HẾT MAPPING
</t>
    </r>
    <r>
      <rPr>
        <sz val="14"/>
        <color rgb="FFFF0000"/>
        <rFont val="Times New Roman"/>
      </rPr>
      <t>LỆNH NÀY DỠ TRƯỚC</t>
    </r>
  </si>
  <si>
    <t>2000003416 - 0046.T10.2025/HPDQ-KD-NKH - 300T - đã có LC -  XUẤT HẾT MAPPING</t>
  </si>
  <si>
    <t>2000003414 - 563.T09.2025/KH/HPDQ-JFE - Tổng 15000 - Đã giao 4kt tháng 9 -  XUẤT HẾT MAPPING</t>
  </si>
  <si>
    <t>2200002229 - 0049.T10.2025/HPDQ-OTBD-NKH đi Long Bình 4833TAN HRC2 - CÂN TẢI</t>
  </si>
  <si>
    <t>06-08.10.2025
CHỜ DỠ ĐÁ TỪ 04.10</t>
  </si>
  <si>
    <t>11/10 B2</t>
  </si>
  <si>
    <r>
      <rPr>
        <sz val="14"/>
        <color rgb="FF000000"/>
        <rFont val="Times New Roman"/>
      </rPr>
      <t>11/10 phải xong
=&gt;</t>
    </r>
    <r>
      <rPr>
        <sz val="14"/>
        <color rgb="FFFF0000"/>
        <rFont val="Times New Roman"/>
      </rPr>
      <t xml:space="preserve"> đơn này khách cần sớm, sos</t>
    </r>
  </si>
  <si>
    <t>2000003371 - 522A.T08.2025/HPDQ-VNO-KH - 1750t - k map dương nhé ạ</t>
  </si>
  <si>
    <t>2000003434 - 522A.T08.2025/HPDQ-VNO-KH - 200t</t>
  </si>
  <si>
    <t>2000003388 - 522C.T08.2025/HPDQ-VNO-KH -3250t - k map dương nhé ạ</t>
  </si>
  <si>
    <r>
      <rPr>
        <sz val="14"/>
        <color rgb="FF000000"/>
        <rFont val="Times New Roman"/>
      </rPr>
      <t xml:space="preserve">2200002230 - 0050.T10.2025/HPDQ-SPTLA-NKH đi Long An 664TAN HRC2 - </t>
    </r>
    <r>
      <rPr>
        <sz val="14"/>
        <color rgb="FFFF0000"/>
        <rFont val="Times New Roman"/>
      </rPr>
      <t>CÂN TẢI</t>
    </r>
  </si>
  <si>
    <t>VIPMACO 08</t>
  </si>
  <si>
    <t>11/10 CTH</t>
  </si>
  <si>
    <r>
      <rPr>
        <sz val="14"/>
        <color rgb="FF000000"/>
        <rFont val="Times New Roman"/>
      </rPr>
      <t xml:space="preserve">2200002207 - 0038.T09.2025/HPDQ-OTBD-NKH đi Long Bình 5806TAN HRC2 - </t>
    </r>
    <r>
      <rPr>
        <sz val="14"/>
        <color rgb="FFFF0000"/>
        <rFont val="Times New Roman"/>
      </rPr>
      <t>CÒN BAO NHIÊU XUẤT HẾT</t>
    </r>
  </si>
  <si>
    <t>2200002229 - 0049.T10.2025/HPDQ-OTBD-NKH đi Long Bình 4833TAN HRC2
CÂN TẢI</t>
  </si>
  <si>
    <t>2200002228 - 0049.T10.2025/HPDQ-OTBD-NKH đi Long Bình 226TAN HRC1</t>
  </si>
  <si>
    <t>Stock HRC 1
Hàng hóa ok</t>
  </si>
  <si>
    <t>cuối ngày 8/10</t>
  </si>
  <si>
    <t>2000003400 - 457.T06.2025/HPDQ-VISA (NĐ) - 60T</t>
  </si>
  <si>
    <t>2000003401 - 572A.T09.2025/HPDQ-VISA (NĐ) - 200T</t>
  </si>
  <si>
    <t>2200002206 - 0037.T09.2025/HPDQ-SPTLA-NKH đi Long An 1202TAN HRC2
CÒN BAO NHIÊU XUẤT HẾT</t>
  </si>
  <si>
    <t>2200002235 - 580B.T09.2025/HPDQ-HPC-KH đi Long An 90TAN HRC2</t>
  </si>
  <si>
    <t>2200002230 - 0050.T10.2025/HPDQ-SPTLA-NKH đi Long An 664TAN HRC2
CÒN BAO NHIÊU XUẤT HẾT</t>
  </si>
  <si>
    <t>13/10 HH3</t>
  </si>
  <si>
    <t>14/10 phải xong</t>
  </si>
  <si>
    <r>
      <rPr>
        <b/>
        <sz val="14"/>
        <color rgb="FF000000"/>
        <rFont val="Times New Roman"/>
      </rPr>
      <t xml:space="preserve">2000003397 - 575.T09.2025/HPDQ-CSVC-KH
</t>
    </r>
    <r>
      <rPr>
        <b/>
        <sz val="14"/>
        <color rgb="FFFF0000"/>
        <rFont val="Times New Roman"/>
      </rPr>
      <t>- xuất hết mapping, phải đủ dung sai</t>
    </r>
  </si>
  <si>
    <r>
      <rPr>
        <sz val="14"/>
        <color rgb="FF000000"/>
        <rFont val="Times New Roman"/>
      </rPr>
      <t xml:space="preserve">2000003359 - 542C.T06.2025/HPDQ-TVN-KH - 1500t - 8/10 có LC </t>
    </r>
    <r>
      <rPr>
        <sz val="14"/>
        <color rgb="FFFF0000"/>
        <rFont val="Times New Roman"/>
      </rPr>
      <t>(đi 1 tàu chung lệnh 3358) - LSD 15/10 Dung sai 5%</t>
    </r>
  </si>
  <si>
    <r>
      <rPr>
        <sz val="14"/>
        <color rgb="FF000000"/>
        <rFont val="Times New Roman"/>
      </rPr>
      <t>2000003358 - 542C.T06.2025/HPDQ-TVN-KH - 3500t - 8/10 có LC</t>
    </r>
    <r>
      <rPr>
        <sz val="14"/>
        <color rgb="FFFF0000"/>
        <rFont val="Times New Roman"/>
      </rPr>
      <t xml:space="preserve"> (đi 1 tàu chung lệnh 3359) - LSD 15/10 Dung sai 5%</t>
    </r>
  </si>
  <si>
    <t>2000003322 - 460D.T06.2025/HPDQ-TVN-KH - 1000T - đã có LC - TRANG
 - xuất hết mapping, phải đủ dung sai</t>
  </si>
  <si>
    <t xml:space="preserve"> Phú Mỹ (ưu tiên Hồng Long/ QT Thị Vải)</t>
  </si>
  <si>
    <r>
      <rPr>
        <sz val="14"/>
        <color rgb="FF000000"/>
        <rFont val="Times New Roman"/>
      </rPr>
      <t>2000003367 - 503F.T08.2025/HPDQ-TMPHD-KH - 800T -</t>
    </r>
    <r>
      <rPr>
        <sz val="14"/>
        <color rgb="FFFF0000"/>
        <rFont val="Times New Roman"/>
      </rPr>
      <t xml:space="preserve"> xuất hết mapping
</t>
    </r>
    <r>
      <rPr>
        <sz val="14"/>
        <color rgb="FF000000"/>
        <rFont val="Times New Roman"/>
      </rPr>
      <t>SOS - Lượng còn lại cho đi sớm giúp e vs ạ</t>
    </r>
  </si>
  <si>
    <t>2200002236 - 580A.T09.2025/HPDQ-HPC-KH - 9727mt - CÂN TẢI</t>
  </si>
  <si>
    <r>
      <rPr>
        <sz val="14"/>
        <color rgb="FF000000"/>
        <rFont val="Times New Roman"/>
      </rPr>
      <t xml:space="preserve">2000003421 - 520B.T08.2025/HPDQ-NK-KH - đi chung lệnh 2*3419
</t>
    </r>
    <r>
      <rPr>
        <b/>
        <sz val="14"/>
        <color rgb="FFFF0000"/>
        <rFont val="Times New Roman"/>
      </rPr>
      <t>lệnh này dỡ trước - xuất hết mapping, phải đủ dung sai</t>
    </r>
  </si>
  <si>
    <r>
      <rPr>
        <sz val="14"/>
        <color rgb="FF000000"/>
        <rFont val="Times New Roman"/>
      </rPr>
      <t xml:space="preserve">2000003419 - 520B.T08.2025/HPDQ-NK-KH
</t>
    </r>
    <r>
      <rPr>
        <b/>
        <sz val="14"/>
        <color rgb="FFFF0000"/>
        <rFont val="Times New Roman"/>
      </rPr>
      <t>lệnh này dỡ trước - xuất hết mapping, phải đủ dung sai</t>
    </r>
  </si>
  <si>
    <t>07.10.2025</t>
  </si>
  <si>
    <t>11/10 B3/5</t>
  </si>
  <si>
    <t>12/10 phải xong</t>
  </si>
  <si>
    <t>2200002193 - 545.T09.2025/HPDQ-THP-KH đi Hải Phòng 16060TAN HRC2 - CÂN TẢI - ƯU TIÊN MÁC SAE1017</t>
  </si>
  <si>
    <t>2200002192 - 545.T09.2025/HPDQ-THP-KH đi Hải Phòng 8940TAN HRC1 - xuất hết mapping</t>
  </si>
  <si>
    <t>11.10.2025</t>
  </si>
  <si>
    <t>15/10 B3/5</t>
  </si>
  <si>
    <t>làm xong càng sớm càng tốt ạ</t>
  </si>
  <si>
    <t>HRC 1- HÀNG HÓA OK
ĐÃ 26K12</t>
  </si>
  <si>
    <r>
      <rPr>
        <sz val="14"/>
        <color rgb="FF000000"/>
        <rFont val="Times New Roman"/>
      </rPr>
      <t xml:space="preserve">2000003394 - 553D.T09.2025/HPDQ-VINAS-KH - 2970t - </t>
    </r>
    <r>
      <rPr>
        <b/>
        <sz val="14"/>
        <color rgb="FFFF0000"/>
        <rFont val="Times New Roman"/>
      </rPr>
      <t>CW&gt;25T</t>
    </r>
    <r>
      <rPr>
        <sz val="14"/>
        <color rgb="FF000000"/>
        <rFont val="Times New Roman"/>
      </rPr>
      <t xml:space="preserve"> - đã có LC - LSD 6/11 - xuất vừa đủ 950t</t>
    </r>
  </si>
  <si>
    <t>2200002219 - 0044.T09.2025/HPDQ-THP-NKH đi Hải Phòng 2053TAN HRC2 - xuất hết mapping</t>
  </si>
  <si>
    <t>2200002222- 0046.T10.2025/HPDQ-THP-NKH đi Hải Phòng 332TAN HRC1 - XUẤT HẾT MAPPING</t>
  </si>
  <si>
    <t>2200002223 - 0046.T10.2025/HPDQ-THP-NKH đi Hải Phòng 810TAN HRC2 - XUẤT HẾT MAPPING</t>
  </si>
  <si>
    <t>2200002224 - 0047.T10.2025/HPDQ-OTHY-NKH đi Hải Phòng 125TAN HRC1 - XUẤT HẾT MAPPING</t>
  </si>
  <si>
    <t>2200002225 - 0047.T10.2025/HPDQ-OTHY-NKH đi Hải Phòng 366TAN HRC2 - XUẤT HẾT MAPPING</t>
  </si>
  <si>
    <t>12-13.10.2025</t>
  </si>
  <si>
    <t>13/10 B2</t>
  </si>
  <si>
    <t>lệnh ok</t>
  </si>
  <si>
    <t>2000003382 - 560A.T09.2025/HPDQ-HSNS-KH - CÂN TẢI</t>
  </si>
  <si>
    <t>2200002246 - 0051.T10.2025/HPDQ-THP-NKH đi Hải Phòng 1982TAN HRC2 - xuất hết mapping</t>
  </si>
  <si>
    <t>2200002251 - 0054.T10.2025/HPDQ-OTHY-NKH đi Hải Phòng 228TAN HRC2- XUẤT HẾT MAPPING</t>
  </si>
  <si>
    <t>2200002253 - 0056.T10.2025/HPDQ-OTHY-NKH đi Hải Phòng 176TAN HRC2 - XUẤT HẾT MAPPING</t>
  </si>
  <si>
    <t>2200002254 - 0057.T10.2025/HPDQ-OTHY-NKH đi Hải Phòng 1016TAN HRC2- XUẤT VỪA ĐỦ 134T</t>
  </si>
  <si>
    <t>13/10 B3/5</t>
  </si>
  <si>
    <r>
      <rPr>
        <sz val="14"/>
        <color rgb="FF000000"/>
        <rFont val="Times New Roman"/>
      </rPr>
      <t xml:space="preserve">2000003424 - 503E.T08.2025/HPDQ-TMPHD-KH - 4200T  -  xuất tách hóa đơn với lệnh 2000003425
</t>
    </r>
    <r>
      <rPr>
        <sz val="14"/>
        <color rgb="FFFF0000"/>
        <rFont val="Times New Roman"/>
      </rPr>
      <t>CW: 27-30T - XUẤT HẾT MAPPING</t>
    </r>
  </si>
  <si>
    <r>
      <rPr>
        <sz val="14"/>
        <color rgb="FF000000"/>
        <rFont val="Times New Roman"/>
      </rPr>
      <t xml:space="preserve">2000003425 - 503E.T08.2025/HPDQ-TMPHD-KH - 3360T -  xuất tách hóa đơn với lệnh 2000003424
</t>
    </r>
    <r>
      <rPr>
        <sz val="14"/>
        <color rgb="FFFF0000"/>
        <rFont val="Times New Roman"/>
      </rPr>
      <t>CW: 27-30T  - XUẤT HẾT MAPPING</t>
    </r>
  </si>
  <si>
    <t xml:space="preserve">2000003368 - 503F.T08.2025/HPDQ-TMPHD-KH - 1200T </t>
  </si>
  <si>
    <t>2000003444 - 531A4.T08.2025/HPDQ-STAVIAN(OTSG)-KH</t>
  </si>
  <si>
    <t>2000003442 - 531A2.T08.2025/HPDQ-STAVIAN(OTSG)-KH - CÂN TẢI</t>
  </si>
  <si>
    <t>18.10.2025</t>
  </si>
  <si>
    <t>VIỆT THUẬN 12-07</t>
  </si>
  <si>
    <t>16.10.2025</t>
  </si>
  <si>
    <t>9B</t>
  </si>
  <si>
    <r>
      <rPr>
        <b/>
        <sz val="14"/>
        <color rgb="FF000000"/>
        <rFont val="Times New Roman"/>
      </rPr>
      <t xml:space="preserve">2000003443 - 531A3.T08.2025/HPDQ-STAVIAN(OTSG)-KH
</t>
    </r>
    <r>
      <rPr>
        <b/>
        <sz val="14"/>
        <color rgb="FFFF0000"/>
        <rFont val="Times New Roman"/>
      </rPr>
      <t>Dỡ Tân Thuận -&gt; Phú Mỹ</t>
    </r>
  </si>
  <si>
    <t>2000003445 - 531A5.T08.2025/HPDQ-STAVIAN(OTSG)-KH</t>
  </si>
  <si>
    <t>2000003442 - 531A2.T08.2025/HPDQ-STAVIAN(OTSG)-KH
CÒN BAO NHIÊU XUẤT HẾT</t>
  </si>
  <si>
    <r>
      <rPr>
        <sz val="14"/>
        <color rgb="FF000000"/>
        <rFont val="Times New Roman"/>
      </rPr>
      <t xml:space="preserve">2000003418 - 564.T09.2025/HPDQ-NK-KH -  Tổng 9170t  - xem duyệt sớm 15 có hàng đi luôn nhá Hương </t>
    </r>
    <r>
      <rPr>
        <sz val="14"/>
        <color rgb="FFFF0000"/>
        <rFont val="Times New Roman"/>
      </rPr>
      <t xml:space="preserve">oki ạ - CÂN TẢI
</t>
    </r>
    <r>
      <rPr>
        <b/>
        <sz val="14"/>
        <color rgb="FFC00000"/>
        <rFont val="Times New Roman"/>
      </rPr>
      <t>xuất hết mapping hàng 2 ly rồi mới đến hàng khác</t>
    </r>
  </si>
  <si>
    <t>VIỆT THUẬN 12-01</t>
  </si>
  <si>
    <t>17-18.10.2025</t>
  </si>
  <si>
    <t>19/10 CTH</t>
  </si>
  <si>
    <t>2000003418 - 564.T09.2025/HPDQ-NK-KH - Tổng 9170t
xuất hết mapping</t>
  </si>
  <si>
    <t>2000003291 - 520A.T08.2025/HPDQ-NK-KH - LSD 31/10
xuất hết mapping</t>
  </si>
  <si>
    <t>2000003427 - 520A.T08.2025/HPDQ-NK-KH - LSD 31/10
xuất hết mapping</t>
  </si>
  <si>
    <t>2000003420 - 520B.T08.2025/HPDQ-NK-KH
xuất hết mapping</t>
  </si>
  <si>
    <t>2000003447 - 520B.T08.2025/HPDQ-NK-KH 
xuất hết mapping</t>
  </si>
  <si>
    <t>HRC 1 ĐÃ MAP 1481
HÀNG HÓA OK 18/10 map thêm</t>
  </si>
  <si>
    <t xml:space="preserve">2000003441 - 531A1.T08.2025/HPDQ-STAVIAN(OTSG)-KH </t>
  </si>
  <si>
    <t>20/10/2025</t>
  </si>
  <si>
    <t>2200002278 - 0070.T10.2025/HPDQ-OTBD-NKH HRC1 đi Long Bình 240TAN</t>
  </si>
  <si>
    <t xml:space="preserve">stock HRC </t>
  </si>
  <si>
    <r>
      <rPr>
        <sz val="14"/>
        <color rgb="FF000000"/>
        <rFont val="Times New Roman"/>
      </rPr>
      <t xml:space="preserve">2200002266 - 0063.T10.2025/HPDQ-OTBD-NKH đi Long Bình 748TAN HRC1
</t>
    </r>
    <r>
      <rPr>
        <sz val="14"/>
        <color rgb="FFFF0000"/>
        <rFont val="Times New Roman"/>
      </rPr>
      <t>Còn bao nhiêu xuất hết</t>
    </r>
  </si>
  <si>
    <t>Stock HRC 2
hụt 165t - chốt</t>
  </si>
  <si>
    <t>2200002280 - 0071.T10.2025/HPDQ-SPTLA-NKH HRC1 đi Long An 120TAN</t>
  </si>
  <si>
    <t>2200002279 - 0071.T10.2025/HPDQ-SPTLA-NKH HRC2 đi Long An 1575TAN - XUẤT CUỘN TO TRƯỚC - CÂN TẢI</t>
  </si>
  <si>
    <t>14/10 B3</t>
  </si>
  <si>
    <t>NHẬT LINH 09</t>
  </si>
  <si>
    <t>14/10 B2</t>
  </si>
  <si>
    <t>2200002229 - 0049.T10.2025/HPDQ-OTBD-NKH đi Long Bình 4833TAN HRC2
- CÂN TẢI</t>
  </si>
  <si>
    <t xml:space="preserve">2000003410 - 579A.T09.2025/HPDQ-ASIA-KH </t>
  </si>
  <si>
    <t>NAM PHÁT 268</t>
  </si>
  <si>
    <t>14.10.2025</t>
  </si>
  <si>
    <t>14/10 BTL</t>
  </si>
  <si>
    <t>2000003410 - 579A.T09.2025/HPDQ-ASIA-KH</t>
  </si>
  <si>
    <t>ĐỨC SẢN 558</t>
  </si>
  <si>
    <t>2000003410 - 579A.T09.2025/HPDQ-ASIA-KH
Căn để lại đủ 4450mt cho tàu NAM PHÁT 268, còn bao nhiêu đưa hét lên tàu này</t>
  </si>
  <si>
    <t>2200002252 - 0055.T10.2025/HPDQ-SPTLA-NKH đi Long An 1788TAN HRC2 - Cân tải</t>
  </si>
  <si>
    <t>HOÀNG PHÚC 69</t>
  </si>
  <si>
    <t>15.10.2025</t>
  </si>
  <si>
    <t>15/10 B3</t>
  </si>
  <si>
    <t>2200002245 586E.T10.2025/HPDQ-SPTLA-KH - 800t</t>
  </si>
  <si>
    <t>2200002252 - 0055.T10.2025/HPDQ-SPTLA-NKH đi Long An 1788TAN HRC2 - Còn bao nhiêu xuất hết</t>
  </si>
  <si>
    <t xml:space="preserve">2000003459 - 542D.T06.2025/HPDQ-KKNH-KH - 3kt </t>
  </si>
  <si>
    <r>
      <rPr>
        <sz val="14"/>
        <color rgb="FF000000"/>
        <rFont val="Times New Roman"/>
      </rPr>
      <t xml:space="preserve">2000003399 - 503D.T08.2025/HPDQ-TMPHD-KH - 11kt  </t>
    </r>
    <r>
      <rPr>
        <b/>
        <sz val="14"/>
        <color rgb="FFFF0000"/>
        <rFont val="Times New Roman"/>
      </rPr>
      <t xml:space="preserve">(LSD: 31/10) 
</t>
    </r>
    <r>
      <rPr>
        <sz val="14"/>
        <color rgb="FFFF0000"/>
        <rFont val="Times New Roman"/>
      </rPr>
      <t>CW: 27-30T (1000T) - Size 2.90x1500</t>
    </r>
  </si>
  <si>
    <t>15/10/2025</t>
  </si>
  <si>
    <t>2200002263 - 0062.T10.2025/HPDQ-SPTLA-NKH đi Long An 208TAN HRC1</t>
  </si>
  <si>
    <t xml:space="preserve">stock HRC 1 </t>
  </si>
  <si>
    <r>
      <rPr>
        <sz val="14"/>
        <color rgb="FF000000"/>
        <rFont val="Times New Roman"/>
      </rPr>
      <t xml:space="preserve">2200002264 - 0062.T10.2025/HPDQ-SPTLA-NKH đi Long An 1438TAN HRC2
</t>
    </r>
    <r>
      <rPr>
        <sz val="14"/>
        <color rgb="FFFF0000"/>
        <rFont val="Times New Roman"/>
      </rPr>
      <t>CÂN TẢI - XUẤT CUỘN TO TRƯỚC</t>
    </r>
  </si>
  <si>
    <t>HOÀNG PHÚC 99</t>
  </si>
  <si>
    <t>17/10 B2</t>
  </si>
  <si>
    <t>2200002264 - 0062.T10.2025/HPDQ-SPTLA-NKH đi Long An 1438TAN HRC2
Còn bao nhiêu xuất hết</t>
  </si>
  <si>
    <r>
      <rPr>
        <sz val="14"/>
        <color rgb="FF000000"/>
        <rFont val="Times New Roman"/>
      </rPr>
      <t xml:space="preserve">2000003393 - 553C.T09.2025/HPDQ-VINAS-KH - 860t (giao 1 tàu) - </t>
    </r>
    <r>
      <rPr>
        <b/>
        <sz val="14"/>
        <color rgb="FFFF0000"/>
        <rFont val="Times New Roman"/>
      </rPr>
      <t>CW&gt;25T
Còn bao nhiêu xuất hết</t>
    </r>
  </si>
  <si>
    <t>2200002250 - 0053.T10.2025/HPDQ-OTBD-NKH đi Long Bình 324TAN HRC2
Còn bao nhiêu xuất hết</t>
  </si>
  <si>
    <t>spot HRC 2 Hàng hóa ok</t>
  </si>
  <si>
    <t>2200002249 - 0053.T10.2025/HPDQ-OTBD-NKH đi Long Bình 585TAN HRC1
Còn bao nhiêu xuất hết</t>
  </si>
  <si>
    <t>2200002229 - 0049.T10.2025/HPDQ-OTBD-NKH đi Long Bình 4833TAN HRC2
Còn bao nhiêu xuất hết</t>
  </si>
  <si>
    <t>2200002265 - 0063.T10.2025/HPDQ-OTBD-NKH đi Long Bình 375TAN HRC1
Còn bao nhiêu xuất hết</t>
  </si>
  <si>
    <r>
      <rPr>
        <sz val="14"/>
        <color rgb="FF000000"/>
        <rFont val="Times New Roman"/>
      </rPr>
      <t xml:space="preserve">2200002266 - 0063.T10.2025/HPDQ-OTBD-NKH đi Long Bình 748TAN HRC1
</t>
    </r>
    <r>
      <rPr>
        <sz val="14"/>
        <color rgb="FFFF0000"/>
        <rFont val="Times New Roman"/>
      </rPr>
      <t>CÂN TẢI - XUẤT CUỘN TO TRƯỚC</t>
    </r>
  </si>
  <si>
    <t>2200002254 - 0057.T10.2025/HPDQ-OTHY-NKH đi Hải Phòng 1016TAN HRC2 - CÂN TẢI</t>
  </si>
  <si>
    <r>
      <rPr>
        <sz val="14"/>
        <color rgb="FF000000"/>
        <rFont val="Times New Roman"/>
      </rPr>
      <t xml:space="preserve">2000003395 - 554.T09.2025/HPDQ-HANOIS-KH - 3970t - </t>
    </r>
    <r>
      <rPr>
        <sz val="14"/>
        <color rgb="FFFF0000"/>
        <rFont val="Times New Roman"/>
      </rPr>
      <t>CW&gt;25T</t>
    </r>
    <r>
      <rPr>
        <sz val="14"/>
        <color rgb="FF000000"/>
        <rFont val="Times New Roman"/>
      </rPr>
      <t xml:space="preserve"> - đã có LC - XUẤT HẾT MAPPING</t>
    </r>
  </si>
  <si>
    <t>2200002233 - 586C.T10.2025/HPDQ-OTHY-KH - xuất hết mapping</t>
  </si>
  <si>
    <t>15/10 B5</t>
  </si>
  <si>
    <t>2200002256 - 0058.T10.2025/HPDQ-THP-NKH đi Hải Phòng 788TAN HRC1 - XUẤT HẾT MAPPING</t>
  </si>
  <si>
    <t>2200002257 - 0058.T10.2025/HPDQ-THP-NKH đi Hải Phòng 9402TAN HRC2 - XUẤT HẾT MAPPING</t>
  </si>
  <si>
    <t>HRC 2 - Hàng hóa ok
Spot</t>
  </si>
  <si>
    <t>2200002258 - 0059.T10.2025/HPDQ-OTHY-NKH đi Hải Phòng 215TAN HRC1 - XUẤT HẾT MAPPING</t>
  </si>
  <si>
    <t>2200002259 - 0059.T10.2025/HPDQ-OTHY-NKH đi Hải Phòng 852TAN HRC2 - XUẤT HẾT MAPPING</t>
  </si>
  <si>
    <t>HRC 2 - Hàng hóa ok
Spot chốt hụt 1 cuộn</t>
  </si>
  <si>
    <t>2200002260 - 0060.T10.2025/HPDQ-OTHY-NKH đi Hải Phòng 74TAN HRC2 - XUẤT HẾT MAPPING</t>
  </si>
  <si>
    <t>2200002267 - 0064.T10.2025/HPDQ-OTHY-NKH đi Hải Phòng 25TAN HRC1 - XUẤT HẾT MAPPING</t>
  </si>
  <si>
    <t>spot HRC 1</t>
  </si>
  <si>
    <t>2200002268 - 0064.T10.2025/HPDQ-OTHY-NKH đi Hải Phòng 1136TAN HRC2 - XUẤT HẾT MAPPING</t>
  </si>
  <si>
    <t>MT HÀ NỘI 68</t>
  </si>
  <si>
    <t>2000003403 - 523B.T08.2025/HPDQ-TVP-KH - tối đa 3 tàu - đã có LC
LSD 25/10</t>
  </si>
  <si>
    <t>THÀNH PHÁT 89</t>
  </si>
  <si>
    <r>
      <rPr>
        <b/>
        <sz val="14"/>
        <color rgb="FF000000"/>
        <rFont val="Times New Roman"/>
      </rPr>
      <t xml:space="preserve">2000003439 - 561B.T09.2025/HPDQ-HSQN-KH
</t>
    </r>
    <r>
      <rPr>
        <b/>
        <sz val="14"/>
        <color rgb="FFFF0000"/>
        <rFont val="Times New Roman"/>
      </rPr>
      <t>Giao đủ dung sai các dòng hàng</t>
    </r>
  </si>
  <si>
    <t>2000003313 - 544A.T07.2025/HPDQ-KKNH-KH - Tổng 3100 
xuất hết mapping</t>
  </si>
  <si>
    <t>HRC 1 - HÀNG HÓA OK
ĐÃ map 3k3</t>
  </si>
  <si>
    <t>2000003422 - 544C1.T07.2025/HPDQ-KKNH-KH - CÂN TẢI</t>
  </si>
  <si>
    <t>THIÊN THUẬN THÀNH 179</t>
  </si>
  <si>
    <t>2000003462 - 544A.T07.2025/HPDQ-KKNH-KH</t>
  </si>
  <si>
    <t>2000003422 - 544C1.T07.2025/HPDQ-KKNH-KH
Xuất hết mapping</t>
  </si>
  <si>
    <r>
      <rPr>
        <sz val="14"/>
        <color rgb="FF000000"/>
        <rFont val="Times New Roman"/>
      </rPr>
      <t xml:space="preserve">2000003373- 522E.T08.2025/HPDQ-HWA(VNO)-KH - 2000t </t>
    </r>
    <r>
      <rPr>
        <b/>
        <sz val="14"/>
        <color rgb="FFFF0000"/>
        <rFont val="Times New Roman"/>
      </rPr>
      <t>- LSD: 25/10</t>
    </r>
  </si>
  <si>
    <t>17.10.2025</t>
  </si>
  <si>
    <t>18/10 B3</t>
  </si>
  <si>
    <r>
      <rPr>
        <b/>
        <sz val="14"/>
        <color rgb="FF000000"/>
        <rFont val="Times New Roman"/>
      </rPr>
      <t xml:space="preserve">2000003428 - 461.T06.2025/HPDQ-TPK - đã có LC - LSD 31/10 - 2500mt
</t>
    </r>
    <r>
      <rPr>
        <b/>
        <sz val="14"/>
        <color rgb="FFFF0000"/>
        <rFont val="Times New Roman"/>
      </rPr>
      <t>Dỡ Tân Thuận -&gt; Phú Mỹ</t>
    </r>
  </si>
  <si>
    <t>HRC 2 - Hàng hóa ok - đi trước 1975mt</t>
  </si>
  <si>
    <r>
      <rPr>
        <sz val="14"/>
        <color rgb="FF000000"/>
        <rFont val="Times New Roman"/>
      </rPr>
      <t xml:space="preserve">2000003369 - 553B.T09.2025/HPDQ-VINAS-KH - 10000t - TRANG 
</t>
    </r>
    <r>
      <rPr>
        <sz val="14"/>
        <color rgb="FFFF0000"/>
        <rFont val="Times New Roman"/>
      </rPr>
      <t>KHÔNG TÁCH TÀU NỮA</t>
    </r>
  </si>
  <si>
    <t>2000003464 - 581.T09.2025/KH/HPDQ-TDA - 4.2kt
xuất hết mapping</t>
  </si>
  <si>
    <t>2000003449 - 581.T09.2025/KH/HPDQ-TDA - 40T
xuất hết mapping</t>
  </si>
  <si>
    <t xml:space="preserve">HRC 1 - Tồn </t>
  </si>
  <si>
    <r>
      <rPr>
        <sz val="14"/>
        <color rgb="FF000000"/>
        <rFont val="Times New Roman"/>
      </rPr>
      <t xml:space="preserve">2000003429 - 569A.T09.2025/HPDQ-KD-KH, đã có LC </t>
    </r>
    <r>
      <rPr>
        <b/>
        <sz val="14"/>
        <color rgb="FFFF0000"/>
        <rFont val="Times New Roman"/>
      </rPr>
      <t>CW&gt;25T
ưu tiên 2.8 và 3.8 cho đi hết và giao đều các size đã có mapping</t>
    </r>
  </si>
  <si>
    <r>
      <rPr>
        <sz val="14"/>
        <color rgb="FF000000"/>
        <rFont val="Times New Roman"/>
      </rPr>
      <t xml:space="preserve">2000003430 - 569B.T09.2025/HPDQ-KD-KH, </t>
    </r>
    <r>
      <rPr>
        <sz val="14"/>
        <color rgb="FFFF0000"/>
        <rFont val="Times New Roman"/>
      </rPr>
      <t xml:space="preserve">CW&gt;25T, 
</t>
    </r>
    <r>
      <rPr>
        <b/>
        <sz val="14"/>
        <color rgb="FFFF0000"/>
        <rFont val="Times New Roman"/>
      </rPr>
      <t>ưu tiên 2.8 và 3.8 cho đi hết và giao đều các size đã có mapping - cân tải</t>
    </r>
  </si>
  <si>
    <t>18/10 CTH</t>
  </si>
  <si>
    <t>2000003382 - 560A.T09.2025/HPDQ-HSNS-KH - XUẤT HẾT MAPPING - dỡ Nghi Sơn trước</t>
  </si>
  <si>
    <t>CÓ SPOT TÍNH TÀU NÀY CHO VÀO SỚM =&gt; ok ạ</t>
  </si>
  <si>
    <t>HRC 1 - ĐÃ MAP 31K4T - ĐỦ HÀNG CHO TÀU NÀY</t>
  </si>
  <si>
    <t>2200002254 - 0057.T10.2025/HPDQ-OTHY-NKH đi Hải Phòng 1016TAN HRC2 - XUẤT HẾT MAPPING</t>
  </si>
  <si>
    <r>
      <rPr>
        <sz val="14"/>
        <color rgb="FF000000"/>
        <rFont val="Times New Roman"/>
      </rPr>
      <t xml:space="preserve">2000003394 - 553D.T09.2025/HPDQ-VINAS-KH - 2970t - </t>
    </r>
    <r>
      <rPr>
        <b/>
        <sz val="14"/>
        <color rgb="FFFF0000"/>
        <rFont val="Times New Roman"/>
      </rPr>
      <t>CW&gt;25T</t>
    </r>
    <r>
      <rPr>
        <sz val="14"/>
        <color rgb="FF000000"/>
        <rFont val="Times New Roman"/>
      </rPr>
      <t xml:space="preserve"> - đã có LC - LSD 6/11 - XUẤT HẾT MAPPING</t>
    </r>
  </si>
  <si>
    <t>20.10.2025</t>
  </si>
  <si>
    <t>19/10 B2</t>
  </si>
  <si>
    <t>HOÀNG PHÚC 36</t>
  </si>
  <si>
    <t>24.10.2025</t>
  </si>
  <si>
    <t>25/10 B1</t>
  </si>
  <si>
    <t>25/10 phải xong</t>
  </si>
  <si>
    <r>
      <rPr>
        <b/>
        <sz val="14"/>
        <color rgb="FF000000"/>
        <rFont val="Times New Roman"/>
      </rPr>
      <t xml:space="preserve">2000003403 - 523B.T08.2025/HPDQ-TVP-KH - tối đa 3 tàu - đã có LC
</t>
    </r>
    <r>
      <rPr>
        <b/>
        <sz val="14"/>
        <color rgb="FFFF0000"/>
        <rFont val="Times New Roman"/>
      </rPr>
      <t xml:space="preserve">xuất hết mapping, ra hóa đơn muộn nhất 25/10.
</t>
    </r>
    <r>
      <rPr>
        <b/>
        <sz val="14"/>
        <color rgb="FF000000"/>
        <rFont val="Times New Roman"/>
      </rPr>
      <t>LSD 25/10</t>
    </r>
  </si>
  <si>
    <t>2000003392 - 542D.T06.2025/HPDQ-KKNH-KH - 1kt - xuất hết mapping</t>
  </si>
  <si>
    <t>2200002283 - 0074.T10.2025/HPDQ-SPTLA-NKH đi Long An 263TAN HRC1 xuất hết mapping</t>
  </si>
  <si>
    <t>2200002284 - 0074.T10.2025/HPDQ-SPTLA-NKH đi Long An 915TAN HRC2 - CÂN TẢI</t>
  </si>
  <si>
    <t>stock HRC  2
Hàng hóa ok</t>
  </si>
  <si>
    <t>NAM PHÁT 168</t>
  </si>
  <si>
    <t>23-24.10.2025</t>
  </si>
  <si>
    <t>20/10 B2</t>
  </si>
  <si>
    <t>2000003417 - 565B.T09.2025/HPDQ-TN-KH - 5000t</t>
  </si>
  <si>
    <t>2000003469 - 548H.T09.2025/HPDQ-TMP-KH - 5200</t>
  </si>
  <si>
    <t xml:space="preserve">HRC 1 - ĐÃ MAP 4K1
HÀNG HÓA OK </t>
  </si>
  <si>
    <t>CẦN RA THÁNG 10</t>
  </si>
  <si>
    <r>
      <rPr>
        <sz val="14"/>
        <color rgb="FF000000"/>
        <rFont val="Times New Roman"/>
      </rPr>
      <t xml:space="preserve">2000003399 - 503D.T08.2025/HPDQ-TMPHD-KH - 6400kt  </t>
    </r>
    <r>
      <rPr>
        <b/>
        <sz val="14"/>
        <color rgb="FFFF0000"/>
        <rFont val="Times New Roman"/>
      </rPr>
      <t>(LSD: 31/10)  - CÂN TẢI</t>
    </r>
  </si>
  <si>
    <r>
      <rPr>
        <b/>
        <sz val="14"/>
        <color rgb="FF000000"/>
        <rFont val="Times New Roman"/>
      </rPr>
      <t xml:space="preserve">2000003463- 503D.T08.2025/HPDQ-TMPHD-KH - 4600  </t>
    </r>
    <r>
      <rPr>
        <b/>
        <sz val="14"/>
        <color rgb="FFFF0000"/>
        <rFont val="Times New Roman"/>
      </rPr>
      <t xml:space="preserve">(LSD: 31/10) </t>
    </r>
  </si>
  <si>
    <t>26.10.2025</t>
  </si>
  <si>
    <t xml:space="preserve">2200002279 - 0071.T10.2025/HPDQ-SPTLA-NKH HRC2 đi Long An 1575TAN </t>
  </si>
  <si>
    <t>stock HRC 2
Hàng hóa ok - chốt hụt 1 cuộn</t>
  </si>
  <si>
    <r>
      <rPr>
        <sz val="14"/>
        <color rgb="FF000000"/>
        <rFont val="Times New Roman"/>
      </rPr>
      <t xml:space="preserve">2000003417 - 565B.T09.2025/HPDQ-TN-KH - 5000t 
Còn bao nhiêu xuất hết
</t>
    </r>
    <r>
      <rPr>
        <sz val="14"/>
        <color rgb="FFFF0000"/>
        <rFont val="Times New Roman"/>
      </rPr>
      <t>=&gt; DỠ THIÊN LỘC THÀNH - CẨM NGUYÊN</t>
    </r>
  </si>
  <si>
    <r>
      <rPr>
        <b/>
        <sz val="14"/>
        <color rgb="FF000000"/>
        <rFont val="Times New Roman"/>
      </rPr>
      <t xml:space="preserve">2000003463- 503D.T08.2025/HPDQ-TMPHD-KH - 4600  </t>
    </r>
    <r>
      <rPr>
        <b/>
        <sz val="14"/>
        <color rgb="FFFF0000"/>
        <rFont val="Times New Roman"/>
      </rPr>
      <t>(LSD: 31/10) 
Xuất hết mapping - đảm bảo đủ dung sai</t>
    </r>
  </si>
  <si>
    <r>
      <rPr>
        <sz val="14"/>
        <color rgb="FF000000"/>
        <rFont val="Times New Roman"/>
      </rPr>
      <t xml:space="preserve">2000003399 - 503D.T08.2025/HPDQ-TMPHD-KH - 6400kt  </t>
    </r>
    <r>
      <rPr>
        <b/>
        <sz val="14"/>
        <color rgb="FFFF0000"/>
        <rFont val="Times New Roman"/>
      </rPr>
      <t>(LSD: 31/10) - CÂN TẢI</t>
    </r>
  </si>
  <si>
    <t>28.10.2025</t>
  </si>
  <si>
    <t>2000003446 - 544C2.T07.2025/HPDQ-KKNH-KH - Lùi giao cuối tháng 10</t>
  </si>
  <si>
    <r>
      <rPr>
        <sz val="14"/>
        <color rgb="FF000000"/>
        <rFont val="Times New Roman"/>
      </rPr>
      <t xml:space="preserve">2000003461 - 544C2.T07.2025/HPDQ-KKNH-KH </t>
    </r>
    <r>
      <rPr>
        <b/>
        <sz val="14"/>
        <color rgb="FF000000"/>
        <rFont val="Times New Roman"/>
      </rPr>
      <t>- Lùi giao cuối tháng 10</t>
    </r>
  </si>
  <si>
    <t>HRC 2 -  Hàng hóa ok
đã map 1804t</t>
  </si>
  <si>
    <t>28/10</t>
  </si>
  <si>
    <t>2200002294 - 619A.T11.2025/HPDQ-SPTLA-KH 1020TAN đi Cẩm Nguyên HRC2 - CÂN TẢI</t>
  </si>
  <si>
    <r>
      <rPr>
        <sz val="14"/>
        <color rgb="FF000000"/>
        <rFont val="Times New Roman"/>
      </rPr>
      <t>2000003469 - 548H.T09.2025/HPDQ-TMP-KH - 5200</t>
    </r>
    <r>
      <rPr>
        <b/>
        <sz val="14"/>
        <color rgb="FFFF0000"/>
        <rFont val="Times New Roman"/>
      </rPr>
      <t xml:space="preserve"> - xuất hết mapping</t>
    </r>
  </si>
  <si>
    <t>29.10.2025</t>
  </si>
  <si>
    <r>
      <rPr>
        <b/>
        <sz val="14"/>
        <color rgb="FF000000"/>
        <rFont val="Times New Roman"/>
      </rPr>
      <t xml:space="preserve">2200002279 - 0071.T10.2025/HPDQ-SPTLA-NKH HRC2 đi Long An 1575TAN 
</t>
    </r>
    <r>
      <rPr>
        <b/>
        <sz val="14"/>
        <color rgb="FFFF0000"/>
        <rFont val="Times New Roman"/>
      </rPr>
      <t>Còn cuộn cw&gt;25t</t>
    </r>
  </si>
  <si>
    <t>2200002284 - 0074.T10.2025/HPDQ-SPTLA-NKH đi Long An 915TAN HRC2 - Còn bao nhiêu xuất hết</t>
  </si>
  <si>
    <t xml:space="preserve">stock HRC 2
Hàng hóa ok </t>
  </si>
  <si>
    <t>2200002294 - 619A.T11.2025/HPDQ-SPTLA-KH 1020TAN đi Cẩm Nguyên HRC2 - Còn bao nhiêu xuất hết</t>
  </si>
  <si>
    <t>HRC 2 -T10.4
dự kiến 30-31 đủ
skin 50t</t>
  </si>
  <si>
    <t>29/10</t>
  </si>
  <si>
    <t>2200002302 - 0078.T10.2025/HPDQ-SPTLA-NKH 1375TAN đi Long An HRC2</t>
  </si>
  <si>
    <t>STOCK HRC 2</t>
  </si>
  <si>
    <t>2200002303 - 0079.T10.2025/HPDQ-OTBD-NKH 587TAN đi Long Bình HRC2</t>
  </si>
  <si>
    <r>
      <rPr>
        <sz val="14"/>
        <color rgb="FF000000"/>
        <rFont val="Times New Roman"/>
      </rPr>
      <t xml:space="preserve">2200002153 - 537G.T08.2025/HPDQ-OTBD-KH 5000TAN đi HCM HRC1
</t>
    </r>
    <r>
      <rPr>
        <sz val="14"/>
        <color rgb="FFFF0000"/>
        <rFont val="Times New Roman"/>
      </rPr>
      <t>CÂN TẢI =&gt; DỠ CẨM NGUYÊN TRƯỚC</t>
    </r>
  </si>
  <si>
    <t>19.10.2025</t>
  </si>
  <si>
    <t>21/10 CTH</t>
  </si>
  <si>
    <t>2000003438 - 560B.T09.2025/HPDQ-HSNS-KH - XUẤT HẾT MAPPING</t>
  </si>
  <si>
    <t>HRC 1 - HÀNG HÓA OK
ĐÃ MAP 5890 tấn</t>
  </si>
  <si>
    <t>19-20.10.2025</t>
  </si>
  <si>
    <t>Tàu quay xe đi tránh bão rồi nha e</t>
  </si>
  <si>
    <t>cần cập cầu vào làm hàng luôn vì gấp</t>
  </si>
  <si>
    <t>2200002162 - 582A.T09.2025/HPDQ-OTHY-KH đi Hải Phòng 32700TAN HRC1-CÂN TẢI - TĂNG GIẢM TƯƠNG ỨNG SAU KHI XUẤT HẾT CÁC LỆNH DƯỚI</t>
  </si>
  <si>
    <t>2200002270 - 0065.T10.2025/HPDQ-THP-NKH HRC2 đi Hải Phòng 1008TAN -  XUẤT HẾT MAPPING</t>
  </si>
  <si>
    <t>2200002271 - 0065.T10.2025/HPDQ-THP-NKH HRC1 đi Hải Phòng 132TAN -  XUẤT HẾT MAPPING</t>
  </si>
  <si>
    <t>2200002272 - 0066.T10.2025/HPDQ-OTHY-NKH HRC2 đi Hải Phòng 1860TAN -  XUẤT HẾT MAPPING</t>
  </si>
  <si>
    <t>2200002273 - 0067.T10.2025/HPDQ-OTHY-NKH HRC2 đi Hải Phòng 42TAN -  XUẤT HẾT MAPPING</t>
  </si>
  <si>
    <t>2200002274 - 0067.T10.2025/HPDQ-OTHY-NKH HRC1 đi Hải Phòng 121TAN -  XUẤT HẾT MAPPING</t>
  </si>
  <si>
    <t>SPOT HRC 1 - 121 TẤN 
HÀNG HÓA OK</t>
  </si>
  <si>
    <t>2200002275 - 0068.T10.2025/HPDQ-OTHY-NKH HRC2 đi Hải Phòng 53TAN -  XUẤT HẾT MAPPING</t>
  </si>
  <si>
    <t>2200002184 -  582B.T09.2025/HPDQ-OTHY-KH đi Hải Phòng 2300TAN HRC2 -  XUẤT HẾT MAPPING</t>
  </si>
  <si>
    <t>2200002255 - 582B.T09.2025/HPDQ-OTHY-KH đi Hải Phòng 2400TAN HRC1 -  XUẤT HẾT MAPPING</t>
  </si>
  <si>
    <t xml:space="preserve">các a lưu ý tàu này 20 mới có lệnh </t>
  </si>
  <si>
    <t>2000003456 - 498.T10.2025/HPDQ-OTMN-NKH - 25kt</t>
  </si>
  <si>
    <t>HRC 1 - đã map 5kt hàng hóa ok</t>
  </si>
  <si>
    <t>2000003396 - 559A.T09.2025/HPDQ-CKTC-KH</t>
  </si>
  <si>
    <t>2000003385 - 559B.T09.2025/HPDQ-THACO-KH</t>
  </si>
  <si>
    <t>30.09-01.10</t>
  </si>
  <si>
    <t>2200002216 - 0043.T09.2025/HPDQ-OTĐN-NKH đi Đà Nẵng 200TAN HRC1</t>
  </si>
  <si>
    <t>30.09-3.10</t>
  </si>
  <si>
    <t>2200002217 - 0043.T09.2025/HPDQ-OTĐN-NKH đi Đà Nẵng 2097TAN HRC2</t>
  </si>
  <si>
    <t>01.10-03.10</t>
  </si>
  <si>
    <t>2000003319 - 404.T05.2025/HPDQ-TPH</t>
  </si>
  <si>
    <t>2000003452 - 558A.T09.2025/HPDQ-TPH-KH, HRC 2</t>
  </si>
  <si>
    <t>17.10</t>
  </si>
  <si>
    <t>2000003451 - 558A.T09.2025/HPDQ-TPH-KH</t>
  </si>
  <si>
    <t>28.10</t>
  </si>
  <si>
    <t>2000003453 - 558B.T09.2025/HPDQ-TPH-KH</t>
  </si>
  <si>
    <t>13.10-15.10</t>
  </si>
  <si>
    <t>2200002226 - 0048.T10.2025/HPDQ-OTĐN-NKH đi Đà Nẵng 1030TAN HRC1</t>
  </si>
  <si>
    <t>15.10-19.10</t>
  </si>
  <si>
    <t>2200002227 - 0048.T10.2025/HPDQ-OTĐN-NKH đi Đà Nẵng 2497TAN HRC2</t>
  </si>
  <si>
    <t>HRC 2 - HÀNG HÓA OK
spot - chốt hụt 1 cuộn</t>
  </si>
  <si>
    <t>2000003398 - 503C.T08.2025/HPDQ-TMPHD-KH</t>
  </si>
  <si>
    <t>2200002163 - 582C.T09.2025/HPDQ-OTĐN-KH đi Đà Nẵng 500TAN HRC2</t>
  </si>
  <si>
    <t>HRC 2 đã map 50t
còn 450t chờ skin chiều 31 xong</t>
  </si>
  <si>
    <t>2200002269 - 582C.T09.2025/HPDQ-OTĐN-KH đi Đà Nẵng 7900TAN HRC1</t>
  </si>
  <si>
    <t>HRC 1
HÀNG HÓA OK</t>
  </si>
  <si>
    <t>20.10</t>
  </si>
  <si>
    <t>2200002247 - 0052.T10.2025/HPDQ-OTĐN-NKH đi Đà Nẵng 821TAN HRC1</t>
  </si>
  <si>
    <t>21.10</t>
  </si>
  <si>
    <t>2200002248 - 0052.T10.2025/HPDQ-OTĐN-NKH đi Đà Nẵng 720TAN HRC2</t>
  </si>
  <si>
    <t>23.10</t>
  </si>
  <si>
    <t>2200002261 - 0061.T10.2025/HPDQ-OTĐN-NKH đi Đà Nẵng 1137TAN HRC1</t>
  </si>
  <si>
    <t>2200002262 - 0061.T10.2025/HPDQ-OTĐN-NKH đi Đà Nẵng 4726TAN HRC2</t>
  </si>
  <si>
    <t>2200002276 - 0069.T10.2025/HPDQ-OTĐN-NKH HRC2 đi Đà Nẵng 1183TAN</t>
  </si>
  <si>
    <t xml:space="preserve">HRC 2 - HÀNG HÓA OK
spot </t>
  </si>
  <si>
    <t>2200002277 - 0069.T10.2025/HPDQ-OTĐN-NKH HRC1 đi Đà Nẵng 419TAN</t>
  </si>
  <si>
    <r>
      <rPr>
        <sz val="14"/>
        <color rgb="FF000000"/>
        <rFont val="Times New Roman"/>
      </rPr>
      <t xml:space="preserve">2000003481 - 569C.T09.2025/HPDQ-KD-KH, </t>
    </r>
    <r>
      <rPr>
        <sz val="14"/>
        <color rgb="FFFF0000"/>
        <rFont val="Times New Roman"/>
      </rPr>
      <t>CW&gt;25T,
tổng 27 cuộn, muộn nhất 5/11 giao hết</t>
    </r>
  </si>
  <si>
    <t>HRC 2 - T10.4 28-29/10 nk đủ (740t)
Hàng Q355B</t>
  </si>
  <si>
    <t xml:space="preserve">Term DAP </t>
  </si>
  <si>
    <t>22-23.10.2025</t>
  </si>
  <si>
    <t>2000003456 - 498.T10.2025/HPDQ-OTMN-NKH - 25kt - CÂN TẢI - TĂNG GIẢM TƯƠNG ỨNG</t>
  </si>
  <si>
    <t>2200002272 - 0066.T10.2025/HPDQ-OTHY-NKH HRC2 đi Hải Phòng 1860TAN -  CÒN 1 CUỘN BỊ LỖI CẦN XỬ LÝ, XONG THÌ CHO LÊN</t>
  </si>
  <si>
    <t>2200002162 - 582A.T09.2025/HPDQ-OTHY-KH đi Hải Phòng 32700TAN HRC1-XUẤT HẾT MAPPING</t>
  </si>
  <si>
    <t>2200002281 - 0072.T10.2025/HPDQ-OTHY-NKH đi Hải Phòng 796TAN HRC2-XUẤT HẾT MAPPING</t>
  </si>
  <si>
    <t>SPOT HRC 2
Hàng hóa ok</t>
  </si>
  <si>
    <t>2200002282 - 0073.T10.2025/HPDQ-OTHY-NKH đi Hải Phòng 58TAN HRC1-XUẤT HẾT MAPPING</t>
  </si>
  <si>
    <t>2200002285 - 0075.T10.2025/HPDQ-THP-NKH đi Hải Phòng 585TAN HRC1-XUẤT HẾT MAPPING</t>
  </si>
  <si>
    <t>2200002286 - 0075.T10.2025/HPDQ-THP-NKH đi Hải Phòng 1403TAN HRC2-XUẤT HẾT MAPPING</t>
  </si>
  <si>
    <r>
      <rPr>
        <b/>
        <sz val="14"/>
        <color rgb="FF7030A0"/>
        <rFont val="Times New Roman"/>
      </rPr>
      <t xml:space="preserve">SPOT HRC 2
</t>
    </r>
    <r>
      <rPr>
        <b/>
        <sz val="14"/>
        <color rgb="FFFF0000"/>
        <rFont val="Times New Roman"/>
      </rPr>
      <t>Chốt hụt 2 cuộn - Hàng hóa ok</t>
    </r>
  </si>
  <si>
    <t>2000003456 - 498.T10.2025/HPDQ-OTMN-NKH - 25kt 
LSD 15/11 - CÂN TẢI</t>
  </si>
  <si>
    <t>2200002161 - 582A.T09.2025/HPDQ-OTHY-KH đi Hải Phòng 4500TAN HRC2 =&gt; XUẤT HẾT MAPPING</t>
  </si>
  <si>
    <t>2000003475 - 669.T10.2025/HPDQ-TMPHD-NKH-BBC - 541T =&gt; XUẤT HẾT MAPPING</t>
  </si>
  <si>
    <t>HRC 1 - HÀNG HÓA OK 
BBC</t>
  </si>
  <si>
    <t>2000003476 - 669.T10.2025/HPDQ-TMPHD-NKH-BBC - 68T =&gt; XUẤT HẾT MAPPING</t>
  </si>
  <si>
    <t>BBC - Hàng hóa ok HRC 2</t>
  </si>
  <si>
    <t>2200002193 - 545.T09.2025/HPDQ-THP-KH đi Hải Phòng 16060TAN HRC2 - xuất hết mapping</t>
  </si>
  <si>
    <t>2200002288 - 586B.T10.2025/HPDQ-OTHY-KH - XUẤT HẾT MAPPING</t>
  </si>
  <si>
    <t>2200002299 - 0076.T10.2025/HPDQ-THP-NKH 4390TAN đi Hải Phòng HRC2 - CÂN TẢI</t>
  </si>
  <si>
    <t>SPOT HRC 2 - HÀNG HÓA OK</t>
  </si>
  <si>
    <t>2200002305 - 0081.T10.2025/HPDQ-OTHY-NKH 250TAN đi Hải Phòng HRC2 - XUẤT HẾT MAPPING</t>
  </si>
  <si>
    <t>2200002306 - 0081.T10.2025/HPDQ-OTHY-NKH 190TAN đi Hải Phòng HRC1 - XUẤT HẾT MAPPING</t>
  </si>
  <si>
    <t>SPOT HRC 1 - HÀNG HÓA OK</t>
  </si>
  <si>
    <t>TRƯỜNG NGUYÊN 135-01</t>
  </si>
  <si>
    <t xml:space="preserve">2200002304 - 0080.T10.2025/HPDQ-OTHY-NKH đi Hải Phòng - CÂN TẢI </t>
  </si>
  <si>
    <t>spot - hàng hóa ok</t>
  </si>
  <si>
    <t>2000003456 - 498.T10.2025/HPDQ-OTMN-NKH - 25kt - LSD 15/11 - XUẤT HẾT MAPPING</t>
  </si>
  <si>
    <t>2200002298 - 0076.T10.2025/HPDQ-THP-NKH 1787TAN đi Hải Phòng HRC1 - XUẤT HẾT MAPPING</t>
  </si>
  <si>
    <t>theo dõi ETA để xem tính sản lượng tháng nào</t>
  </si>
  <si>
    <r>
      <rPr>
        <b/>
        <sz val="14"/>
        <color rgb="FF000000"/>
        <rFont val="Times New Roman"/>
      </rPr>
      <t xml:space="preserve">2000003437- 560B.T09.2025/HPDQ-HSNS-KH - </t>
    </r>
    <r>
      <rPr>
        <b/>
        <sz val="14"/>
        <color rgb="FFFF0000"/>
        <rFont val="Times New Roman"/>
      </rPr>
      <t>XUẤT ĐỦ DUNG SAI CÁC DÒNG HÀNG</t>
    </r>
  </si>
  <si>
    <t>25-26.10.2025</t>
  </si>
  <si>
    <t>28/10 B3/5</t>
  </si>
  <si>
    <r>
      <rPr>
        <b/>
        <sz val="14"/>
        <color rgb="FF000000"/>
        <rFont val="Times New Roman"/>
      </rPr>
      <t xml:space="preserve">2000003440 - 561B.T09.2025/HPDQ-HSQN-KH - 6000MT 
</t>
    </r>
    <r>
      <rPr>
        <b/>
        <sz val="14"/>
        <color rgb="FFFF0000"/>
        <rFont val="Times New Roman"/>
      </rPr>
      <t>giao đủ dung sai dòng hàng &amp; dung sai đơn hàng</t>
    </r>
  </si>
  <si>
    <t>25/10 B3/5</t>
  </si>
  <si>
    <r>
      <rPr>
        <b/>
        <sz val="14"/>
        <color rgb="FF000000"/>
        <rFont val="Times New Roman"/>
      </rPr>
      <t xml:space="preserve">2000003465 - 581.T09.2025/KH/HPDQ-TDA - 2.8kt
LSD 5/11 - </t>
    </r>
    <r>
      <rPr>
        <b/>
        <sz val="14"/>
        <color rgb="FFFF0000"/>
        <rFont val="Times New Roman"/>
      </rPr>
      <t>DỠ TÂN THUẬN -&gt; QTLA</t>
    </r>
  </si>
  <si>
    <t>2000003498 - 563.T09.2025/KH/HPDQ-JFE - 2.3kt
LSD 5/11</t>
  </si>
  <si>
    <t>HRC 2 - Hàng hóa ok
(còn 3 cuộn chờ skin xong rồi chốt)</t>
  </si>
  <si>
    <r>
      <rPr>
        <sz val="14"/>
        <color rgb="FF000000"/>
        <rFont val="Times New Roman"/>
      </rPr>
      <t xml:space="preserve">2000003430 - 569B.T09.2025/HPDQ-KD-KH, </t>
    </r>
    <r>
      <rPr>
        <sz val="14"/>
        <color rgb="FFFF0000"/>
        <rFont val="Times New Roman"/>
      </rPr>
      <t xml:space="preserve">CW&gt;25T, - Tổng 5,000mt
</t>
    </r>
    <r>
      <rPr>
        <b/>
        <sz val="14"/>
        <color rgb="FFFF0000"/>
        <rFont val="Times New Roman"/>
      </rPr>
      <t>giao luôn cả đơn khi đủ hàng, anh Tuân dự kiến 24/10 có hàng rồi ạ</t>
    </r>
  </si>
  <si>
    <t xml:space="preserve">HRC 2 - T10.3 - còn 100t chờ skin khách đặt (chờ cán bù, skin ra loại II)
dự kiến 28-29/10 nk </t>
  </si>
  <si>
    <r>
      <rPr>
        <sz val="14"/>
        <color rgb="FF000000"/>
        <rFont val="Times New Roman"/>
      </rPr>
      <t xml:space="preserve">2000003432 - 503G.T08.2025/HPDQ-TMPHD-KH - 4540T </t>
    </r>
    <r>
      <rPr>
        <sz val="14"/>
        <color rgb="FFFF0000"/>
        <rFont val="Times New Roman"/>
      </rPr>
      <t>(LSD 31/10)  - CÂN TẢI</t>
    </r>
  </si>
  <si>
    <t>GIAO VẮT THÁNG</t>
  </si>
  <si>
    <r>
      <rPr>
        <sz val="14"/>
        <color rgb="FF000000"/>
        <rFont val="Times New Roman"/>
      </rPr>
      <t xml:space="preserve">2000003433 - 503G.T08.2025/HPDQ-TMPHD-KH  -2400T </t>
    </r>
    <r>
      <rPr>
        <sz val="14"/>
        <color rgb="FFFF0000"/>
        <rFont val="Times New Roman"/>
      </rPr>
      <t>(LSD 31/10) - XUẤT HẾT/ RA HẾT HÓA ĐƠN TRONG THÁNG 10</t>
    </r>
  </si>
  <si>
    <t>HRC 2 - Hàng hóa ok
lượng A572Gr50</t>
  </si>
  <si>
    <r>
      <rPr>
        <sz val="14"/>
        <color rgb="FF000000"/>
        <rFont val="Times New Roman"/>
      </rPr>
      <t xml:space="preserve">2000003426 - 503G.T08.2025/HPDQ-TMPHD-KH - XUẤT HẾT
</t>
    </r>
    <r>
      <rPr>
        <sz val="14"/>
        <color rgb="FFFF0000"/>
        <rFont val="Times New Roman"/>
      </rPr>
      <t>(đi sau để ghép hàng cùng HRC 2 - SO: 2000003433)</t>
    </r>
  </si>
  <si>
    <t>25.10.2025</t>
  </si>
  <si>
    <t>30/10 HH</t>
  </si>
  <si>
    <t>2000003454 - 573.T09.2025/HPDQ-SEAH-KH, LSD 20/11</t>
  </si>
  <si>
    <r>
      <rPr>
        <sz val="14"/>
        <color rgb="FF000000"/>
        <rFont val="Times New Roman"/>
      </rPr>
      <t xml:space="preserve">2000003429 - 569A.T09.2025/HPDQ-KD-KH, đã có LC </t>
    </r>
    <r>
      <rPr>
        <b/>
        <sz val="14"/>
        <color rgb="FF000000"/>
        <rFont val="Times New Roman"/>
      </rPr>
      <t>CW&gt;25T
xuất hết mapping, anh Tuân dự kiến 24/10 có hàng rồi ạ</t>
    </r>
  </si>
  <si>
    <t>CẦN ƯU TIÊN NK 1600T</t>
  </si>
  <si>
    <r>
      <rPr>
        <sz val="14"/>
        <color rgb="FF000000"/>
        <rFont val="Times New Roman"/>
      </rPr>
      <t>2000003496 - 581.T09.2025/KH/HPDQ-TDA - 3kt
xuất hết mapping 2 size 3.30 và 3.50, LSD 5/11</t>
    </r>
    <r>
      <rPr>
        <sz val="14"/>
        <color rgb="FFFF0000"/>
        <rFont val="Times New Roman"/>
      </rPr>
      <t xml:space="preserve"> - Lệnh này dỡ trước</t>
    </r>
  </si>
  <si>
    <t>CẦN ƯU TIÊN NK 2900T</t>
  </si>
  <si>
    <r>
      <rPr>
        <sz val="14"/>
        <color rgb="FF000000"/>
        <rFont val="Times New Roman"/>
      </rPr>
      <t xml:space="preserve">2000003497 - 563.T09.2025/KH/HPDQ-JFE - 2.7kt
LSD 5/11 </t>
    </r>
    <r>
      <rPr>
        <sz val="14"/>
        <color rgb="FFFF0000"/>
        <rFont val="Times New Roman"/>
      </rPr>
      <t>- Lệnh này dỡ trước</t>
    </r>
  </si>
  <si>
    <t>2000003423 - 481F.T07.2025/HPDQ-TVN-KH
xuất hết mapping đủ dung sai</t>
  </si>
  <si>
    <t>HRC 1 - HÀNG HÓA OK, ĐÃ MAP 2075</t>
  </si>
  <si>
    <t>2000003265 - 481F.T07.2025/HPDQ-TVN-KH
xuất hết mapping, đủ dung sai</t>
  </si>
  <si>
    <t>HRC 2 - Hàng hóa ok, đã map 2185</t>
  </si>
  <si>
    <t>2000003477 - 562A.T09.2025/HPDQ-HSPM-KH</t>
  </si>
  <si>
    <t>2000003369 - 553B.T09.2025/HPDQ-VINAS-KH - 10000t - TRANG 
xuất hết mapping, DỠ TÂN THUẬN - PHÚ MỸ</t>
  </si>
  <si>
    <t>2000003428 - 461.T06.2025/HPDQ-TPK - đã có LC - LSD 31/10
Khách xin delay sang T11</t>
  </si>
  <si>
    <t>27.10.2025</t>
  </si>
  <si>
    <r>
      <rPr>
        <b/>
        <sz val="14"/>
        <color rgb="FF000000"/>
        <rFont val="Times New Roman"/>
      </rPr>
      <t xml:space="preserve">2000003432 - 503G.T08.2025/HPDQ-TMPHD-KH - 4540T </t>
    </r>
    <r>
      <rPr>
        <b/>
        <sz val="14"/>
        <color rgb="FFFF0000"/>
        <rFont val="Times New Roman"/>
      </rPr>
      <t>(LSD 31/10)
XUẤT HẾT MAPPING/ RA HẾT HÓA ĐƠN TRONG THÁNG 10</t>
    </r>
  </si>
  <si>
    <r>
      <rPr>
        <b/>
        <sz val="14"/>
        <color rgb="FF000000"/>
        <rFont val="Times New Roman"/>
      </rPr>
      <t xml:space="preserve">HRC 2 - T10.4 - đã map 2031
 còn 1,8kt skin
</t>
    </r>
    <r>
      <rPr>
        <b/>
        <sz val="14"/>
        <color rgb="FFFF0000"/>
        <rFont val="Times New Roman"/>
      </rPr>
      <t>hụt 250t skin ra II &gt;&gt; chờ cán bù lượng này dời T11 giúp</t>
    </r>
  </si>
  <si>
    <r>
      <rPr>
        <sz val="14"/>
        <color rgb="FF000000"/>
        <rFont val="Times New Roman"/>
      </rPr>
      <t xml:space="preserve">2000003433 - 503G.T08.2025/HPDQ-TMPHD-KH  -2400T </t>
    </r>
    <r>
      <rPr>
        <sz val="14"/>
        <color rgb="FFFF0000"/>
        <rFont val="Times New Roman"/>
      </rPr>
      <t>(LSD 31/10) - XUẤT HẾT MAPPING/ RA HẾT HÓA ĐƠN TRONG THÁNG 10</t>
    </r>
  </si>
  <si>
    <r>
      <rPr>
        <sz val="14"/>
        <color rgb="FF000000"/>
        <rFont val="Times New Roman"/>
      </rPr>
      <t xml:space="preserve">HRC 2 - T10.4 - chờ skin 1,2kt
</t>
    </r>
    <r>
      <rPr>
        <sz val="14"/>
        <color rgb="FFFF0000"/>
        <rFont val="Times New Roman"/>
      </rPr>
      <t>Dự kiến chỉ xuât đc 1,2kt thôi (còn lại II) chờ cán bù</t>
    </r>
  </si>
  <si>
    <t>2000003491 - 548E1.T09.2025/HPDQ-TMPHD-KH - 1950t - XUẤT HẾT MAPPING</t>
  </si>
  <si>
    <t>HRC 2 T10.5 - đã map 1000t
dự kiến 30-31/10 nk hết</t>
  </si>
  <si>
    <t>2000003494 - 548I.T09.2025/HPDQ-TMPHD-KH - 1700t - XUẤT HẾT MAPPING</t>
  </si>
  <si>
    <t>2000003478 - 562B.T09.2025/HPDQ-HSPM-KH - XUẤT HẾT MAPPING</t>
  </si>
  <si>
    <t>HRC 2 T10.5 - đã map 2k3
dự kiến 30-31/10 nk hết</t>
  </si>
  <si>
    <t>31/10 duyệt</t>
  </si>
  <si>
    <r>
      <rPr>
        <sz val="14"/>
        <color rgb="FF000000"/>
        <rFont val="Times New Roman"/>
      </rPr>
      <t xml:space="preserve">2000003499 - 602.T10.2025/KH/HPDQ-TDA
</t>
    </r>
    <r>
      <rPr>
        <sz val="14"/>
        <color rgb="FFFF0000"/>
        <rFont val="Times New Roman"/>
      </rPr>
      <t>xuất hết mapping (đừng bỏ lại cuộn nào ạ)</t>
    </r>
  </si>
  <si>
    <t>HRC 2 hàng hóa ok
Còn 3 cuộn chờ skin rồi chốt</t>
  </si>
  <si>
    <r>
      <rPr>
        <sz val="14"/>
        <color rgb="FF000000"/>
        <rFont val="Times New Roman"/>
      </rPr>
      <t xml:space="preserve">2000003465 - 581.T09.2025/KH/HPDQ-TDA - 2.8kt
LSD 5/11 - </t>
    </r>
    <r>
      <rPr>
        <sz val="14"/>
        <color rgb="FFFF0000"/>
        <rFont val="Times New Roman"/>
      </rPr>
      <t>xuất hết 7 cuộn còn tồn trong lệnh</t>
    </r>
  </si>
  <si>
    <t>2000003430 - 569B.T09.2025/HPDQ-KD-KH - 100 tấn skinpass</t>
  </si>
  <si>
    <t>HRC 2 - đang cán bù
anh Tuân báo dự kiến tối 31/10 đủ =&gt; cố nhên a Tuân nhá</t>
  </si>
  <si>
    <t>2000003472 - 564.T09.2025/HPDQ-NK-KH  - 10,830t - CÂN TẢI
hàng 3.70*970 cân tải, các size còn lại xuất hết mapping</t>
  </si>
  <si>
    <t>HRC 2 hàng hóa ok
đã map 2,5kt</t>
  </si>
  <si>
    <r>
      <rPr>
        <sz val="14"/>
        <color rgb="FF000000"/>
        <rFont val="Times New Roman"/>
      </rPr>
      <t xml:space="preserve">2000003470 - 569C.T09.2025/HPDQ-KD-KH, </t>
    </r>
    <r>
      <rPr>
        <b/>
        <sz val="14"/>
        <color rgb="FFFF0000"/>
        <rFont val="Times New Roman"/>
      </rPr>
      <t>CW&gt;27T</t>
    </r>
    <r>
      <rPr>
        <sz val="14"/>
        <color rgb="FF000000"/>
        <rFont val="Times New Roman"/>
      </rPr>
      <t>, 5000T (800T đường bộ)</t>
    </r>
  </si>
  <si>
    <t>HRC 2 - Hàng hóa ok
2.00x1250 SPHC SX T12</t>
  </si>
  <si>
    <t>GOLDEN HOPE</t>
  </si>
  <si>
    <t>25/10/2025</t>
  </si>
  <si>
    <t>23/10 B5</t>
  </si>
  <si>
    <t>Ravenna, Italy (Marcegaglia's port)</t>
  </si>
  <si>
    <t>2400001312 - 146B.T10-25/HPDQ-MARCE (SAE1006)</t>
  </si>
  <si>
    <t>2400001313 - 146B.T10-25/HPDQ-MARCE (IF)</t>
  </si>
  <si>
    <t>APOLLO TWIN</t>
  </si>
  <si>
    <t>2400001318 - 135.T10-25/HPDQ-GS  - S275 (LOT 1)-  LINH</t>
  </si>
  <si>
    <t>2400001319 - 135.T10-25/HPDQ-GS.  - SPHC SKIN (LOT 1)-  LINH</t>
  </si>
  <si>
    <t>2400001320 - 135.T10-25/HPDQ-GS  - S275 (LOT 2)-  LINH</t>
  </si>
  <si>
    <t>2400001317 - 135.T10-25/HPDQ-GS  - S275 SKIN (LOT 1)-  LINH</t>
  </si>
  <si>
    <t>2400001314 - 136.T10-25/HPDQ-GS - S275JR - Hương</t>
  </si>
  <si>
    <t>2400001315 - 136.T10-25/HPDQ-GS - S75JR skin - Hương</t>
  </si>
  <si>
    <t>2400001316 - 136.T10-25/HPDQ-GS -  SPHC skin - Hương</t>
  </si>
  <si>
    <t>2400001323 - 137.T10-25/HPDQ-GS - SPHC SKIN - TRANG</t>
  </si>
  <si>
    <t>2400001324 - 137.T10-25/HPDQ-GS - S275 SKIN - TRANG</t>
  </si>
  <si>
    <t>2400001325 - 137.T10-25/HPDQ-GS - S275 NONSKIN - TRANG</t>
  </si>
  <si>
    <t>2400001326 - 138.T10-25/HPDQ-GS - TRANG</t>
  </si>
  <si>
    <t>LỊCH XUẤT HRC THÁNG 06/2025</t>
  </si>
  <si>
    <t>PKH NOTE</t>
  </si>
  <si>
    <t>PKD NOTE</t>
  </si>
  <si>
    <t>Update 10h30 05/06 PKH</t>
  </si>
  <si>
    <t>TÌNH TRẠNG 
LÀM HÀNG</t>
  </si>
  <si>
    <t>LỆNH XUẤT HÀNG - KẾ HOẠCH DUYỆT
(SỐ LỆNH ĐẦY ĐỦ - SỐ XNĐH - THỜI GIAN DK DUYỆT LỆNH)
(MỖI LỆNH 1 DÒNG)</t>
  </si>
  <si>
    <r>
      <rPr>
        <b/>
        <sz val="14"/>
        <color rgb="FF000000"/>
        <rFont val="Times New Roman"/>
        <family val="1"/>
      </rPr>
      <t xml:space="preserve">SẢN XUẤT 
</t>
    </r>
    <r>
      <rPr>
        <b/>
        <sz val="13"/>
        <color rgb="FFFF0000"/>
        <rFont val="Times New Roman"/>
        <family val="1"/>
      </rPr>
      <t>(HRC 1/2-TÌNH TRẠNG)</t>
    </r>
  </si>
  <si>
    <t>Đề xuất tàu về 
(Điều độ Logisitic)</t>
  </si>
  <si>
    <t>Lượng đã map</t>
  </si>
  <si>
    <t>Lượng đã xuát</t>
  </si>
  <si>
    <t>Còn lại</t>
  </si>
  <si>
    <t>02-03.06.2025</t>
  </si>
  <si>
    <t>02/06 Bến 5/10</t>
  </si>
  <si>
    <t>2000002936 - 406C.T05.2025/HPDQ-HSNS tổng đơn 15,170 tấn - Lệnh ok</t>
  </si>
  <si>
    <t>HRC 1 - Hàng hóa ok</t>
  </si>
  <si>
    <t>2000002953 - 406D.T05.2025/HPDQ-HSNS tổng 3350 tấn - lệnh ok
GIAO ĐỦ DUNG SAI của các SIZE hàng</t>
  </si>
  <si>
    <t>03-04.06.2025
Dỡ đá -&gt; nhận HRC</t>
  </si>
  <si>
    <t>03/06 Bến 3
(Chiều 02/06 tàu sẵn sàng)</t>
  </si>
  <si>
    <t>2000002958 - 384C.T04.2025/HPDQ-KKNH (NĐ) (lot 1) - 5000t - lệnh ok</t>
  </si>
  <si>
    <t>03.06.2025
NEO</t>
  </si>
  <si>
    <t>16h00 03/06 Bến 1</t>
  </si>
  <si>
    <t>2000002952 - 384B.T04.2025/HPDQ-TVN (NĐ) (lot 1) - 4000t - lệnh ok</t>
  </si>
  <si>
    <t>HRC 1
Hàng hóa ok</t>
  </si>
  <si>
    <t>03.06.2025
Từ Quy Nhơn về</t>
  </si>
  <si>
    <t>03/06 Bến 2</t>
  </si>
  <si>
    <t>2000002958 - 384C.T04.2025/HPDQ-KKNH (NĐ) (lot 1) - 5000t - lệnh ok - XUẤT HẾT</t>
  </si>
  <si>
    <t>CÒN LẠI GHÉP THÉP THÀNH PHẨM
CÂN TẢI</t>
  </si>
  <si>
    <t>2200002001 - 2001.T05.2025/HPDQ-SPTLA-NKH đi Cẩm Nguyên 1964TAN HRC2
- XUẤT HẾT</t>
  </si>
  <si>
    <t>HRC2 - Hàng spot - hàng hóa ok</t>
  </si>
  <si>
    <t>2200001995 - 1995.T05.2025/HPDQ-SPTLA-NKH đi Cẩm Nguyên 250TAN HRC1
- XUẤT HẾT</t>
  </si>
  <si>
    <t>HRC 1 - Hàng hóa ok
Hàng spot</t>
  </si>
  <si>
    <t>2200002002 - 2002.T05.2025/HPDQ-OTBD-NKH đi Long Bình 1555TAN HRC2
- XUẤT HẾT</t>
  </si>
  <si>
    <t>GIA ĐỨC 111
(Thay Trường Tâm 68)</t>
  </si>
  <si>
    <t>04.06.2025
Dỡ đá -&gt; nhận HRC</t>
  </si>
  <si>
    <t>04/06 Bến Tàu lai</t>
  </si>
  <si>
    <t>2200001997 - 1997.T05.2025/HPDQ-THP-NKH đi Hải Phòng 3238TAN HRC2 
- CÂN TẢI</t>
  </si>
  <si>
    <t>2200001998 - 1998.T05.2025/HPDQ-OTHY-NKH đi Hải Phòng 673TAN HRC2 
- XUẤT HẾT</t>
  </si>
  <si>
    <t>2200001982 - 1982.T05.2025/HPDQ-THP-KH HRC2 đi Hải Phòng 350TAN
XUẤT HẾT</t>
  </si>
  <si>
    <t>HRC2 - Hàng hóa ok</t>
  </si>
  <si>
    <t>2200001999 - 1999.T05.2025/HPDQ-OTHY-NKH đi Hải Phòng 663TAN HRC2 
XUẤT HẾT</t>
  </si>
  <si>
    <t>03-06.06.2025</t>
  </si>
  <si>
    <t>04/06 Bến 3/5</t>
  </si>
  <si>
    <r>
      <rPr>
        <b/>
        <sz val="14"/>
        <color rgb="FF000000"/>
        <rFont val="Times New Roman"/>
        <family val="1"/>
      </rPr>
      <t xml:space="preserve">2000002972 - 408B.T05.2025/HPDQ-HSPM (lot 1) tổng 8580 tấn - lệnh ok
</t>
    </r>
    <r>
      <rPr>
        <b/>
        <sz val="14"/>
        <color rgb="FFFF0000"/>
        <rFont val="Times New Roman"/>
        <family val="1"/>
      </rPr>
      <t xml:space="preserve">Load các size: 2.30x1260 (200t) - 3.20x1260 (1600t) - 4.00x1260 (2460t)
</t>
    </r>
    <r>
      <rPr>
        <b/>
        <sz val="14"/>
        <color rgb="FF000000"/>
        <rFont val="Times New Roman"/>
        <family val="1"/>
      </rPr>
      <t>GIAO ĐỦ DUNG SAI của các SIZE hàng</t>
    </r>
  </si>
  <si>
    <t>05-06.06.2025</t>
  </si>
  <si>
    <t>04/06 Bến 1</t>
  </si>
  <si>
    <t>2200001996 - 1996.T05.2025/HPDQ-OTBD-NKH đi Long Bình 475TAN HRC1
- XUẤT HẾT</t>
  </si>
  <si>
    <t>2200002002 - 2002.T05.2025/HPDQ-OTBD-NKH đi Long Bình 1555TAN HRC2 
- XUẤT HẾT</t>
  </si>
  <si>
    <t>2000002971 - 385A.T04.2025/HPDQ-TPK - lệnh ok
GIAO THẲNG (LSD 5/6) - XUẤT HẾT</t>
  </si>
  <si>
    <t>Xuất nốt tồn</t>
  </si>
  <si>
    <t>2000002966 - 385B.T04.2025/HPDQ-TPK - lệnh ok
GIAO THẲNG (LSD 5/6) - XUẤT HẾT</t>
  </si>
  <si>
    <r>
      <rPr>
        <sz val="14"/>
        <color rgb="FF000000"/>
        <rFont val="Times New Roman"/>
        <family val="1"/>
      </rPr>
      <t xml:space="preserve">2000002885 - 408A.T05.2025/HPDQ-HSPM - LSD 5/6
2.50x1160 : 1 cuộn
2.00x1010: 3 cuộn
2.50x1010: 3 cuộn 
3.80x1010: 3 cuộn
2.30x1010: 4 cuộn
</t>
    </r>
    <r>
      <rPr>
        <b/>
        <sz val="14"/>
        <color rgb="FFFF0000"/>
        <rFont val="Times New Roman"/>
        <family val="1"/>
      </rPr>
      <t>HÓA ĐƠN RA MUỘN NHẤT NGÀY 5/6</t>
    </r>
  </si>
  <si>
    <t>HRC 1 - Hàng hóa ok
chỗ này 441t còn lại mới đúng
-&gt; chỉ xuất đủ dung sai thôi</t>
  </si>
  <si>
    <r>
      <rPr>
        <sz val="14"/>
        <color rgb="FF000000"/>
        <rFont val="Times New Roman"/>
        <family val="1"/>
      </rPr>
      <t xml:space="preserve">2000002972 - 408B.T05.2025/HPDQ-HSPM  tổng 8580 tấn - lệnh ok
GIAO ĐỦ DUNG SAI của các SIZE hàng
</t>
    </r>
    <r>
      <rPr>
        <sz val="14"/>
        <color rgb="FFFF0000"/>
        <rFont val="Times New Roman"/>
        <family val="1"/>
      </rPr>
      <t>Load các size: 2.80x1260(500t) - 3.80x1260(500t) - load hết các size 1017 (300t) và các size còn lại tùy chọn
CÂN TẢI HÀNG TÙY CHỌN CHO TÀU</t>
    </r>
  </si>
  <si>
    <t>Phú Mỹ
(Về Hồng Long)</t>
  </si>
  <si>
    <t>2000002898 - 430.T04.2025/HPDQ-TMPHD-TM đi Phú Mỹ 4500TAN HRC2
Lệnh ok</t>
  </si>
  <si>
    <t>HRC2 - Hàng hóa ok
Đi nốt tồn</t>
  </si>
  <si>
    <t>2000002900 - 430.T04.2025/HPDQ-TMPHD-TM đi Phú Mỹ 10.500TAN HRC2
Lệnh ok - CÂN TẢI</t>
  </si>
  <si>
    <t>05.06.2025</t>
  </si>
  <si>
    <t>18h00 05/06 Bến 1</t>
  </si>
  <si>
    <r>
      <rPr>
        <b/>
        <sz val="14"/>
        <color rgb="FF000000"/>
        <rFont val="Times New Roman"/>
        <family val="1"/>
      </rPr>
      <t xml:space="preserve">2200001981 - 1981.T05.2025/HPDQ-THP-KH HRC1 đi Hải Phòng 14130TAN 
</t>
    </r>
    <r>
      <rPr>
        <sz val="14"/>
        <color rgb="FFFF0000"/>
        <rFont val="Times New Roman"/>
        <family val="1"/>
      </rPr>
      <t>XUẤT ĐỦ TẢI TÀU, CÒN LẠI ĐI NỐT TÀU SAU</t>
    </r>
  </si>
  <si>
    <t>37 tấn</t>
  </si>
  <si>
    <t>HOÀNG PHÚC 79</t>
  </si>
  <si>
    <t>05.06.2025
Từ Quy Nhơn về</t>
  </si>
  <si>
    <t>06/06 Bến 2</t>
  </si>
  <si>
    <r>
      <rPr>
        <b/>
        <sz val="14"/>
        <color rgb="FFFF0000"/>
        <rFont val="Times New Roman"/>
        <family val="1"/>
      </rPr>
      <t xml:space="preserve">2000002934 - 407C.T05.2025/HPDQ-HSQN (tổng 13,000 tấn) - lệnh ok 
</t>
    </r>
    <r>
      <rPr>
        <sz val="14"/>
        <color rgb="FFFF0000"/>
        <rFont val="Times New Roman"/>
        <family val="1"/>
      </rPr>
      <t>TÀU KHÔNG ĐỦ TẢI ĐI HẾT MAPPING DƯƠNG, GIAO ĐỦ DUNG SAI CỦA CÁC SIZE HÀNG CỦA 2 LỆNH</t>
    </r>
  </si>
  <si>
    <t>34 tấn</t>
  </si>
  <si>
    <r>
      <rPr>
        <sz val="14"/>
        <color rgb="FFFF0000"/>
        <rFont val="Times New Roman"/>
        <family val="1"/>
      </rPr>
      <t xml:space="preserve">2000002954 - 407D.T05.2025/HPDQ-HSQN tổng 9900 tấn- lệnh ok
TÀU KHÔNG ĐỦ TẢI ĐI HẾT MAPPING DƯƠNG, GIAO ĐỦ DUNG SAI CỦA CÁC SIZE HÀNG CỦA 2 LỆNH </t>
    </r>
  </si>
  <si>
    <t>06.06.2025
Từ miền nam về</t>
  </si>
  <si>
    <t>16h00 06/06 Bến 5</t>
  </si>
  <si>
    <t>2000002998 - 440.T05.2025/HPDQ-HPL-KH đi Phú Mỹ 650TAN HRC1 - XUẤT HẾT</t>
  </si>
  <si>
    <t>30 tấn</t>
  </si>
  <si>
    <t>Chưa SO</t>
  </si>
  <si>
    <t>Tàu nhận được 24.000 tấn, đi thiếu tải</t>
  </si>
  <si>
    <t>2000002972 - 408B.T05.2025/HPDQ-HSPM (lot 1) tổng 8580 tấn - lệnh ok
GIAO ĐỦ DUNG SAI của các SIZE hàng - XUẤT HẾT LƯỢNG MAPPING CÒN LẠI</t>
  </si>
  <si>
    <t>2200002004 - 2004.T6.2025/HPDQ-HPC-KH đi Phú Mỹ 922TAN HRC1 - XUẤT HẾT MAPPING</t>
  </si>
  <si>
    <t>2200002005 - 2004.T6.2025/HPDQ-HPC-KH đi Phú Mỹ 520TAN HRC2 - XUẤT HẾT MAPPING</t>
  </si>
  <si>
    <t>HRC2 - Hàng hóa ok, 519t</t>
  </si>
  <si>
    <t>2000002969 - 434.T05.2025/HPDQ-TDA - chiều 06/06 có lệnh
- XUẤT HẾT MAPPING</t>
  </si>
  <si>
    <t>2000002937 - 410B.T05.2025/HPDQ-NK - 3000t - lệnh ok
GIAO THẲNG - càng sớm càng tốt - CHỜ MAPPING RỒI CHỐT XUẤT</t>
  </si>
  <si>
    <t>2000002994 - 410C.T05.2025/HPDQ-NK - 6200T - lệnh ok
- CHỜ MAPPING RỒI CHỐT XUẤT</t>
  </si>
  <si>
    <r>
      <rPr>
        <sz val="14"/>
        <color rgb="FF000000"/>
        <rFont val="Times New Roman"/>
        <family val="1"/>
      </rPr>
      <t xml:space="preserve">2000003006 - 411.T05.2025/HPDQ-TN - Nhịp 1 (giao càng sớm càng tốt) - đã có LC 
- CHỜ MAPPING RỒI CHỐT XUẤT  -- </t>
    </r>
    <r>
      <rPr>
        <b/>
        <sz val="14"/>
        <color rgb="FFFF0000"/>
        <rFont val="Times New Roman"/>
        <family val="1"/>
      </rPr>
      <t>LỆNH OK</t>
    </r>
  </si>
  <si>
    <r>
      <rPr>
        <sz val="14"/>
        <color rgb="FF000000"/>
        <rFont val="Times New Roman"/>
        <family val="1"/>
      </rPr>
      <t xml:space="preserve">2000002951 - 384B.T04.2025/HPDQ-TVN (NĐ) (lot 1B) - 360t - lùi sang giao nhịp 1 tháng 6, dự kiến khách nhận tầm 10-15/6 - Lệnh ok - XUẤT HẾT MAPPING
</t>
    </r>
    <r>
      <rPr>
        <b/>
        <sz val="14"/>
        <color rgb="FFFF0000"/>
        <rFont val="Times New Roman"/>
        <family val="1"/>
      </rPr>
      <t>DỠ TÂN THUẬN -&gt; PHÚ MỸ</t>
    </r>
  </si>
  <si>
    <t>HRC 1 - Hàng hóa ok
đã map 396</t>
  </si>
  <si>
    <t>07-08.06.2025
Dỡ slab -&gt; nhận HRC</t>
  </si>
  <si>
    <t>15h00 08/06 Bến 5</t>
  </si>
  <si>
    <t>2200001992 - 1992.T05.2025/HPDQ-THP-NKH đi Hải Phòng 2242TAN HRC1 - XUẤT HẾT MAPPING</t>
  </si>
  <si>
    <t>38 tấn</t>
  </si>
  <si>
    <t>Tàu nhận được 12.900 tấn, đi thiếu tải</t>
  </si>
  <si>
    <t>2200001997 - 1997.T05.2025/HPDQ-THP-NKH đi Hải Phòng 3238TAN HRC2 
 XUẤT HẾT LƯỢNG CÒN LẠI</t>
  </si>
  <si>
    <t>2200001994 - 1994.T05.2025/HPDQ-OTHY-NKH đi Hải Phòng 69TAN HRC1 - XUẤT HẾT MAPPING</t>
  </si>
  <si>
    <t>2200001981 - 1981.T05.2025/HPDQ-THP-KH HRC1 đi Hải Phòng 14130TAN - XUẤT HẾT LƯỢNG CÒN LẠI</t>
  </si>
  <si>
    <t>HRC 1
dự kiến 10/06/2025</t>
  </si>
  <si>
    <t>2000003018 - 438.T05.2025/HPDQ-TMN - đã có LC, chiều 06/06 có lệnh - CHỜ MAPPING ĐỦ RỒI CHỐT</t>
  </si>
  <si>
    <t>2000002982_351E.T04.2025/HPDQ-TVĐ (lot 5) - 4000t - Đã có LC_lệnh oke - CHỜ MAPPING ĐỦ RỒI CHỐT</t>
  </si>
  <si>
    <t>06-07.06.2025</t>
  </si>
  <si>
    <t>07/06 Bến Tàu lai</t>
  </si>
  <si>
    <t>2200002008 - 2008.T06.2025/HPDQ-OTBD-NKH đi Long Bình 4893TAN HRC1</t>
  </si>
  <si>
    <t>HRC 1 - Hàng spot. ok
thiếu 2 cuộn</t>
  </si>
  <si>
    <t>2200002009 - 2009.T06.2025/HPDQ-SPTLA-NKH đi Cẩm Nguyên 613TAN HRC1</t>
  </si>
  <si>
    <t>HRC 1 - Hàng spot. ok</t>
  </si>
  <si>
    <t>11-12.06.2025
Dỡ đá -&gt; nhận HRC</t>
  </si>
  <si>
    <t>10/06 Bến 5</t>
  </si>
  <si>
    <r>
      <rPr>
        <b/>
        <sz val="14"/>
        <color rgb="FF000000"/>
        <rFont val="Times New Roman"/>
        <family val="1"/>
      </rPr>
      <t xml:space="preserve">2000002938 - 410A.T05.2025/HPDQ-NK - 10.000T - lệnh ok
</t>
    </r>
    <r>
      <rPr>
        <b/>
        <sz val="14"/>
        <color rgb="FFFF0000"/>
        <rFont val="Times New Roman"/>
        <family val="1"/>
      </rPr>
      <t>ưu tiên giao lượng 2.0 có trước, ghép cùng 1.5k size 2.2 cho đủ tải - mỗi ngày chỉ xuất 1 hóa đơn</t>
    </r>
  </si>
  <si>
    <t>36 tấn</t>
  </si>
  <si>
    <t>12.06.2025</t>
  </si>
  <si>
    <t>11/06 Bến 2</t>
  </si>
  <si>
    <t>2000002955 - 384B.T04.2025/HPDQ-TVN (NĐ) (lot 2) - 4340t - lệnh ok</t>
  </si>
  <si>
    <t>25 tấn</t>
  </si>
  <si>
    <t>11.06.2025
NEO</t>
  </si>
  <si>
    <t>17H00 11/06 Bến 1</t>
  </si>
  <si>
    <t>2000002956 - 384B.T04.2025/HPDQ-TVN (NĐ) (lot 3) - 3000t - lệnh ok (chiều mới duyệt được ạ) - xuất hết mapping</t>
  </si>
  <si>
    <t xml:space="preserve">2000003016 - 384B.T04.2025/HPDQ-TVN (NĐ) (lot 4) - 3000t  - lệnh ok - cân tải </t>
  </si>
  <si>
    <t>HRC 1 - Hàng hóa ok
lộn xộn (chưa mapping đủ a ơi)
Lấy 1k thôi mà</t>
  </si>
  <si>
    <t>12-13.06.2025
Đang trú gió ở Quy Nhơn</t>
  </si>
  <si>
    <t>23h00 12/06
(Tàu đêm 12/06 về DQ)</t>
  </si>
  <si>
    <r>
      <rPr>
        <b/>
        <sz val="14"/>
        <color rgb="FF000000"/>
        <rFont val="Times New Roman"/>
        <family val="1"/>
      </rPr>
      <t xml:space="preserve">2000002968 - 418.T05.2025/HPDQ-VISA - 11/06 duyệt lệnh </t>
    </r>
    <r>
      <rPr>
        <b/>
        <sz val="14"/>
        <color rgb="FFFF0000"/>
        <rFont val="Times New Roman"/>
        <family val="1"/>
      </rPr>
      <t xml:space="preserve">(LSD 15/06)
</t>
    </r>
    <r>
      <rPr>
        <b/>
        <sz val="14"/>
        <color rgb="FF000000"/>
        <rFont val="Times New Roman"/>
        <family val="1"/>
      </rPr>
      <t>GIAO THẲNG</t>
    </r>
  </si>
  <si>
    <t>2000003003 - 416.T05.2025/HPDQ-MOV(TTLA) - Nhịp 2 (dkien 12/6 có lệnh)</t>
  </si>
  <si>
    <r>
      <rPr>
        <sz val="14"/>
        <color rgb="FF000000"/>
        <rFont val="Times New Roman"/>
        <family val="1"/>
      </rPr>
      <t xml:space="preserve">2000003006 - 411.T05.2025/HPDQ-TN - Nhịp 2 (giao càng sớm càng tốt) - đã có LC
</t>
    </r>
    <r>
      <rPr>
        <b/>
        <sz val="14"/>
        <color rgb="FFFF0000"/>
        <rFont val="Times New Roman"/>
        <family val="1"/>
      </rPr>
      <t>DỠ THIÊN LỘC THÀNH -&gt; CẨM NGUYÊN</t>
    </r>
  </si>
  <si>
    <t>16-17.06.2025
Từ Quy Nhơn về</t>
  </si>
  <si>
    <t>8h00 15/06 Bến tàu lai</t>
  </si>
  <si>
    <t>2000003008 - 411.T05.2025/HPDQ-TN  - Nhịp 2 (16/06 có LC) --lệnh ok
DỠ THIÊN LỘC THÀNH -&gt; LONG BÌNH</t>
  </si>
  <si>
    <t>2200002022 - 2022.T06.2025/HPDQ-OTBD-NKH HRC1 đi Long Bình 9035TAN</t>
  </si>
  <si>
    <t>Tàu nhận được 4.350 tấn, chờ ghép thêm hàng</t>
  </si>
  <si>
    <r>
      <rPr>
        <sz val="14"/>
        <color rgb="FF000000"/>
        <rFont val="Times New Roman"/>
        <family val="1"/>
      </rPr>
      <t xml:space="preserve">2000003001 - 415A.T05.2025/HPDQ-LPGBD - Nhịp 2 (chia 2 đợt, mỗi đợt cách nhau 10 ngày theo yc của khách) - DK 10/06 có LC
</t>
    </r>
    <r>
      <rPr>
        <b/>
        <sz val="14"/>
        <color rgb="FFFF0000"/>
        <rFont val="Times New Roman"/>
        <family val="1"/>
      </rPr>
      <t>DỠ THIÊN LỘC THÀNH -&gt; LONG BÌNH</t>
    </r>
  </si>
  <si>
    <t>13-14.06.2025
Từ nam về</t>
  </si>
  <si>
    <t>23h00 13/06 Bến 6</t>
  </si>
  <si>
    <t>2200002007 - 2007.T06.2025/HPDQ-THP-NKH đi Hải Phòng 2517TAN HRC1</t>
  </si>
  <si>
    <t>2200002010 - 2010.T06.2025/HPDQ-OTHY-NKH đi Hải Phòng 515TAN HRC1</t>
  </si>
  <si>
    <t>2000002919 - 401.T05.2025/HPDQ-PVX - 2000t - lệnh ok</t>
  </si>
  <si>
    <t>2000002930 - 396.T05.2025/HPDQ-NQ - lệnh ok (LSD 20/6)</t>
  </si>
  <si>
    <t>2000002977 - 397.T05.2025/HPDQ-XDTP - lệnh ok - LSD 20/6</t>
  </si>
  <si>
    <t>2000003000- 402.T05.2025/HPDQ-NSTV - 350T - lệnh ok -  LSD 20/06, Khách cần nhận hàng gấp từ 5-15/06 ạ.</t>
  </si>
  <si>
    <t>09.06.2025
NEO</t>
  </si>
  <si>
    <t>20h00 12/06 Bến 3/5</t>
  </si>
  <si>
    <t>12-13.06 cho vào làm hàng dần</t>
  </si>
  <si>
    <t>2000003026 - 387B.T04.2025/HPDQ-MISV (lot 4)  - 3000t -lệnh ok- xuất hết mapping</t>
  </si>
  <si>
    <t>2000003027 - 387B.T04.2025/HPDQ-MISV (lot 5) - 2900t - lệnh ok</t>
  </si>
  <si>
    <t>2000003016 - 384B.T04.2025/HPDQ-TVN (NĐ) (lot 4) - 3000t  - lệnh ok</t>
  </si>
  <si>
    <t>2000002997 - 408B.T05.2025/HPDQ-HSPM (lot 1) - 500T - Lệnh ok
GIAO ĐỦ DUNG SAI của các SIZE hàng
CHỜ GIAO CÙNG ĐƠN 449A.T06</t>
  </si>
  <si>
    <r>
      <rPr>
        <sz val="14"/>
        <color rgb="FF000000"/>
        <rFont val="Times New Roman"/>
        <family val="1"/>
      </rPr>
      <t xml:space="preserve">2000003015 - 449A.T06.2025/HPDQ-HSPM  - tổng đơn 10,300 tấn - 13/6 có LC
</t>
    </r>
    <r>
      <rPr>
        <sz val="14"/>
        <color rgb="FFFF0000"/>
        <rFont val="Times New Roman"/>
        <family val="1"/>
      </rPr>
      <t>thứ tự ưu tiên: load hết hàng các size 2.00-2.30x1260 trước rồi load đến những size của khổ 1260 còn lại</t>
    </r>
  </si>
  <si>
    <t>2000002978 - 419.T05.2025/HPDQ-SEAH - lệnh ok (LSD 30/6)</t>
  </si>
  <si>
    <r>
      <rPr>
        <sz val="14"/>
        <color rgb="FF000000"/>
        <rFont val="Times New Roman"/>
        <family val="1"/>
      </rPr>
      <t xml:space="preserve">2000002938 - 410A.T05.2025/HPDQ-NK - 10.000T - lệnh ok
</t>
    </r>
    <r>
      <rPr>
        <sz val="14"/>
        <color rgb="FFFF0000"/>
        <rFont val="Times New Roman"/>
        <family val="1"/>
      </rPr>
      <t>giao nốt các size còn lại - mỗi ngày chỉ xuất 1 hóa đơn</t>
    </r>
  </si>
  <si>
    <t>2000002990 - 373.T04.2025/HPDQ-KKR(SMC) - 3000T - lệnh ok</t>
  </si>
  <si>
    <t>Không nhận hàng rỉ</t>
  </si>
  <si>
    <r>
      <rPr>
        <sz val="14"/>
        <color rgb="FF000000"/>
        <rFont val="Times New Roman"/>
        <family val="1"/>
      </rPr>
      <t xml:space="preserve">2000002965 - 426.T05.2025/HPDQ-JFE - dự kiến chiều 12/06 duyệt lệnh
</t>
    </r>
    <r>
      <rPr>
        <b/>
        <sz val="14"/>
        <color rgb="FFFF0000"/>
        <rFont val="Times New Roman"/>
        <family val="1"/>
      </rPr>
      <t>DỠ PHÚ MỸ -&gt; TÂN THUẬN</t>
    </r>
  </si>
  <si>
    <t>HRC2 - Hàng hóa ok, 3470t</t>
  </si>
  <si>
    <t>MEA MARE</t>
  </si>
  <si>
    <t>15.06.2025</t>
  </si>
  <si>
    <t>15/06 Bến 6</t>
  </si>
  <si>
    <t>2400001198 - 80.T06-25/HPDQ-MARCE (S235JR)</t>
  </si>
  <si>
    <t>HRC 1 - Chốt list
Hàng hóa ok</t>
  </si>
  <si>
    <t>Cần dán CE Marking</t>
  </si>
  <si>
    <t>2400001197 - 80.T06-25/HPDQ-MARCE (SAE1006)</t>
  </si>
  <si>
    <t>HRC2 -Hàng hóa ok, chốt SO</t>
  </si>
  <si>
    <t>2400001205 - 91.T06-25/HPDQ-SST - GIANG</t>
  </si>
  <si>
    <t>Xếp riêng hàng khỏi 2 lệnh còn lại</t>
  </si>
  <si>
    <t>14-15.06.2025
Từ Đà Nẵng về</t>
  </si>
  <si>
    <t>17/06 Bến 2</t>
  </si>
  <si>
    <r>
      <rPr>
        <sz val="14"/>
        <color rgb="FF000000"/>
        <rFont val="Times New Roman"/>
        <family val="1"/>
      </rPr>
      <t xml:space="preserve">2000003008 - 411.T05.2025/HPDQ-TN  - Nhịp 2 (16/06 có LC) -lệnh ok
</t>
    </r>
    <r>
      <rPr>
        <b/>
        <sz val="14"/>
        <color rgb="FFFF0000"/>
        <rFont val="Times New Roman"/>
        <family val="1"/>
      </rPr>
      <t>DỠ THIÊN LỘC THÀNH -&gt; LONG BÌNH</t>
    </r>
  </si>
  <si>
    <t>TRUNG THẮNG 558
(Thay thế GIA LĨNH 268)</t>
  </si>
  <si>
    <t>18.06.2025
Chạy rỗng về</t>
  </si>
  <si>
    <t>3h00 18/06 Bến 5</t>
  </si>
  <si>
    <t>2200001955 - 1955.T05.2025/HPDQ-THP-KH đi Hải Phòng 2000TAN HRC2</t>
  </si>
  <si>
    <t>HRC2 - Hàng hóa ok, 2k1 tấn</t>
  </si>
  <si>
    <t>2000002981- 351D.T04.2025/HPDQ-OTVD (lot 4) - 5000t -Đã có LC- lệnh oke</t>
  </si>
  <si>
    <t>2000003038 - 387A4.T04.2025/HPDQ-OTSG - 1900t - lệnh ok</t>
  </si>
  <si>
    <t>2000003039 - 387A5.T04.2025/HPDQ-OTTP - 1100t - lệnh ok</t>
  </si>
  <si>
    <t>2200001990 - 1990.T04.2025/HPDQ-OTHY-NKH đi Hải Phòng 1811TAN HRC2</t>
  </si>
  <si>
    <t>HRC 2
Hàng hóa ok</t>
  </si>
  <si>
    <t>2200001976 - 1976.T05.2025/HPDQ-THP-NKH đi Hải Phòng 4964TAN HRC1</t>
  </si>
  <si>
    <t>2200002019 - 2019.T06.2025/HPDQ-OTHY-KH đi Hải Phòng 1200TAN HRC2</t>
  </si>
  <si>
    <t xml:space="preserve">HRC2 - hàng hóa ok, 368t </t>
  </si>
  <si>
    <t>2200002021 - 2021.T06.2025/HPDQ-THP-NKH HRC1 đi Hải Phòng 477TAN</t>
  </si>
  <si>
    <t>2200001982 - 1982.T05.2025/HPDQ-THP-KH HRC2 đi Hải Phòng 350TAN
XUẤT HẾT MAPPING CÒN LẠI</t>
  </si>
  <si>
    <r>
      <rPr>
        <sz val="14"/>
        <color rgb="FF000000"/>
        <rFont val="Times New Roman"/>
        <family val="1"/>
      </rPr>
      <t xml:space="preserve">2200002018 - 2018.T06.2025/HPDQ-THP-KH đi Hải Phòng 690TAN HRC1
</t>
    </r>
    <r>
      <rPr>
        <sz val="14"/>
        <color rgb="FFFF0000"/>
        <rFont val="Times New Roman"/>
        <family val="1"/>
      </rPr>
      <t>BỔ SUNG THÊM LỆNH NÀY - XUẤT HẾT</t>
    </r>
  </si>
  <si>
    <r>
      <rPr>
        <sz val="14"/>
        <color rgb="FF000000"/>
        <rFont val="Times New Roman"/>
        <family val="1"/>
      </rPr>
      <t>2200002020 - 2020.T06.2025/HPDQ-THP-NKH HRC1 đi Hải Phòng 3207TAN -</t>
    </r>
    <r>
      <rPr>
        <sz val="14"/>
        <color rgb="FFFF0000"/>
        <rFont val="Times New Roman"/>
        <family val="1"/>
      </rPr>
      <t xml:space="preserve"> CÂN TẢI</t>
    </r>
  </si>
  <si>
    <t>17.06.2025
NEO</t>
  </si>
  <si>
    <t>14h00 17/06 Bến 5/10</t>
  </si>
  <si>
    <r>
      <rPr>
        <b/>
        <sz val="14"/>
        <color rgb="FF000000"/>
        <rFont val="Times New Roman"/>
        <family val="1"/>
      </rPr>
      <t xml:space="preserve">2000003015 - 449A.T06.2025/HPDQ-HSPM  - tổng đơn 10,300 tấn - 13/6 có LC
</t>
    </r>
    <r>
      <rPr>
        <b/>
        <sz val="14"/>
        <color rgb="FFFF0000"/>
        <rFont val="Times New Roman"/>
        <family val="1"/>
      </rPr>
      <t>Giao đủ dung sai các size hàng</t>
    </r>
  </si>
  <si>
    <t>HRC 1 - Hàng hóa ok
300t 1.6 PKD bố trí tàu lấy sau</t>
  </si>
  <si>
    <t>2000003042 - 387B.T04.2025/HPDQ-OTSG (NĐ) - lot 3 - 600t SS400 - lệnh ok- xuất hết mapping/hoặc &gt;600t</t>
  </si>
  <si>
    <r>
      <rPr>
        <sz val="14"/>
        <color rgb="FF000000"/>
        <rFont val="Times New Roman"/>
        <family val="1"/>
      </rPr>
      <t xml:space="preserve">2000003034 - 446.T05.2025/HPDQ-TMPHD-KH (TM) 5000TAN HRC đi Long An
</t>
    </r>
    <r>
      <rPr>
        <b/>
        <sz val="14"/>
        <color rgb="FFFF0000"/>
        <rFont val="Times New Roman"/>
        <family val="1"/>
      </rPr>
      <t>TÀU VÀO LÀM DẦN, HÀNG NÀO CÓ TRƯỚC THÌ CHO XẾP TRƯỚC, KHÔNG YÊU CẦU DỠ CẢNG NÀO TRƯỚC</t>
    </r>
  </si>
  <si>
    <t>18.06.2025
Từ Đà Nẵng về</t>
  </si>
  <si>
    <t>10h00 18/06 Bến 3/5</t>
  </si>
  <si>
    <t>2000003035 - 447.T05.2025/HPDQ-TMP-KH (TM) 5000TAN HRC2 đi Long An</t>
  </si>
  <si>
    <r>
      <rPr>
        <sz val="14"/>
        <color rgb="FF000000"/>
        <rFont val="Times New Roman"/>
        <family val="1"/>
      </rPr>
      <t xml:space="preserve">2000002999 - 464.T06.2025/HPDQ-JFE(TDA) - chiều 16/06 duyệt lệnh
</t>
    </r>
    <r>
      <rPr>
        <b/>
        <sz val="14"/>
        <color rgb="FFFF0000"/>
        <rFont val="Times New Roman"/>
        <family val="1"/>
      </rPr>
      <t>DỠ TÂN THUẬN -&gt; QTLA</t>
    </r>
  </si>
  <si>
    <t>HRC2 - Hàng hóa ok, 7620t</t>
  </si>
  <si>
    <t>20.06.2025
Dỡ đá -&gt; nhận HRC</t>
  </si>
  <si>
    <t>18/06 Bến 2</t>
  </si>
  <si>
    <t>HRC 1 - Hàng spot, ok
Thiếu 4 cuộn</t>
  </si>
  <si>
    <t>28 tấn</t>
  </si>
  <si>
    <t>SUN PROFIT</t>
  </si>
  <si>
    <t>19.06.2025</t>
  </si>
  <si>
    <t>19/06 Bến 6/11</t>
  </si>
  <si>
    <t>Monfalcone, Italy</t>
  </si>
  <si>
    <t>2400001189 - 81.T06-25/HPDQ-HOS - HẰNG - lệnh ok</t>
  </si>
  <si>
    <t>Ancona, Italy</t>
  </si>
  <si>
    <t xml:space="preserve">2400001206 - 82.T06-25/HPDQ-HOS (LOT 1/S235JR) - Hương </t>
  </si>
  <si>
    <t>Lệnh cũ 2400001199</t>
  </si>
  <si>
    <t xml:space="preserve">2400001207 - 82.T06-25/HPDQ-HOS (LOT 1/S355JR) - Hương </t>
  </si>
  <si>
    <t>Lệnh cũ 2400001201</t>
  </si>
  <si>
    <t xml:space="preserve">2400001208 - 82.T06-25/HPDQ-HOS (LOT 2/S235JR) - Hương </t>
  </si>
  <si>
    <t>Lệnh cũ 2400001200</t>
  </si>
  <si>
    <t xml:space="preserve">2400001209 - 82.T06-25/HPDQ-HOS (LOT 2/S355JR) - Hương </t>
  </si>
  <si>
    <t>Lệnh cũ 2400001202</t>
  </si>
  <si>
    <t>2400001203 - 83.T06-25/HPDQ-HOS - LINH</t>
  </si>
  <si>
    <t>17-18.06.2025</t>
  </si>
  <si>
    <t>18/06 Bến Tàu lai</t>
  </si>
  <si>
    <t>21.06.2025
Dỡ đá -&gt; nhận HRC</t>
  </si>
  <si>
    <t>19-20/06 Bến 3/5</t>
  </si>
  <si>
    <t>2200002026 - 2026.T06.2025/HPDQ-OTBD-NKH HRC2 đi Long Bình 412TAN</t>
  </si>
  <si>
    <t>HRC2 - Hàng spot, 375t chốt SO</t>
  </si>
  <si>
    <t>2200002023 - 2023.T06.2025/HPDQ-SPTLA-NKH HRC1 đi Cẩm Nguyên 243TAN</t>
  </si>
  <si>
    <t>HRC 1 - Hàng spot, ok</t>
  </si>
  <si>
    <t>2200002027 - 2027.T06.2025/HPDQ-SPTLA-NKH HRC2 đi Cẩm Nguyên 275TAN</t>
  </si>
  <si>
    <t>HRC2 - Hàng spot, ok</t>
  </si>
  <si>
    <r>
      <rPr>
        <sz val="14"/>
        <color rgb="FF000000"/>
        <rFont val="Times New Roman"/>
        <family val="1"/>
      </rPr>
      <t xml:space="preserve">2000003023 - 421.T05.2025/HPDQ-TVN (NĐ) lot 1 - 1300t - lenh ok
</t>
    </r>
    <r>
      <rPr>
        <b/>
        <sz val="14"/>
        <color rgb="FFFF0000"/>
        <rFont val="Times New Roman"/>
        <family val="1"/>
      </rPr>
      <t>CÂN ĐỐI XẾP HÀNG THEO TÌNH HÌNH Ở CẨM NGUYÊN HIỆN TẠI, KHÔNG YÊU CẦU DỠ CẢNG NÀO TRƯỚC</t>
    </r>
  </si>
  <si>
    <t>HRC2 - Hàng hóa ok, 1237t</t>
  </si>
  <si>
    <t>18.06.2025
NEO</t>
  </si>
  <si>
    <t>20/06 Bến 5</t>
  </si>
  <si>
    <t>2200002029 - 2029.T06.2025/HPDQ-OTBD-NKH đi Long Bình 4686TAN HRC1 - CÂN TẢI</t>
  </si>
  <si>
    <t>HRC 1
Hàng hóa ok, hàng spot</t>
  </si>
  <si>
    <r>
      <rPr>
        <sz val="14"/>
        <color rgb="FF000000"/>
        <rFont val="Times New Roman"/>
        <family val="1"/>
      </rPr>
      <t xml:space="preserve">2200002035 - 2035.T06.2025/HPDQ-SPTLA-NKH đi Cẩm Nguyên 484TAN HRC2 - XUẤT HẾT
</t>
    </r>
    <r>
      <rPr>
        <sz val="14"/>
        <color rgb="FFFF0000"/>
        <rFont val="Times New Roman"/>
        <family val="1"/>
      </rPr>
      <t>CÂN ĐỐI XẾP HÀNG THEO TÌNH HÌNH Ở CẨM NGUYÊN HIỆN TẠI, KHÔNG YÊU CẦU DỠ CẢNG NÀO TRƯỚC</t>
    </r>
  </si>
  <si>
    <t>HRC2 - Hàng hóa ok, hàng spot</t>
  </si>
  <si>
    <t>18-19.06.2025
Dỡ đá -&gt; nhận HRC</t>
  </si>
  <si>
    <t>19/06 Bến 5</t>
  </si>
  <si>
    <r>
      <rPr>
        <sz val="14"/>
        <color rgb="FF000000"/>
        <rFont val="Times New Roman"/>
        <family val="1"/>
      </rPr>
      <t xml:space="preserve">2000003056 - 384B.T04.2025/HPDQ-TVN (NĐ) (lot 5) - 4000t - lệnh ok
</t>
    </r>
    <r>
      <rPr>
        <b/>
        <sz val="14"/>
        <color rgb="FFFF0000"/>
        <rFont val="Times New Roman"/>
        <family val="1"/>
      </rPr>
      <t>DỠ LONG BÌNH -&gt; PHÚ MỸ</t>
    </r>
  </si>
  <si>
    <t>cái này có thể giao cuối N2 đi luôn này</t>
  </si>
  <si>
    <t>21-22.06.2025
Từ Quy Nhơn về</t>
  </si>
  <si>
    <t>21/06 Bến 1</t>
  </si>
  <si>
    <r>
      <rPr>
        <b/>
        <sz val="14"/>
        <color rgb="FF000000"/>
        <rFont val="Times New Roman"/>
        <family val="1"/>
      </rPr>
      <t xml:space="preserve">2000003012 - 448B.T06.2025/HPDQ-HSQN - tổng đơn 7700 tấn - lệnh ok
</t>
    </r>
    <r>
      <rPr>
        <b/>
        <sz val="14"/>
        <color rgb="FFFF0000"/>
        <rFont val="Times New Roman"/>
        <family val="1"/>
      </rPr>
      <t>2 chuyến không xuất hết được hết 7k7, xuất đủ dung sai các size hàng + full tải tàu</t>
    </r>
  </si>
  <si>
    <t>21-22.06.2025
Chạy từ nam về</t>
  </si>
  <si>
    <t>22/06 Bến 5/10</t>
  </si>
  <si>
    <t>2200002028 - 2028.T06.2025/HPDQ-THP-NKH đi Hải Phòng 1423TAN HRC1</t>
  </si>
  <si>
    <t>2200002020 - 2020.T06.2025/HPDQ-THP-NKH HRC1 đi Hải Phòng 3207TAN - CÂN TẢI</t>
  </si>
  <si>
    <t>2200002031 - 2031.T06.2025/HPDQ-THP-NKH đi Hải Phòng 380TAN HRC2</t>
  </si>
  <si>
    <t>2200002033 - 2033.T06.2025/HPDQ-OTHY-NKH đi Hải Phòng 3296TAN HRC2</t>
  </si>
  <si>
    <t>2200002036 - 2036.T06.2025/HPDQ-OTHY-NKH đi Hải Phòng 6285TAN HRC2</t>
  </si>
  <si>
    <t>2000003057 - 386.T06.2025/HPDQ-TMPHD-BBC đi Hải Phòng 605TAN HRC1 - HẾT 23/6 DUYỆT LỆNH</t>
  </si>
  <si>
    <t>HRC 1 - Hàng hóa ok, hàng BBC</t>
  </si>
  <si>
    <t>2000003058 - 387.T06.2025/HPDQ-TMPHD-BBC đi Hải Phòng 161TAN HRC2 HẾT 23/6 DUYỆT LỆNH</t>
  </si>
  <si>
    <t>HRC2 - Hàng hóa ok, hàng BBC</t>
  </si>
  <si>
    <t>2000003019 - 447A.T06.2025/HPDQ-HSNS - tổng đơn 15,500 tấn - lệnh ok</t>
  </si>
  <si>
    <t>32 tấn</t>
  </si>
  <si>
    <t>23-24.06.2025
Từ Quy Nhơn về</t>
  </si>
  <si>
    <t>18H00 24/06 Bến 5</t>
  </si>
  <si>
    <r>
      <rPr>
        <b/>
        <sz val="14"/>
        <color rgb="FF000000"/>
        <rFont val="Times New Roman"/>
        <family val="1"/>
      </rPr>
      <t xml:space="preserve">2000003011 - 448A.T06.2025/HPDQ-HSQN - tổng đơn 9200 tấn - lệnh ok
</t>
    </r>
    <r>
      <rPr>
        <b/>
        <sz val="14"/>
        <color rgb="FFFF0000"/>
        <rFont val="Times New Roman"/>
        <family val="1"/>
      </rPr>
      <t>Tàu này đi size 2.00x1212</t>
    </r>
  </si>
  <si>
    <t>HRC2 - Hàng hóa ok, SO đã map 9123t</t>
  </si>
  <si>
    <t>22-23.06.2025
Dỡ đá -&gt; nhận HRC</t>
  </si>
  <si>
    <t>2200002029 - 2029.T06.2025/HPDQ-OTBD-NKH đi Long Bình 4686TAN HRC1</t>
  </si>
  <si>
    <t>2000003002  - 415B.T05.2025/HPDQ-LPGBD - Nhịp 3 (lệnh ok)</t>
  </si>
  <si>
    <t>21-22.06.2025
Dỡ slab -&gt; nhận HRC</t>
  </si>
  <si>
    <t>12h00 24/06 Bến 3</t>
  </si>
  <si>
    <t>2000003028 - 394C.T05.2025/HPDQ-OTVĐ - 5000T - Đã có LC- lệnh oke</t>
  </si>
  <si>
    <r>
      <rPr>
        <sz val="14"/>
        <color rgb="FF000000"/>
        <rFont val="Times New Roman"/>
        <family val="1"/>
      </rPr>
      <t xml:space="preserve">2000003010 - 403B.T05.2025/HPDQ-CP - lệnh ok
</t>
    </r>
    <r>
      <rPr>
        <b/>
        <sz val="14"/>
        <color rgb="FF000000"/>
        <rFont val="Times New Roman"/>
        <family val="1"/>
      </rPr>
      <t>Xếp đầu tiên - lấy cuối cùng</t>
    </r>
  </si>
  <si>
    <t>2000002976 - 400.T05.2025/HPDQ-PT - 500T, LSD 30/6, lệnh ok</t>
  </si>
  <si>
    <t>2000003004 - 444.T06.2025/HPDQ-PT - 200T, LSD 05/7 (giao chung với đơn T05 500T), lệnh ok</t>
  </si>
  <si>
    <t>25-26.06.2025
Từ Quy Nhơn quay đầu về nhận hàng đi tiếp</t>
  </si>
  <si>
    <t>20h00 24/06 Bến 5</t>
  </si>
  <si>
    <t>19h00 25/06 Bến 3/5</t>
  </si>
  <si>
    <t>Tàu về sớm chờ hàng, 
24-25/6 có hàng NK cho vào làm dần</t>
  </si>
  <si>
    <r>
      <rPr>
        <b/>
        <sz val="14"/>
        <color rgb="FF000000"/>
        <rFont val="Times New Roman"/>
        <family val="1"/>
      </rPr>
      <t xml:space="preserve">2000002992 - 424.T05.2025/HPDQ-SUNSCO - lệnh ok - </t>
    </r>
    <r>
      <rPr>
        <b/>
        <sz val="14"/>
        <color rgb="FFFF0000"/>
        <rFont val="Times New Roman"/>
        <family val="1"/>
      </rPr>
      <t>LSD 30/6</t>
    </r>
  </si>
  <si>
    <r>
      <rPr>
        <sz val="14"/>
        <color rgb="FF000000"/>
        <rFont val="Times New Roman"/>
        <family val="1"/>
      </rPr>
      <t xml:space="preserve">2000002995 - 410C.T05.2025/HPDQ-NK lot 2 - 7800T - lệnh ok
</t>
    </r>
    <r>
      <rPr>
        <b/>
        <sz val="14"/>
        <color rgb="FF000000"/>
        <rFont val="Times New Roman"/>
        <family val="1"/>
      </rPr>
      <t>mỗi ngày chỉ xuất 1 hóa đơn</t>
    </r>
  </si>
  <si>
    <r>
      <rPr>
        <sz val="14"/>
        <color rgb="FF000000"/>
        <rFont val="Times New Roman"/>
        <family val="1"/>
      </rPr>
      <t xml:space="preserve">2000003007 - 417.T05.2025/HPDQ-MOV(TL) - Giao nhịp 2 nếu kịp hàng 
(lệnh ok) </t>
    </r>
    <r>
      <rPr>
        <sz val="14"/>
        <color rgb="FFFF0000"/>
        <rFont val="Times New Roman"/>
        <family val="1"/>
      </rPr>
      <t>(LSD: 30/06)</t>
    </r>
  </si>
  <si>
    <t>2000003059 - 450A.T06.2025/HPDQ-TDA - lệnh ok</t>
  </si>
  <si>
    <t>2200002005 - 2004.T6.2025/HPDQ-HPC-KH đi Phú Mỹ  HRC2
còn lại 3254TAN dự kiến 27/06 có hàng</t>
  </si>
  <si>
    <t>2000002991 - 373.T04.2025/HPDQ-MISVN(SMC) - 300T - lệnh ok</t>
  </si>
  <si>
    <t>2000003029 - 206A.T10.2024/HPDQ-TNS - Lệnh ok</t>
  </si>
  <si>
    <r>
      <rPr>
        <sz val="14"/>
        <color rgb="FF000000"/>
        <rFont val="Times New Roman"/>
        <family val="1"/>
      </rPr>
      <t xml:space="preserve">2000003034 - 446.T05.2025/HPDQ-TMPHD-KH (TM) 5000TAN HRC đi Long An
</t>
    </r>
    <r>
      <rPr>
        <b/>
        <sz val="14"/>
        <color rgb="FFFF0000"/>
        <rFont val="Times New Roman"/>
        <family val="1"/>
      </rPr>
      <t>DỠ TÂN THUẬN ĐẦU TIÊN, CÒN LẠI HPS TỰ CÂN ĐỐI THEO  HẢI TRÌNH TÀU VÀ TÌNH HÌNH Ở PHÚ MỸ</t>
    </r>
  </si>
  <si>
    <t>25-26.06.2025
Chạy từ nam về</t>
  </si>
  <si>
    <t>26/06 Bến 3</t>
  </si>
  <si>
    <t>2200002036 - 2036.T06.2025/HPDQ-OTHY-NKH đi Hải Phòng 6285TAN HRC2 - CÂN TẢI</t>
  </si>
  <si>
    <t>2000003036 - 394D.T05.2025/HPDQ-TVĐ - 5000T - đã có LC- lệnh Oke</t>
  </si>
  <si>
    <t>coil</t>
  </si>
  <si>
    <t>25-26.06.2025
Dỡ đá -&gt; nhận HRC</t>
  </si>
  <si>
    <t>16h00 25/06 Bến 6</t>
  </si>
  <si>
    <r>
      <rPr>
        <b/>
        <sz val="14"/>
        <color rgb="FF000000"/>
        <rFont val="Times New Roman"/>
        <family val="1"/>
      </rPr>
      <t xml:space="preserve">2000003045 - 412A.T05.2025/HPDQ-MOV(VNO)    </t>
    </r>
    <r>
      <rPr>
        <b/>
        <sz val="14"/>
        <color rgb="FFFF0000"/>
        <rFont val="Times New Roman"/>
        <family val="1"/>
      </rPr>
      <t xml:space="preserve"> lệnh ok
2.87x1310-SS400	- 200T
3.00x1310-SS400 -100T
3.20x1310-SS400 - 300T	
4.30x1318-SS400-250T	
3.00x1345-SS400-350T
3.40x1345-SS400-200T
3.80x1345-SS400-100T
2.40x1555-SS400 -500T 
2.00 x 1215 SPHC-100T</t>
    </r>
  </si>
  <si>
    <t>HRC2 - 2kt hàng hóa sẵn sàng
Còn lại dự kiến 26/6 NK</t>
  </si>
  <si>
    <r>
      <rPr>
        <sz val="14"/>
        <color rgb="FF000000"/>
        <rFont val="Times New Roman"/>
        <family val="1"/>
      </rPr>
      <t xml:space="preserve">2200002034 - 2034.T06.2025/HPDQ-OTBD-NKH đi Long Bình 1169TAN HRC2
</t>
    </r>
    <r>
      <rPr>
        <sz val="14"/>
        <color rgb="FFFF0000"/>
        <rFont val="Times New Roman"/>
        <family val="1"/>
      </rPr>
      <t>XUẤT SIZE 2.00x1214SAE 1006 Loại II - cân tải</t>
    </r>
  </si>
  <si>
    <r>
      <rPr>
        <sz val="14"/>
        <color rgb="FF000000"/>
        <rFont val="Times New Roman"/>
        <family val="1"/>
      </rPr>
      <t xml:space="preserve">2000003054 - 463C.T06.2025/HPDQ-LPGBD - Giao nhịp 3   </t>
    </r>
    <r>
      <rPr>
        <sz val="14"/>
        <color rgb="FFFF0000"/>
        <rFont val="Times New Roman"/>
        <family val="1"/>
      </rPr>
      <t xml:space="preserve">lệnh ok
</t>
    </r>
    <r>
      <rPr>
        <sz val="14"/>
        <color rgb="FF000000"/>
        <rFont val="Times New Roman"/>
        <family val="1"/>
      </rPr>
      <t xml:space="preserve">
</t>
    </r>
    <r>
      <rPr>
        <b/>
        <sz val="14"/>
        <color rgb="FFFF0000"/>
        <rFont val="Times New Roman"/>
        <family val="1"/>
      </rPr>
      <t>KHÔNG YÊU CẦU DỠ CẢNG NÀO TRƯỚC</t>
    </r>
  </si>
  <si>
    <t>27-28.06.2025
Quay đầu từ Quy Nhơn về nhận đi tiếp</t>
  </si>
  <si>
    <t>29/06 Bến tàu lai</t>
  </si>
  <si>
    <r>
      <rPr>
        <b/>
        <sz val="14"/>
        <color rgb="FF000000"/>
        <rFont val="Times New Roman"/>
        <family val="1"/>
      </rPr>
      <t xml:space="preserve">2000003011 - 448A.T06.2025/HPDQ-HSQN - tổng đơn 9200 tấn - lệnh ok
</t>
    </r>
    <r>
      <rPr>
        <b/>
        <sz val="14"/>
        <color rgb="FFFF0000"/>
        <rFont val="Times New Roman"/>
        <family val="1"/>
      </rPr>
      <t>Load đủ dung size các size hàng</t>
    </r>
  </si>
  <si>
    <t>26-27.08.2025</t>
  </si>
  <si>
    <t>28/06 Bến 3</t>
  </si>
  <si>
    <t>2000003013 - 441.T06.2025/HPDQ-MV - 2,000 tấn - lệnh ok</t>
  </si>
  <si>
    <t>2200002040 - 2040.T06.2025/HPDQ-OTHY-NKH đi Hải Phòng 130TAN HRC2</t>
  </si>
  <si>
    <t xml:space="preserve">2200002041 - 2041.T06.2025/HPDQ-THP-NKH đi Hải Phòng 2607TAN HRC1 </t>
  </si>
  <si>
    <t>HRC 1 - Hàng hóa ok
chốt mapping - thiếu 1 cuộn</t>
  </si>
  <si>
    <t>28.06.2025
Từ Quy Nhơn về</t>
  </si>
  <si>
    <t>29/06 Bến 3</t>
  </si>
  <si>
    <t>2200002034 - 2034.T06.2025/HPDQ-OTBD-NKH đi Long Bình 1169TAN HRC2</t>
  </si>
  <si>
    <t>2000003060 - 450A.T06.2025/HPDQ-TDA - lệnh ok</t>
  </si>
  <si>
    <t>HRC2 -  Hàng hóa ok</t>
  </si>
  <si>
    <r>
      <rPr>
        <sz val="14"/>
        <color rgb="FF000000"/>
        <rFont val="Times New Roman"/>
        <family val="1"/>
      </rPr>
      <t xml:space="preserve">2000002995 - 410C.T05.2025/HPDQ-NK lot 2 - 7800T - lệnh ok
</t>
    </r>
    <r>
      <rPr>
        <b/>
        <sz val="14"/>
        <color rgb="FF000000"/>
        <rFont val="Times New Roman"/>
        <family val="1"/>
      </rPr>
      <t xml:space="preserve">mỗi ngày chỉ xuất 1 hóa đơn
</t>
    </r>
    <r>
      <rPr>
        <sz val="14"/>
        <color rgb="FF000000"/>
        <rFont val="Times New Roman"/>
        <family val="1"/>
      </rPr>
      <t xml:space="preserve">
</t>
    </r>
    <r>
      <rPr>
        <b/>
        <sz val="14"/>
        <color rgb="FFFF0000"/>
        <rFont val="Times New Roman"/>
        <family val="1"/>
      </rPr>
      <t>DỠ TÂN THUẬN -&gt; LONG BÌNH</t>
    </r>
  </si>
  <si>
    <t>THÀNH ĐẠT 628</t>
  </si>
  <si>
    <t>28-29.06.2025
Dỡ đá -&gt; nhận HRC</t>
  </si>
  <si>
    <t>29/06 Bến 3/5</t>
  </si>
  <si>
    <t>2200002042 - 2042.T06.2025/HPDQ-OTHY-NKH đi Hải Phòng 3888TAN HRC1</t>
  </si>
  <si>
    <t>HRC 1 - Hàng hóa ok
chốt mapping - 3480t</t>
  </si>
  <si>
    <t>2200002045 - 2045.T06.2025/HPDQ-OTHY-NKH đi Hải Phòng 1539TAN HRC2</t>
  </si>
  <si>
    <t>27-28.06.2025
Từ Quy Nhơn về</t>
  </si>
  <si>
    <t>29-30/06 Bến 5</t>
  </si>
  <si>
    <t>2200002039 - 2039.T06.2025/HPDQ-OTBD-NKH đi Long Bình 75TAN HRC2</t>
  </si>
  <si>
    <t>2200002044 - 2044.T06.2025/HPDQ-OTBD-NKH đi Long Bình 4016TAN HRC2 - CÂN TẢI</t>
  </si>
  <si>
    <t>2200002043 - 2043.T06.2025/HPDQ-SPTLA-NKH đi Cẩm Nguyên 355TAN HRC2</t>
  </si>
  <si>
    <t>29.06.2025
Dỡ đá -&gt; nhận HRC</t>
  </si>
  <si>
    <t>29/06 Bến 2</t>
  </si>
  <si>
    <t>2200002044 - 2044.T06.2025/HPDQ-OTBD-NKH đi Long Bình 4016TAN HRC2</t>
  </si>
  <si>
    <t>TÀU GHÉP THÉP 
THÀNH PHẨM ĐI</t>
  </si>
  <si>
    <t>01-06.06.2025</t>
  </si>
  <si>
    <t xml:space="preserve">2200002000 - 2000.T05.2025/HPDQ-OTĐN-NKH đi Đà Nẵng </t>
  </si>
  <si>
    <t>13-17.06.2025</t>
  </si>
  <si>
    <t xml:space="preserve">2000002974 - 364B.T04.2025/HPDQ-TPH </t>
  </si>
  <si>
    <t>HRC2 - Dự kiến 15/6 NK</t>
  </si>
  <si>
    <t>22-25.06.2025</t>
  </si>
  <si>
    <t>2000002975 - 364C.T04.2025/HPDQ-TPH (giao từ 23/6)</t>
  </si>
  <si>
    <t>2000002984 - 365.T04.2025/HPDQ-CKTC</t>
  </si>
  <si>
    <t>10-11.06.2025</t>
  </si>
  <si>
    <t>2000003009 - 365.T04.2025/HPDQ-CKTC</t>
  </si>
  <si>
    <t>HRC2 - Hàng hóa ok, 261t</t>
  </si>
  <si>
    <t>2200002013 - 2013.T06.2025/HPDQ-OTĐN-KH đi Đà Nẵng 1350TAN HRC2</t>
  </si>
  <si>
    <t>HRC2 - Chưa có thông tin đơn hàng</t>
  </si>
  <si>
    <t>2200002024 - 2024.T06.2025/HPDQ-OTĐN-NKH HRC1 đi Đà Nẵng 4041TAN</t>
  </si>
  <si>
    <t>18-24.06.2025</t>
  </si>
  <si>
    <t>2200002025 - 2025.T06.2025/HPDQ-OTĐN-NKH HRC2 đi Đà Nẵng 3868TAN</t>
  </si>
  <si>
    <t>HRC2 - Đơn spot - Hàng hóa ok</t>
  </si>
  <si>
    <t>18-19.06.2025</t>
  </si>
  <si>
    <t>2000003020 - 405A.T05.2025/HPDQ-CKTC đi Chu Lai</t>
  </si>
  <si>
    <t>24-25.06.2025</t>
  </si>
  <si>
    <t>2000003021 - 405B.T05.2025/HPDQ-CKTC đi Chu Lai</t>
  </si>
  <si>
    <t>25-28.06.2025</t>
  </si>
  <si>
    <t>2200002030 - 2030.T06.2025/HPDQ-OTĐN-NKH đi Đà Nẵng 3068TAN HRC1</t>
  </si>
  <si>
    <t>26-30.06.2025</t>
  </si>
  <si>
    <t>2200002032 - 2032.T06.2025/HPDQ-OTĐN-NKH đi Đà Nẵng 3653TAN HRC2</t>
  </si>
  <si>
    <t>28-29.06.2025</t>
  </si>
  <si>
    <t>2200002038 - 2038.T06.2025/HPDQ-OTĐN-NKH đi Đà Nẵng 50TAN HRC2</t>
  </si>
  <si>
    <t>KẾ HOẠCH XUẤT HRC THÁNG 4/2025</t>
  </si>
  <si>
    <t>YÊU CẦU LÀM HÀNG</t>
  </si>
  <si>
    <t>KHỐI LƯỢNG HÀNG XUẤT LÊN TÀU</t>
  </si>
  <si>
    <r>
      <t xml:space="preserve">SẢN XUẤT 
</t>
    </r>
    <r>
      <rPr>
        <sz val="13"/>
        <color rgb="FFFF0000"/>
        <rFont val="Times New Roman"/>
        <family val="1"/>
      </rPr>
      <t>(HRC 1/2-TÌNH TRẠNG)</t>
    </r>
  </si>
  <si>
    <t>31.03.2025
NEO</t>
  </si>
  <si>
    <t>Cho vào làm luôn được</t>
  </si>
  <si>
    <r>
      <rPr>
        <b/>
        <sz val="14"/>
        <color rgb="FF000000"/>
        <rFont val="Times New Roman"/>
        <family val="1"/>
      </rPr>
      <t xml:space="preserve">2000002768 - 335.T03.2025/HPDQ-TN - Thiên Lộc Thành  - 6.000T (giao nhịp 1)  (lệnh ok)
</t>
    </r>
    <r>
      <rPr>
        <b/>
        <sz val="14"/>
        <color rgb="FFFF0000"/>
        <rFont val="Times New Roman"/>
        <family val="1"/>
      </rPr>
      <t>GIAO THẲNG</t>
    </r>
  </si>
  <si>
    <t>Đã map 6099</t>
  </si>
  <si>
    <t>XE ĐƯỜNG BỘ</t>
  </si>
  <si>
    <t>Xuất đường bộ từ 03-05.04.2025</t>
  </si>
  <si>
    <t>2200001922 - 1922.T03.2025/HPDQ-OTĐN đường bộ Đà Nẵng 1536TAN HRC1</t>
  </si>
  <si>
    <t>02-03.04.2025
NEO</t>
  </si>
  <si>
    <t>6h00 03/04 Bến 5</t>
  </si>
  <si>
    <t>TÀU NÀY CẦN ƯU TIÊN, RẤT GẤP</t>
  </si>
  <si>
    <t>2200001921 - 1921.T03.2025/HPDQ-THP đi Hải Phòng 2614TAN HRC1</t>
  </si>
  <si>
    <r>
      <rPr>
        <sz val="14"/>
        <color rgb="FF000000"/>
        <rFont val="Times New Roman"/>
        <family val="1"/>
      </rPr>
      <t xml:space="preserve">2200001905 - 1905.T03.2025/HPDQ-THP-KH 2000TAN HRC1 đi Hải Phòng
</t>
    </r>
    <r>
      <rPr>
        <sz val="14"/>
        <color rgb="FFFF0000"/>
        <rFont val="Times New Roman"/>
        <family val="1"/>
      </rPr>
      <t xml:space="preserve">GIAO THẲNG - </t>
    </r>
    <r>
      <rPr>
        <b/>
        <sz val="16"/>
        <color rgb="FFFF0000"/>
        <rFont val="Times New Roman"/>
        <family val="1"/>
      </rPr>
      <t>LOAD CUỐI CÙNG ĐỂ DỠ HÀNG TRƯỚC</t>
    </r>
  </si>
  <si>
    <t>2200001924 - 1924.T03.2025/HPDQ-OTHY đi Hải Phòng 1712TAN HRC1</t>
  </si>
  <si>
    <t>1686/1712 hụt 1 cuộn chốt mapping</t>
  </si>
  <si>
    <t>XK</t>
  </si>
  <si>
    <t>01.04.2025
NEO</t>
  </si>
  <si>
    <t>03/04 Bến 5</t>
  </si>
  <si>
    <t>03/04 có lệnh thì cho vào làm</t>
  </si>
  <si>
    <r>
      <rPr>
        <b/>
        <sz val="14"/>
        <color rgb="FF000000"/>
        <rFont val="Times New Roman"/>
        <family val="1"/>
      </rPr>
      <t xml:space="preserve">2000002795 - 336E.T03 VNO - (Giao nhịp 1) </t>
    </r>
    <r>
      <rPr>
        <b/>
        <sz val="14"/>
        <color rgb="FFFF0000"/>
        <rFont val="Times New Roman"/>
        <family val="1"/>
      </rPr>
      <t xml:space="preserve">lệnh ok 
GIAO THẲNG </t>
    </r>
  </si>
  <si>
    <t>Đã map 1422</t>
  </si>
  <si>
    <r>
      <rPr>
        <sz val="14"/>
        <color rgb="FF000000"/>
        <rFont val="Times New Roman"/>
        <family val="1"/>
      </rPr>
      <t xml:space="preserve">2000002750 - 336D.T03 HWA (VNO) (lệnh ok) (Giao nhịp 1) - xuất hết mapping
</t>
    </r>
    <r>
      <rPr>
        <sz val="14"/>
        <color rgb="FFFF0000"/>
        <rFont val="Times New Roman"/>
        <family val="1"/>
      </rPr>
      <t>GIAO THẲNG</t>
    </r>
  </si>
  <si>
    <t>Còn lại 1197</t>
  </si>
  <si>
    <t>2000002762 - 336F.T11 HWA(VNO) (lệnh ok) -(Giao nhịp 1) - xuất hết mapping
GIAO THẲNG</t>
  </si>
  <si>
    <t>Đã map 1526</t>
  </si>
  <si>
    <r>
      <rPr>
        <sz val="14"/>
        <color rgb="FF000000"/>
        <rFont val="Times New Roman"/>
        <family val="1"/>
      </rPr>
      <t xml:space="preserve">2200001916 - 1916.T03.2025/HPDQ-SPTLA-Cẩm Nguyên 165TAN HRC2 - xuất hết mapping
</t>
    </r>
    <r>
      <rPr>
        <sz val="14"/>
        <color rgb="FFFF0000"/>
        <rFont val="Times New Roman"/>
        <family val="1"/>
      </rPr>
      <t>GIAO THẲNG</t>
    </r>
  </si>
  <si>
    <t>HRC2 - Hàng spot: Đã map 142t, hết tồn kho</t>
  </si>
  <si>
    <t>31.03.2025</t>
  </si>
  <si>
    <t>17h00 02/04 Bến 3</t>
  </si>
  <si>
    <t>2/4 có lệnh thì cho vào làm</t>
  </si>
  <si>
    <r>
      <rPr>
        <b/>
        <sz val="14"/>
        <color rgb="FF000000"/>
        <rFont val="Times New Roman"/>
        <family val="1"/>
      </rPr>
      <t xml:space="preserve">2200001917 - 1917.T03.2025/HPDQ-OTHY đi Hải Phòng 665TAN HRC2
</t>
    </r>
    <r>
      <rPr>
        <b/>
        <sz val="14"/>
        <color rgb="FFFF0000"/>
        <rFont val="Times New Roman"/>
        <family val="1"/>
      </rPr>
      <t>GIAO THẲNG</t>
    </r>
  </si>
  <si>
    <t>HRC2 - Hàng spot: Đã map 622t, chốt SO</t>
  </si>
  <si>
    <r>
      <rPr>
        <sz val="14"/>
        <color rgb="FF000000"/>
        <rFont val="Times New Roman"/>
        <family val="1"/>
      </rPr>
      <t xml:space="preserve">2200001902 - 1902.T03.2025/HPDQ-OTHY 194TAN HRC2 đi Hải Phòng  
Hàng spot
</t>
    </r>
    <r>
      <rPr>
        <sz val="14"/>
        <color rgb="FFFF0000"/>
        <rFont val="Times New Roman"/>
        <family val="1"/>
      </rPr>
      <t>GIAO THẲNG</t>
    </r>
  </si>
  <si>
    <r>
      <rPr>
        <sz val="14"/>
        <color rgb="FF000000"/>
        <rFont val="Times New Roman"/>
        <family val="1"/>
      </rPr>
      <t xml:space="preserve">2200001906 - 1906.T03.2025/HPDQ-OTHY đi Hải Phòng 3708TAN HRC1
</t>
    </r>
    <r>
      <rPr>
        <sz val="14"/>
        <color rgb="FFFF0000"/>
        <rFont val="Times New Roman"/>
        <family val="1"/>
      </rPr>
      <t>GIAO THẲNG - CÂN TẢI</t>
    </r>
  </si>
  <si>
    <t>Còn lại 1217</t>
  </si>
  <si>
    <r>
      <rPr>
        <sz val="14"/>
        <color rgb="FF000000"/>
        <rFont val="Times New Roman"/>
        <family val="1"/>
      </rPr>
      <t xml:space="preserve">2200001921 - 1921.T03.2025/HPDQ-THP đi Hải Phòng 2614TAN HRC1
</t>
    </r>
    <r>
      <rPr>
        <sz val="14"/>
        <color rgb="FFFF0000"/>
        <rFont val="Times New Roman"/>
        <family val="1"/>
      </rPr>
      <t>GIAO THẲNG</t>
    </r>
  </si>
  <si>
    <r>
      <rPr>
        <sz val="14"/>
        <color rgb="FF000000"/>
        <rFont val="Times New Roman"/>
        <family val="1"/>
      </rPr>
      <t xml:space="preserve">2200001920 - 1920.T03.2025/HPDQ-THP-KH HRC1 đi Hải Phòng 26K TAN
</t>
    </r>
    <r>
      <rPr>
        <sz val="14"/>
        <color rgb="FFFF0000"/>
        <rFont val="Times New Roman"/>
        <family val="1"/>
      </rPr>
      <t>GIAO THẲNG</t>
    </r>
  </si>
  <si>
    <r>
      <rPr>
        <sz val="14"/>
        <color rgb="FF000000"/>
        <rFont val="Times New Roman"/>
        <family val="1"/>
      </rPr>
      <t xml:space="preserve">2000002710 - 325C.T03.2025/HPDQ-TVĐ  </t>
    </r>
    <r>
      <rPr>
        <sz val="14"/>
        <color rgb="FFFF0000"/>
        <rFont val="Times New Roman"/>
        <family val="1"/>
      </rPr>
      <t xml:space="preserve"> (lệnh ok)
GIAO THẲNG - CÁC ANH CHỤP ẢNH LÚC XUẤT HÀNG Ạ</t>
    </r>
  </si>
  <si>
    <r>
      <rPr>
        <sz val="14"/>
        <color rgb="FF000000"/>
        <rFont val="Times New Roman"/>
        <family val="1"/>
      </rPr>
      <t xml:space="preserve">2000002729 - 350.T3.2025/HPDQ-TCĐ 1.000T - 2/4 duyệt lệnh
</t>
    </r>
    <r>
      <rPr>
        <sz val="14"/>
        <color rgb="FFFF0000"/>
        <rFont val="Times New Roman"/>
        <family val="1"/>
      </rPr>
      <t>GIAO THẲNG - Tháng 4 mới giao hàng</t>
    </r>
  </si>
  <si>
    <t>HRC2 -Đã map 937t, xem xét chốt SO</t>
  </si>
  <si>
    <r>
      <rPr>
        <sz val="14"/>
        <color rgb="FF000000"/>
        <rFont val="Times New Roman"/>
        <family val="1"/>
      </rPr>
      <t xml:space="preserve">2000002816 - 332.T03.2025/HPDQ-NSTV - 300 tấn  </t>
    </r>
    <r>
      <rPr>
        <sz val="14"/>
        <color rgb="FFFF0000"/>
        <rFont val="Times New Roman"/>
        <family val="1"/>
      </rPr>
      <t>(2/4 có lệnh)
GIAO THẲNG</t>
    </r>
  </si>
  <si>
    <t>HRC2 - Hàng hóa ok, 296t</t>
  </si>
  <si>
    <t>03.04.2025</t>
  </si>
  <si>
    <t>03-04/04 Bến Tàu lai</t>
  </si>
  <si>
    <t>2000002794 - 336E.T03 VNO - (Giao nhịp 1) (lệnh ok)
GIAO THẲNG</t>
  </si>
  <si>
    <t>Đã map 3827</t>
  </si>
  <si>
    <t>2000002795 - 336E.T03 VNO - (Giao nhịp 1) (lệnh ok) 
GIAO THẲNG</t>
  </si>
  <si>
    <t>04/04 Bến 5</t>
  </si>
  <si>
    <t>4/4 có lệnh thì cho vào làm</t>
  </si>
  <si>
    <r>
      <rPr>
        <b/>
        <sz val="14"/>
        <color rgb="FF000000"/>
        <rFont val="Times New Roman"/>
        <family val="1"/>
      </rPr>
      <t xml:space="preserve">2000002768 - 335.T03.2025/HPDQ-TN - Thiên Lộc Thành - 6.000T (giao nhịp 1)  (lệnh ok)
</t>
    </r>
    <r>
      <rPr>
        <b/>
        <sz val="14"/>
        <color rgb="FFFF0000"/>
        <rFont val="Times New Roman"/>
        <family val="1"/>
      </rPr>
      <t>GIAO THẲNG</t>
    </r>
  </si>
  <si>
    <t>TÀU GHÉP THÉP THÀNH PHẨM - CÂN TẢI</t>
  </si>
  <si>
    <r>
      <rPr>
        <sz val="14"/>
        <color rgb="FF000000"/>
        <rFont val="Times New Roman"/>
        <family val="1"/>
      </rPr>
      <t xml:space="preserve">2000002763 - 384A.T04.2025/HPDQ-TVN - giao ngay (lệnh ok)
</t>
    </r>
    <r>
      <rPr>
        <sz val="14"/>
        <color rgb="FFFF0000"/>
        <rFont val="Times New Roman"/>
        <family val="1"/>
      </rPr>
      <t>GIAO THẲNG</t>
    </r>
  </si>
  <si>
    <t>04-05.04.2025
Dỡ đá -&gt; nhận HRC</t>
  </si>
  <si>
    <t>06-07/04 Bến 3</t>
  </si>
  <si>
    <t>Theo lịch cầu bến</t>
  </si>
  <si>
    <r>
      <rPr>
        <b/>
        <sz val="14"/>
        <color rgb="FF000000"/>
        <rFont val="Times New Roman"/>
        <family val="1"/>
      </rPr>
      <t xml:space="preserve">2000002760 - 353.T04.2025/HPDQ-NQ - 500T (lệnh ok)
</t>
    </r>
    <r>
      <rPr>
        <b/>
        <sz val="14"/>
        <color rgb="FFFF0000"/>
        <rFont val="Times New Roman"/>
        <family val="1"/>
      </rPr>
      <t>GIAO THẲNG</t>
    </r>
  </si>
  <si>
    <t xml:space="preserve">Chốt mapping  476/500t </t>
  </si>
  <si>
    <r>
      <rPr>
        <sz val="14"/>
        <color rgb="FF000000"/>
        <rFont val="Times New Roman"/>
        <family val="1"/>
      </rPr>
      <t xml:space="preserve">2000002804 - 347A1.T03.2025/HPDQ-MISV (5/4 duyệt lệnh)
</t>
    </r>
    <r>
      <rPr>
        <sz val="14"/>
        <color rgb="FFFF0000"/>
        <rFont val="Times New Roman"/>
        <family val="1"/>
      </rPr>
      <t>HẠ BÃI - xuất hết mapping</t>
    </r>
  </si>
  <si>
    <t>HRC2 - Đã map 2347t, chốt SO</t>
  </si>
  <si>
    <t>xếp hàng theo lot</t>
  </si>
  <si>
    <r>
      <rPr>
        <sz val="14"/>
        <color rgb="FF000000"/>
        <rFont val="Times New Roman"/>
        <family val="1"/>
      </rPr>
      <t xml:space="preserve">2000002805 - 347A2.T03.2025/HPDQ-MISV (5/4 duyệt lệnh)
</t>
    </r>
    <r>
      <rPr>
        <sz val="14"/>
        <color rgb="FFFF0000"/>
        <rFont val="Times New Roman"/>
        <family val="1"/>
      </rPr>
      <t>HẠ BÃI - xuất hết mapping</t>
    </r>
  </si>
  <si>
    <t>HRC2 - Đã map 2409t, chốt SO</t>
  </si>
  <si>
    <t>2200001920 - 1920.T03.2025/HPDQ-THP-KH HRC1 đi Hải Phòng 26K TAN
GIAO THẲNG"</t>
  </si>
  <si>
    <t>xếp hàng theo lot - ĐỔI DO TRÙNG LỆNH - TÀU THIẾU TẢI 500T, PKH XEM CÓ HỐT ĐƯỢC 500T KK Ạ?</t>
  </si>
  <si>
    <t>TRƯỜNG NGUYÊN SKY</t>
  </si>
  <si>
    <t>04-05.04.2025</t>
  </si>
  <si>
    <t>10h00 05/04 Bến 3/5</t>
  </si>
  <si>
    <t>Theo lịch cầu bến + hàng hóa</t>
  </si>
  <si>
    <r>
      <rPr>
        <b/>
        <sz val="14"/>
        <color rgb="FF000000"/>
        <rFont val="Times New Roman"/>
        <family val="1"/>
      </rPr>
      <t xml:space="preserve">2000002807 - 347B1.T03.2025/HPDQ-OTSG  (đky 5/4 duyệt lệnh)
</t>
    </r>
    <r>
      <rPr>
        <b/>
        <sz val="14"/>
        <color rgb="FFFF0000"/>
        <rFont val="Times New Roman"/>
        <family val="1"/>
      </rPr>
      <t>HẠ BÃI</t>
    </r>
  </si>
  <si>
    <t>HRC2 - Đã map 979t, chốt SO</t>
  </si>
  <si>
    <t>Nếu đủ dung sai của OTSG rồi thì thôi. cho đi thiếu tải lượng này - Hằng check lại nhé</t>
  </si>
  <si>
    <r>
      <rPr>
        <sz val="14"/>
        <color rgb="FF000000"/>
        <rFont val="Times New Roman"/>
        <family val="1"/>
      </rPr>
      <t xml:space="preserve">2000002808 - 347B2.T03.2025/HPDQ-MISV (đky 5/4 duyệt lệnh)
</t>
    </r>
    <r>
      <rPr>
        <sz val="14"/>
        <color rgb="FFFF0000"/>
        <rFont val="Times New Roman"/>
        <family val="1"/>
      </rPr>
      <t>HẠ BÃI</t>
    </r>
  </si>
  <si>
    <t>HRC2 - Đã map 2411t, chốt SO</t>
  </si>
  <si>
    <r>
      <rPr>
        <sz val="14"/>
        <color rgb="FF000000"/>
        <rFont val="Times New Roman"/>
        <family val="1"/>
      </rPr>
      <t xml:space="preserve">2000002809 - 347B3.T03.2025/HPDQ-MISV (đky 5/4 duyệt lệnh)
</t>
    </r>
    <r>
      <rPr>
        <sz val="14"/>
        <color rgb="FFFF0000"/>
        <rFont val="Times New Roman"/>
        <family val="1"/>
      </rPr>
      <t>HẠ BÃI</t>
    </r>
  </si>
  <si>
    <t>HRC2 - Đã map 1923t, chốt SO</t>
  </si>
  <si>
    <r>
      <rPr>
        <sz val="14"/>
        <color rgb="FF000000"/>
        <rFont val="Times New Roman"/>
        <family val="1"/>
      </rPr>
      <t xml:space="preserve">2000002810 - 347B4.T03.2025/HPDQ-MISV (đky 5/4 duyệt lệnh)
</t>
    </r>
    <r>
      <rPr>
        <sz val="14"/>
        <color rgb="FFFF0000"/>
        <rFont val="Times New Roman"/>
        <family val="1"/>
      </rPr>
      <t>HẠ BÃI</t>
    </r>
  </si>
  <si>
    <t>HRC2 - Đã map 1999t, chốt SO</t>
  </si>
  <si>
    <r>
      <rPr>
        <sz val="14"/>
        <color rgb="FF000000"/>
        <rFont val="Times New Roman"/>
        <family val="1"/>
      </rPr>
      <t xml:space="preserve">2000002799 - 369.T04.2025/HPDQ-JFE - 5/4 duyệt lệnh
</t>
    </r>
    <r>
      <rPr>
        <sz val="14"/>
        <color rgb="FFFF0000"/>
        <rFont val="Times New Roman"/>
        <family val="1"/>
      </rPr>
      <t>GIAO THẲNG</t>
    </r>
  </si>
  <si>
    <r>
      <rPr>
        <sz val="14"/>
        <color rgb="FF000000"/>
        <rFont val="Times New Roman"/>
        <family val="1"/>
      </rPr>
      <t xml:space="preserve">2000002740 - 345A.T03.2025/HPDQ-TPK - 2.000T - 3/4 duyệt lệnh
</t>
    </r>
    <r>
      <rPr>
        <sz val="14"/>
        <color rgb="FFFF0000"/>
        <rFont val="Times New Roman"/>
        <family val="1"/>
      </rPr>
      <t>HẠ BÃI</t>
    </r>
  </si>
  <si>
    <r>
      <rPr>
        <sz val="14"/>
        <color rgb="FF000000"/>
        <rFont val="Times New Roman"/>
        <family val="1"/>
      </rPr>
      <t xml:space="preserve">2000002797 - 345B.T03.2025/HPDQ-TPK - 2.000T - 3/4 duyệt lệnh
</t>
    </r>
    <r>
      <rPr>
        <sz val="14"/>
        <color rgb="FFFF0000"/>
        <rFont val="Times New Roman"/>
        <family val="1"/>
      </rPr>
      <t>HẠ BÃI</t>
    </r>
  </si>
  <si>
    <r>
      <rPr>
        <sz val="14"/>
        <color rgb="FF000000"/>
        <rFont val="Times New Roman"/>
        <family val="1"/>
      </rPr>
      <t xml:space="preserve">2000002764 - 384A.T04.2025/HPDQ-TVN  SAE1006 - 1000t - lệnh ok
</t>
    </r>
    <r>
      <rPr>
        <sz val="14"/>
        <color rgb="FFFF0000"/>
        <rFont val="Times New Roman"/>
        <family val="1"/>
      </rPr>
      <t>GIAO THẲNG - chốt mapping 2/4 không map thêm</t>
    </r>
  </si>
  <si>
    <t>Giao nhịp 1 tháng 4, đầu tháng 4 có LC duyệt lệnh</t>
  </si>
  <si>
    <r>
      <rPr>
        <sz val="14"/>
        <color rgb="FF000000"/>
        <rFont val="Times New Roman"/>
        <family val="1"/>
      </rPr>
      <t xml:space="preserve">2000002765 - 384A.T04.2025/HPDQ-TVN - SPHC - 300T - lệnh ok
</t>
    </r>
    <r>
      <rPr>
        <sz val="14"/>
        <color rgb="FFFF0000"/>
        <rFont val="Times New Roman"/>
        <family val="1"/>
      </rPr>
      <t>GIAO THẲNG</t>
    </r>
  </si>
  <si>
    <t>2200001925 - 395.T04.2025/HPDQ-HPC đi Bà Rịa - Vũng Tàu 570TAN HRC 1
GIAO THẲNG</t>
  </si>
  <si>
    <t>HRC2 - chốt đi 570T</t>
  </si>
  <si>
    <r>
      <rPr>
        <sz val="14"/>
        <color rgb="FF000000"/>
        <rFont val="Times New Roman"/>
        <family val="1"/>
      </rPr>
      <t xml:space="preserve">2000002784 - 355A.T04.2025/HPDQ-CTC(TT) -lệnh ok
</t>
    </r>
    <r>
      <rPr>
        <sz val="14"/>
        <color rgb="FFFF0000"/>
        <rFont val="Times New Roman"/>
        <family val="1"/>
      </rPr>
      <t>GIAO THẲNG</t>
    </r>
  </si>
  <si>
    <t>Dự kiến 4/4 có LC
chốt mapping 666/700</t>
  </si>
  <si>
    <r>
      <rPr>
        <sz val="14"/>
        <color rgb="FF000000"/>
        <rFont val="Times New Roman"/>
        <family val="1"/>
      </rPr>
      <t xml:space="preserve">2000002761 - 375.T04.2025/HPDQ-KĐ - lệnh ok
</t>
    </r>
    <r>
      <rPr>
        <sz val="14"/>
        <color rgb="FFFF0000"/>
        <rFont val="Times New Roman"/>
        <family val="1"/>
      </rPr>
      <t>GIAO THẲNG</t>
    </r>
  </si>
  <si>
    <r>
      <rPr>
        <sz val="14"/>
        <color rgb="FF000000"/>
        <rFont val="Times New Roman"/>
        <family val="1"/>
      </rPr>
      <t xml:space="preserve">2000002785 - 360A.T04.2025/HPDQ-VINAS(TT) -lệnh ok
</t>
    </r>
    <r>
      <rPr>
        <sz val="14"/>
        <color rgb="FFFF0000"/>
        <rFont val="Times New Roman"/>
        <family val="1"/>
      </rPr>
      <t xml:space="preserve">HẠ BÃI </t>
    </r>
  </si>
  <si>
    <t>4053/4080</t>
  </si>
  <si>
    <t>02.04.2025
NEO</t>
  </si>
  <si>
    <t>5h00 05/04 Bến 1</t>
  </si>
  <si>
    <t>5/4 có lệnh thì cho vào làm</t>
  </si>
  <si>
    <r>
      <rPr>
        <b/>
        <sz val="14"/>
        <color rgb="FF000000"/>
        <rFont val="Times New Roman"/>
        <family val="1"/>
      </rPr>
      <t xml:space="preserve">2200001923 - 1923.T03.2025/HPDQ-OTHY đi Hải Phòng 305TAN HRC1
</t>
    </r>
    <r>
      <rPr>
        <b/>
        <sz val="14"/>
        <color rgb="FFFF0000"/>
        <rFont val="Times New Roman"/>
        <family val="1"/>
      </rPr>
      <t>GIAO THẲNG</t>
    </r>
  </si>
  <si>
    <t>262/305 hụt 2 cuộn chốt mapping</t>
  </si>
  <si>
    <r>
      <rPr>
        <sz val="14"/>
        <color rgb="FF000000"/>
        <rFont val="Times New Roman"/>
        <family val="1"/>
      </rPr>
      <t xml:space="preserve">2000002806 - 347A3.T03.2025/HPDQ-MISV - 2.500T (5/4 duyệt lệnh)
</t>
    </r>
    <r>
      <rPr>
        <sz val="14"/>
        <color rgb="FFFF0000"/>
        <rFont val="Times New Roman"/>
        <family val="1"/>
      </rPr>
      <t>HẠ BÃI - xuất nốt mapping</t>
    </r>
  </si>
  <si>
    <r>
      <rPr>
        <sz val="14"/>
        <color rgb="FF000000"/>
        <rFont val="Times New Roman"/>
        <family val="1"/>
      </rPr>
      <t xml:space="preserve">2000002783 - 355B.T04.2025/HPDQ-CTC(HP) - lệnh ok
</t>
    </r>
    <r>
      <rPr>
        <sz val="14"/>
        <color rgb="FFFF0000"/>
        <rFont val="Times New Roman"/>
        <family val="1"/>
      </rPr>
      <t>GIAO THẲNG</t>
    </r>
  </si>
  <si>
    <t>07.04.2025</t>
  </si>
  <si>
    <t>07/04 Bến 2</t>
  </si>
  <si>
    <t>Muộn nhất 10.04 phải xong hàng</t>
  </si>
  <si>
    <t>Maptaphut</t>
  </si>
  <si>
    <t>2400001092 - 41.T04-25/HPDQ-SST</t>
  </si>
  <si>
    <t>Đã map + SO 3134 tấn
PHẢI LOAD &gt; 3000mt</t>
  </si>
  <si>
    <t>SSI DILIGENT</t>
  </si>
  <si>
    <t>06.04.2025</t>
  </si>
  <si>
    <t>06/04 Bến 6</t>
  </si>
  <si>
    <t>Durban, South Africa</t>
  </si>
  <si>
    <r>
      <rPr>
        <b/>
        <sz val="14"/>
        <color rgb="FF000000"/>
        <rFont val="Times New Roman"/>
        <family val="1"/>
      </rPr>
      <t xml:space="preserve">2400001108 -  46.T04-25/HPDQ-MI -  S355JR - LINH </t>
    </r>
    <r>
      <rPr>
        <b/>
        <sz val="14"/>
        <color rgb="FFFF0000"/>
        <rFont val="Times New Roman"/>
        <family val="1"/>
      </rPr>
      <t>(muộn nhất 03/04 phải đủ hàng để 04/04 giám định hàng hóa)</t>
    </r>
  </si>
  <si>
    <t>HRC2 - Đã map 2571t, chốt SO</t>
  </si>
  <si>
    <t xml:space="preserve">SSI DILIGENT </t>
  </si>
  <si>
    <r>
      <rPr>
        <sz val="14"/>
        <color rgb="FF000000"/>
        <rFont val="Times New Roman"/>
        <family val="1"/>
      </rPr>
      <t xml:space="preserve">2400001110 -  46.T04-25/HPDQ-MI -  SPHT1 - LINH </t>
    </r>
    <r>
      <rPr>
        <b/>
        <sz val="14"/>
        <color rgb="FFFF0000"/>
        <rFont val="Times New Roman"/>
        <family val="1"/>
      </rPr>
      <t>(muộn nhất 03/04 phải đủ hàng để 04/04 giám định hàng hóa)</t>
    </r>
  </si>
  <si>
    <t>HRC2 - Đã map 5700t, lượng còn lại skin đang bị loại 2 thiếu hàng. Trao đổi với NM và Minh PKD tìm phương án xử lý</t>
  </si>
  <si>
    <r>
      <rPr>
        <sz val="14"/>
        <color rgb="FF000000"/>
        <rFont val="Times New Roman"/>
        <family val="1"/>
      </rPr>
      <t xml:space="preserve">2400001121-  46.T04-25/HPDQ-MI -  SPHT1 - LINH </t>
    </r>
    <r>
      <rPr>
        <b/>
        <sz val="14"/>
        <color rgb="FFFF0000"/>
        <rFont val="Times New Roman"/>
        <family val="1"/>
      </rPr>
      <t>(muộn nhất 03/04 phải đủ hàng để 04/04 giám định hàng hóa)</t>
    </r>
  </si>
  <si>
    <t>SPAR MAIA</t>
  </si>
  <si>
    <t>05.04.2025</t>
  </si>
  <si>
    <t>16h00 05/04 Bến 6/11</t>
  </si>
  <si>
    <t>UK Main Port</t>
  </si>
  <si>
    <r>
      <rPr>
        <b/>
        <sz val="14"/>
        <color rgb="FF000000"/>
        <rFont val="Times New Roman"/>
        <family val="1"/>
      </rPr>
      <t>2400001104 - 47.T04-25/HPDQ-TSI (LOT 1)</t>
    </r>
    <r>
      <rPr>
        <b/>
        <sz val="14"/>
        <color rgb="FFFF0000"/>
        <rFont val="Times New Roman"/>
        <family val="1"/>
      </rPr>
      <t>- LINH</t>
    </r>
  </si>
  <si>
    <r>
      <rPr>
        <sz val="14"/>
        <color rgb="FF000000"/>
        <rFont val="Times New Roman"/>
        <family val="1"/>
      </rPr>
      <t>2400001105 - 47.T04-25/HPDQ-TSI (LOT 2)</t>
    </r>
    <r>
      <rPr>
        <b/>
        <sz val="14"/>
        <color rgb="FFFF0000"/>
        <rFont val="Times New Roman"/>
        <family val="1"/>
      </rPr>
      <t>- LINH</t>
    </r>
  </si>
  <si>
    <t xml:space="preserve">2400001101 - 48.T04-25/HPDQ-B&amp;K -HẰNG </t>
  </si>
  <si>
    <t>HRC2 - Đã map 46t</t>
  </si>
  <si>
    <t>2400001102 - 48.T04-25/HPDQ-B&amp;K -HẰNG</t>
  </si>
  <si>
    <t>2400001103 - 48.T04-25/HPDQ-B&amp;K-HẰNG</t>
  </si>
  <si>
    <t>2400001106 - 61.T04-25/HPDQ-HPI (XK)- 750T - HƯƠNG</t>
  </si>
  <si>
    <t>HRC 1 Háng hòa ok</t>
  </si>
  <si>
    <t>2400001107 - 61.T04-25/HPDQ-HPI (XK)</t>
  </si>
  <si>
    <t>Chốt mapping</t>
  </si>
  <si>
    <t>08.04.2025
NEO</t>
  </si>
  <si>
    <t>17h00 09/04 Bến 1</t>
  </si>
  <si>
    <t>Tàu dỡ đá xong chờ nhận HRC</t>
  </si>
  <si>
    <r>
      <rPr>
        <b/>
        <sz val="14"/>
        <color rgb="FF000000"/>
        <rFont val="Times New Roman"/>
        <family val="1"/>
      </rPr>
      <t xml:space="preserve">2000002787 - 366A - HSNS - 5.930T -lệnh ok
</t>
    </r>
    <r>
      <rPr>
        <b/>
        <sz val="14"/>
        <color rgb="FFFF0000"/>
        <rFont val="Times New Roman"/>
        <family val="1"/>
      </rPr>
      <t>Cho xuất 3.500T ưu tiên trước 15/4 (size  2.0x1260, 2.3x1260, 3.5x1260) lên tàu này</t>
    </r>
  </si>
  <si>
    <t>5-7/4 mở LC
đã map 5232/5930</t>
  </si>
  <si>
    <t>3h00 09/04 Bến Tàu lai</t>
  </si>
  <si>
    <t>2000002791 - 368A - HSPM - 5.580T - lệnh ok
Xuất size 126X - 3k3 đã có hàng, giao trước 15/4</t>
  </si>
  <si>
    <t>5-7/4 mở LC
đã map 3249/5580</t>
  </si>
  <si>
    <t>2000002792 - 368B - HSPM - 8.990T - lệnh ok
Xuất size 123X - 1kt có trước</t>
  </si>
  <si>
    <t>HRC 1 Hàng hóa ok</t>
  </si>
  <si>
    <t>đã map 975/8990</t>
  </si>
  <si>
    <t>a</t>
  </si>
  <si>
    <t>PACIFIC ESPERANZA</t>
  </si>
  <si>
    <t>08.04.2025
Laycan 10-15.04</t>
  </si>
  <si>
    <t>22H30 08/04 C.TH</t>
  </si>
  <si>
    <t>Muộn nhất 20.04 phải xong hàng</t>
  </si>
  <si>
    <t>2400001113 - 54.T04-25/HPDQ-GS - Hương</t>
  </si>
  <si>
    <t>HRC2 - Đã map 204t chốt SO</t>
  </si>
  <si>
    <t>2400001114  - 54.T04-25/HPDQ-GS - Hương</t>
  </si>
  <si>
    <t>HRC2 - Đã map 231t, chốt SO</t>
  </si>
  <si>
    <t>2400001115  - 54.T04-25/HPDQ-GS - Hương</t>
  </si>
  <si>
    <t>HRC2 - Đã map 207t, chốt SO</t>
  </si>
  <si>
    <t>2400001118 - 54.T04-25/HPDQ-GS - Hương</t>
  </si>
  <si>
    <t>2400001119 - 54.T04-25/HPDQ-GS - Hương</t>
  </si>
  <si>
    <t>2400001120 - 54.T04-25/HPDQ-GS - Hương</t>
  </si>
  <si>
    <t>2400001111 - 58.T04-25/HPDQ-GS - Hương</t>
  </si>
  <si>
    <t>HRC2 - KHSX ở HRC2 257t, đã map 230t hết hàng, chốt SO</t>
  </si>
  <si>
    <t>2400001149 - 58.T04-25/HPDQ-GS - Hương</t>
  </si>
  <si>
    <t>2400001122 - 55.T04-25/HPDQ-GS - HẰNG - SKIN</t>
  </si>
  <si>
    <t>HRC2 - Đã map 421t, chốt SO</t>
  </si>
  <si>
    <t>2400001123 - 55.T04-25/HPDQ-GS - HẰNG - NON SKIN</t>
  </si>
  <si>
    <t>HRC2 - Đã map 462t, chốt SO</t>
  </si>
  <si>
    <t>2400001124 - 55.T04-25/HPDQ-GS - HẰNG - SKIN</t>
  </si>
  <si>
    <t>2400001125 - 55.T04-25/HPDQ-GS - HẰNG - NON SKIN</t>
  </si>
  <si>
    <t>2400001129 - 56.T04-25/HPDQ-GS (NON-SKIN) - LINH</t>
  </si>
  <si>
    <t>2400001130 - 56.T04-25/HPDQ-GS (SKIN) - LINH</t>
  </si>
  <si>
    <t>2400001128 - 56.T04-25/HPDQ-GS (SKIN) - LINH</t>
  </si>
  <si>
    <t>2400001133 - 56.T04-25/HPDQ-GS (NON-SKIN) - LINH</t>
  </si>
  <si>
    <t>2400001131 - 57.T04-25/HPDQ-GS (SPHC - SKIN) - GIANG</t>
  </si>
  <si>
    <t>2400001132 - 57.T04-25/HPDQ-GS (S275JR - SKIN)- GIANG</t>
  </si>
  <si>
    <t>2400001134 - 57.T04-25/HPDQ-GS (S275JR - NON SKIN)- GIANG</t>
  </si>
  <si>
    <t>2400001135 - 57.T04-25/HPDQ-GS (SPHC - SKIN) - GIANG</t>
  </si>
  <si>
    <t xml:space="preserve">HRC2 - Hàng hóa ok. </t>
  </si>
  <si>
    <t>2400001136 - 57.T04-25/HPDQ-GS (S275JR - SKIN) - GIANG</t>
  </si>
  <si>
    <t>2400001137 - 57.T04-25/HPDQ-GS (S275JR - NON SKIN) - GIANG</t>
  </si>
  <si>
    <t>2400001126 - 59.T04-25/HPDQ-GS - HẰNG - SKIN</t>
  </si>
  <si>
    <t xml:space="preserve">HRC2 - Đã map 140t, chốt SO. </t>
  </si>
  <si>
    <t>2400001127 - 59.T04-25/HPDQ-GS - HẰNG - NONSKIN</t>
  </si>
  <si>
    <t>HRC2 - Đã map 204t, chốt SO</t>
  </si>
  <si>
    <t>2400001140 60.T04-25/HPDQ-GS - Ngọc</t>
  </si>
  <si>
    <t>HRC2 - Đã map 226t, chốt SO</t>
  </si>
  <si>
    <t>10-14.04.2025</t>
  </si>
  <si>
    <t>2200001928 - 1928.T04.2025/HPDQ-OTĐN đường bộ Đà Nẵng 1860TAN HRC2</t>
  </si>
  <si>
    <t>HRC2 - Hàng hóa đã có 1665t</t>
  </si>
  <si>
    <t>2200001939 - 1928.T04.2025/HPDQ-OTĐN đi Đà Nẵng 190TAN HRC2</t>
  </si>
  <si>
    <t>Bổ sung cho lệnh 22*1928 do đổi MVT</t>
  </si>
  <si>
    <t>15-17.04.2025</t>
  </si>
  <si>
    <t>2200001934 - 1934.T04.2025/HPDQ-OTĐN đường bộ Đà Nẵng 2780TAN HRC1</t>
  </si>
  <si>
    <t>18-20.04.2025</t>
  </si>
  <si>
    <t>2000002755 - 309.T02.2025/HPDQ-TPH - 1000T
ĐƯỜNG BỘ</t>
  </si>
  <si>
    <t>22-23.04.2025</t>
  </si>
  <si>
    <t>2000002745 - 361.T3.2025/HPDQ-TMPHD</t>
  </si>
  <si>
    <t>25-26.04.2025</t>
  </si>
  <si>
    <t>2000002770 (1500T) HRC1</t>
  </si>
  <si>
    <t>27-28.04.2025</t>
  </si>
  <si>
    <t>2000002780 (1500T) HRC1</t>
  </si>
  <si>
    <t>24-25.04.2025</t>
  </si>
  <si>
    <t>2200001946 - 1946.T04.2025/HPDQ-OTĐN đường bộ Đà Nẵng 1025TAN HRC2</t>
  </si>
  <si>
    <t>11.04.2025
Từ Nghi Sơn về</t>
  </si>
  <si>
    <t>18H00 11/04 Bến 3</t>
  </si>
  <si>
    <t>Tàu này về cần cho vào làm luôn. 13/4 phải xong, 15/4 tàu phải đến cảng dỡ</t>
  </si>
  <si>
    <r>
      <rPr>
        <b/>
        <sz val="14"/>
        <color rgb="FF000000"/>
        <rFont val="Times New Roman"/>
        <family val="1"/>
      </rPr>
      <t xml:space="preserve">2000002829 - 383.T04.2025/HPDQ-PVN - 6000T (lệnh ok)
</t>
    </r>
    <r>
      <rPr>
        <b/>
        <sz val="14"/>
        <color rgb="FFFF0000"/>
        <rFont val="Times New Roman"/>
        <family val="1"/>
      </rPr>
      <t>GIAO THẲNG</t>
    </r>
  </si>
  <si>
    <t>10.04.2025
NEO</t>
  </si>
  <si>
    <t>10/04 C.TH</t>
  </si>
  <si>
    <r>
      <rPr>
        <b/>
        <sz val="14"/>
        <color rgb="FF000000"/>
        <rFont val="Times New Roman"/>
        <family val="1"/>
      </rPr>
      <t xml:space="preserve">2000002790 - 367B - HSQN - 9.500T - Lệnh ok
Giao càng sớm càng tốt, trước 20/4
</t>
    </r>
    <r>
      <rPr>
        <sz val="14"/>
        <color rgb="FFFF0000"/>
        <rFont val="Times New Roman"/>
        <family val="1"/>
      </rPr>
      <t>700T còn lại ghép cùng đơn 367A đi sau</t>
    </r>
  </si>
  <si>
    <t>5-7/4 mở LC</t>
  </si>
  <si>
    <t>HÀ PHƯƠNG 03</t>
  </si>
  <si>
    <t>11.04.2025
NEO</t>
  </si>
  <si>
    <t>12/04 Bến Tàu lai</t>
  </si>
  <si>
    <t>2200001920 - 1920.T03.2025/HPDQ-THP-KH HRC1  26K</t>
  </si>
  <si>
    <t>LAWIN ARROW</t>
  </si>
  <si>
    <t>10.04.2025</t>
  </si>
  <si>
    <t>12/04 Bến 6</t>
  </si>
  <si>
    <t>2400001142 62A.T04-25/HPDQ-DF - Ngọc</t>
  </si>
  <si>
    <t>2400001145 62A.T04-25/HPDQ-DF - Ngọc</t>
  </si>
  <si>
    <t>2400001148 62B.T04-25/HPDQ-DF - Ngọc</t>
  </si>
  <si>
    <t>2400001147 62B.T04-25/HPDQ-DF - Ngọc</t>
  </si>
  <si>
    <t>2400001150 - 45.T04-25/HPDQ-SST - LINH</t>
  </si>
  <si>
    <t>2400001139- - 45.T04-25/HPDQ-SST - LINH</t>
  </si>
  <si>
    <t>HRC2 - Đã map 113t, chốt SO</t>
  </si>
  <si>
    <t>10-11.04.2025
Dỡ đá -&gt; nhận HRC  
Tàu đi thiếu tải</t>
  </si>
  <si>
    <t>13/04 C.TH</t>
  </si>
  <si>
    <r>
      <rPr>
        <b/>
        <sz val="14"/>
        <color rgb="FF000000"/>
        <rFont val="Times New Roman"/>
        <family val="1"/>
      </rPr>
      <t xml:space="preserve">2000002757 - 369.T04.2025/HPDQ-JFE - lệnh ok
</t>
    </r>
    <r>
      <rPr>
        <b/>
        <sz val="14"/>
        <color rgb="FFFF0000"/>
        <rFont val="Times New Roman"/>
        <family val="1"/>
      </rPr>
      <t>GIAO THẲNG</t>
    </r>
  </si>
  <si>
    <r>
      <rPr>
        <sz val="14"/>
        <color rgb="FF000000"/>
        <rFont val="Times New Roman"/>
        <family val="1"/>
      </rPr>
      <t xml:space="preserve">2000002758 - 369.T04.2025/HPDQ-JFE - lệnh ok
</t>
    </r>
    <r>
      <rPr>
        <sz val="14"/>
        <color rgb="FFFF0000"/>
        <rFont val="Times New Roman"/>
        <family val="1"/>
      </rPr>
      <t>GIAO THẲNG</t>
    </r>
  </si>
  <si>
    <r>
      <rPr>
        <sz val="14"/>
        <color rgb="FF000000"/>
        <rFont val="Times New Roman"/>
        <family val="1"/>
      </rPr>
      <t xml:space="preserve">2000002667 - 320B.T02.2025/HPDQ-HSPM - lệnh ok
</t>
    </r>
    <r>
      <rPr>
        <sz val="14"/>
        <color rgb="FFFF0000"/>
        <rFont val="Times New Roman"/>
        <family val="1"/>
      </rPr>
      <t>GIAO THẲNG</t>
    </r>
  </si>
  <si>
    <t>HRC2 - Đã map 2554t, chốt SO</t>
  </si>
  <si>
    <r>
      <rPr>
        <sz val="14"/>
        <color rgb="FF000000"/>
        <rFont val="Times New Roman"/>
        <family val="1"/>
      </rPr>
      <t xml:space="preserve">2000002767 - 398.T04.2025/HPDQ-HPL đi Phú Mỹ 650TAN HRC1
</t>
    </r>
    <r>
      <rPr>
        <sz val="14"/>
        <color rgb="FFFF0000"/>
        <rFont val="Times New Roman"/>
        <family val="1"/>
      </rPr>
      <t>GIAO THẲNG
DỠ POSCO -&gt; PHÚ MỸ</t>
    </r>
  </si>
  <si>
    <t>12-13.04.2025
Dỡ đá -&gt; nhận HRC</t>
  </si>
  <si>
    <t>13/04 Bến 3/5</t>
  </si>
  <si>
    <r>
      <rPr>
        <b/>
        <sz val="14"/>
        <color rgb="FF000000"/>
        <rFont val="Times New Roman"/>
        <family val="1"/>
      </rPr>
      <t xml:space="preserve">2000002787 - 366A - HSNS  - 5.930T - lệnh ok
</t>
    </r>
    <r>
      <rPr>
        <b/>
        <sz val="14"/>
        <color rgb="FFFF0000"/>
        <rFont val="Times New Roman"/>
        <family val="1"/>
      </rPr>
      <t>GIAO THẲNG</t>
    </r>
    <r>
      <rPr>
        <b/>
        <sz val="14"/>
        <color rgb="FF000000"/>
        <rFont val="Times New Roman"/>
        <family val="1"/>
      </rPr>
      <t xml:space="preserve"> - Lượng còn lại trước 20/4</t>
    </r>
  </si>
  <si>
    <r>
      <rPr>
        <sz val="14"/>
        <color rgb="FF000000"/>
        <rFont val="Times New Roman"/>
        <family val="1"/>
      </rPr>
      <t xml:space="preserve">2000002788 - 366B - HSNS - 13.500T - </t>
    </r>
    <r>
      <rPr>
        <sz val="14"/>
        <color rgb="FFFF0000"/>
        <rFont val="Times New Roman"/>
        <family val="1"/>
      </rPr>
      <t>XUẤT HẾT MAPPING
GIAO THẲNG</t>
    </r>
    <r>
      <rPr>
        <sz val="14"/>
        <color rgb="FF000000"/>
        <rFont val="Times New Roman"/>
        <family val="1"/>
      </rPr>
      <t xml:space="preserve"> - Giao càng sớm càng tốt, trước 25/4</t>
    </r>
  </si>
  <si>
    <t>10/4 mở LC</t>
  </si>
  <si>
    <r>
      <rPr>
        <sz val="14"/>
        <color rgb="FF000000"/>
        <rFont val="Times New Roman"/>
        <family val="1"/>
      </rPr>
      <t xml:space="preserve">2000002766 - 361.T04.2025/HPDQ-PVX (lệnh ok) - nhưng khách không có kho nhận luôn nếu giao trước 15, sau 15 thì có thể giao ngay
</t>
    </r>
    <r>
      <rPr>
        <sz val="14"/>
        <color rgb="FFFF0000"/>
        <rFont val="Times New Roman"/>
        <family val="1"/>
      </rPr>
      <t>GIAO THẲNG</t>
    </r>
  </si>
  <si>
    <r>
      <rPr>
        <sz val="14"/>
        <color rgb="FF000000"/>
        <rFont val="Times New Roman"/>
        <family val="1"/>
      </rPr>
      <t xml:space="preserve">2000002803 - 352.T04.2025/HPDQ-MV - 2.000T - lệnh ok
</t>
    </r>
    <r>
      <rPr>
        <sz val="14"/>
        <color rgb="FFFF0000"/>
        <rFont val="Times New Roman"/>
        <family val="1"/>
      </rPr>
      <t xml:space="preserve">GIAO THẲNG </t>
    </r>
  </si>
  <si>
    <t>PKD đã điền lệnh mới
Chốt mapping</t>
  </si>
  <si>
    <r>
      <rPr>
        <sz val="14"/>
        <color rgb="FF000000"/>
        <rFont val="Times New Roman"/>
        <family val="1"/>
      </rPr>
      <t xml:space="preserve">2200001926 - 1926.T04.2025/HPDQ-THP 1350TAN đi Hải Phòng HRC2
</t>
    </r>
    <r>
      <rPr>
        <sz val="14"/>
        <color rgb="FFFF0000"/>
        <rFont val="Times New Roman"/>
        <family val="1"/>
      </rPr>
      <t>GIAO THẲNG</t>
    </r>
  </si>
  <si>
    <t>12-13.04.2025</t>
  </si>
  <si>
    <t>18H00 14/04 Bến 3</t>
  </si>
  <si>
    <t>2000002791 - 368A - HSPM - 5.580T - lệnh ok
Còn lại giao trước 20/4</t>
  </si>
  <si>
    <t>Tàu đi thiếu tải, không ghép thép thành phẩm nữa</t>
  </si>
  <si>
    <t>QT Long An</t>
  </si>
  <si>
    <r>
      <rPr>
        <sz val="14"/>
        <color rgb="FF000000"/>
        <rFont val="Times New Roman"/>
        <family val="1"/>
      </rPr>
      <t xml:space="preserve">2000002744 - 360.T3.2025/HPDQ-TMPHD
</t>
    </r>
    <r>
      <rPr>
        <sz val="14"/>
        <color rgb="FFFF0000"/>
        <rFont val="Times New Roman"/>
        <family val="1"/>
      </rPr>
      <t>KHÁCH TỰ HẠ BÃI</t>
    </r>
  </si>
  <si>
    <t>HRC 1 - Hàng hóa ok
Lượng còn lại chưa xuất ở tháng 3 - 467 tấn</t>
  </si>
  <si>
    <r>
      <rPr>
        <sz val="14"/>
        <color rgb="FF000000"/>
        <rFont val="Times New Roman"/>
        <family val="1"/>
      </rPr>
      <t xml:space="preserve">2000002708 - 335.T02.2025/HPDQ-TMPHD
</t>
    </r>
    <r>
      <rPr>
        <sz val="14"/>
        <color rgb="FFFF0000"/>
        <rFont val="Times New Roman"/>
        <family val="1"/>
      </rPr>
      <t>KHÁCH TỰ HẠ BÃI</t>
    </r>
  </si>
  <si>
    <t>HRC 1 - Hàng hóa ok
Lượng còn lại chưa xuất ở tháng 3 - 564 tấn</t>
  </si>
  <si>
    <t>11-12.03.2025</t>
  </si>
  <si>
    <t>14/04 Bến 1</t>
  </si>
  <si>
    <r>
      <rPr>
        <b/>
        <sz val="14"/>
        <color rgb="FF000000"/>
        <rFont val="Times New Roman"/>
        <family val="1"/>
      </rPr>
      <t xml:space="preserve">2000002830 - 356B.T04.2025/HPDQ-NPSG  -  Lệnh ok
</t>
    </r>
    <r>
      <rPr>
        <b/>
        <sz val="14"/>
        <color rgb="FFFF0000"/>
        <rFont val="Times New Roman"/>
        <family val="1"/>
      </rPr>
      <t>GIAO THẲNG</t>
    </r>
  </si>
  <si>
    <t>Tàu ghép thép thành phẩm 
cân tải</t>
  </si>
  <si>
    <r>
      <rPr>
        <sz val="14"/>
        <color rgb="FF000000"/>
        <rFont val="Times New Roman"/>
        <family val="1"/>
      </rPr>
      <t xml:space="preserve">2200001929 - 1929.T04.2025/HPDQ-SPTLA-Cẩm Nguyên 468TAN HRC2
</t>
    </r>
    <r>
      <rPr>
        <sz val="14"/>
        <color rgb="FFFF0000"/>
        <rFont val="Times New Roman"/>
        <family val="1"/>
      </rPr>
      <t>GIAO THẲNG</t>
    </r>
  </si>
  <si>
    <r>
      <rPr>
        <sz val="14"/>
        <color rgb="FF000000"/>
        <rFont val="Times New Roman"/>
        <family val="1"/>
      </rPr>
      <t xml:space="preserve">2000002800 - 369.T04.2025/HPDQ-JFE - lệnh ok
</t>
    </r>
    <r>
      <rPr>
        <sz val="14"/>
        <color rgb="FFFF0000"/>
        <rFont val="Times New Roman"/>
        <family val="1"/>
      </rPr>
      <t>GIAO THẲNG</t>
    </r>
  </si>
  <si>
    <t>HRC2 - Đã map 283t, chốt SO</t>
  </si>
  <si>
    <r>
      <rPr>
        <sz val="14"/>
        <color rgb="FF000000"/>
        <rFont val="Times New Roman"/>
        <family val="1"/>
      </rPr>
      <t xml:space="preserve">2200001930 - 1930.T04.2025/HPDQ-OTBD-Tân Thuận 48TAN HRC2
</t>
    </r>
    <r>
      <rPr>
        <sz val="14"/>
        <color rgb="FFFF0000"/>
        <rFont val="Times New Roman"/>
        <family val="1"/>
      </rPr>
      <t>GIAO THẲNG</t>
    </r>
  </si>
  <si>
    <t>15.04.2025</t>
  </si>
  <si>
    <t>14H00 15/04 C.TH</t>
  </si>
  <si>
    <t>2400001099 - 40.T04-25/HPDQ-MI - LINH (lot 1)</t>
  </si>
  <si>
    <t>Xem lại, lượng map trên SAP sáng 14.04 chỉ có 6654mt</t>
  </si>
  <si>
    <t>2400001156 - 40.T04-25/HPDQ-MI - LINH (lot 1- size 2.3 đổi lệnh do đổi mác từ BJPC sang SAE1006)</t>
  </si>
  <si>
    <t>2400001100- 40.T04-25/HPDQ-MI - LINH (lot 2)</t>
  </si>
  <si>
    <t>2400001155 - 40.T04-25/HPDQ-MI - LINH (lot 3)</t>
  </si>
  <si>
    <t>13-14.04.2025
NEO</t>
  </si>
  <si>
    <t>16-17/04 Bến 2</t>
  </si>
  <si>
    <t>2200001933 - 1933.T04.2025/HPDQ-THP-KH đi Hải Phòng 3967TAN HRC1
GIAO THẲNG</t>
  </si>
  <si>
    <t>hụt 1 cuôn - Chốt mapping</t>
  </si>
  <si>
    <t>2200001936 - 1936.T04.2025/HPDQ-OTHY đi Hải Phòng 567TAN HRC1
GIAO THẲNG</t>
  </si>
  <si>
    <t>14-15.04.2025
NEO</t>
  </si>
  <si>
    <t>16/04 Bến 3</t>
  </si>
  <si>
    <t>18/4 phải làm hàng xong</t>
  </si>
  <si>
    <r>
      <rPr>
        <b/>
        <sz val="14"/>
        <color rgb="FF000000"/>
        <rFont val="Times New Roman"/>
        <family val="1"/>
      </rPr>
      <t xml:space="preserve">2000002789 - 367A - HSQN - 6.500T </t>
    </r>
    <r>
      <rPr>
        <b/>
        <sz val="14"/>
        <color rgb="FFFF0000"/>
        <rFont val="Times New Roman"/>
        <family val="1"/>
      </rPr>
      <t xml:space="preserve">(giao đủ dung sai các size)
</t>
    </r>
    <r>
      <rPr>
        <b/>
        <sz val="14"/>
        <color rgb="FF000000"/>
        <rFont val="Times New Roman"/>
        <family val="1"/>
      </rPr>
      <t>Giao càng sớm càng tốt, trước 25/4
GIAO THẲNG</t>
    </r>
  </si>
  <si>
    <r>
      <rPr>
        <sz val="14"/>
        <color rgb="FF000000"/>
        <rFont val="Times New Roman"/>
        <family val="1"/>
      </rPr>
      <t xml:space="preserve">2000002790 - 367B - HSQN - 9.500T - Lệnh ok </t>
    </r>
    <r>
      <rPr>
        <sz val="14"/>
        <color rgb="FFFF0000"/>
        <rFont val="Times New Roman"/>
        <family val="1"/>
      </rPr>
      <t xml:space="preserve">(giao đủ dung sai các size)
</t>
    </r>
    <r>
      <rPr>
        <sz val="14"/>
        <color rgb="FF000000"/>
        <rFont val="Times New Roman"/>
        <family val="1"/>
      </rPr>
      <t>Giao càng sớm càng tốt, trước 20/4. Đi nốt lượng hàng còn lại
GIAO THẲNG</t>
    </r>
  </si>
  <si>
    <t>14.04.2025
NEO</t>
  </si>
  <si>
    <t>12H00 16/04 Bến 1</t>
  </si>
  <si>
    <t>2200001940 - 1940.T04.2025/HPDQ-OTHY đi Hải Phòng 5757TAN HRC2
GIAO THẲNG</t>
  </si>
  <si>
    <t>HRC2 - Hàng spot, hàng hóa ok</t>
  </si>
  <si>
    <t>2200001941 - 1941.T04.2025/HPDQ-THP đi Hải Phòng 1962TAN HRC2
GIAO THẲNG</t>
  </si>
  <si>
    <t>2200001943 - 1941.T04.2025/HPDQ-THP 724TAN HRC2
GIAO THẲNG</t>
  </si>
  <si>
    <t>Bổ sung lượng cho lệnh 22*1941</t>
  </si>
  <si>
    <t>2200001862 - 1862.T02.2025/HPDQ-THP
GIAO THẲNG</t>
  </si>
  <si>
    <t>HRC2- Hàng hóa ok</t>
  </si>
  <si>
    <t>2200001942- 1942.T04.2025/HPDQ-OTHY đi Hải Phòng 1128TAN HRC2
GIAO THẲNG</t>
  </si>
  <si>
    <t>15.04.2025
NEO</t>
  </si>
  <si>
    <t>17/04 Bến 1</t>
  </si>
  <si>
    <t>20/4 phải xong, trả trước nghỉ lễ</t>
  </si>
  <si>
    <t>2200001927 - 1927.T04.2025/HPDQ-OTHY 1434TAN đi Hải Phòng HRC2
GIAO THẲNG</t>
  </si>
  <si>
    <t>2200001938 - 1927.T04.2025/HPDQ-OTHY đi Hải Phòng 500TAN HRC2 (BS) GIAO THẲNG</t>
  </si>
  <si>
    <t>Bổ sung thêm lượng cho lệnh 22*1927 do đổi MVT</t>
  </si>
  <si>
    <r>
      <rPr>
        <sz val="14"/>
        <color rgb="FF000000"/>
        <rFont val="Times New Roman"/>
        <family val="1"/>
      </rPr>
      <t xml:space="preserve">2200001932 - 1932.T04.2025/HPDQ-OTHY 235TAN đi Hải Phòng HRC2
</t>
    </r>
    <r>
      <rPr>
        <sz val="14"/>
        <color rgb="FFFF0000"/>
        <rFont val="Times New Roman"/>
        <family val="1"/>
      </rPr>
      <t>GIAO THẲNG</t>
    </r>
  </si>
  <si>
    <t>2200001931 - 1931.T04.2025/HPDQ-OTHY 930TAN đi Hải Phòng HRC2
GIAO THẲNG</t>
  </si>
  <si>
    <t>2200001935 - 1935.T04.2025/HPDQ-OTHY đi Hải Phòng 830TAN HRC1
GIAO THẲNG</t>
  </si>
  <si>
    <t>17/04 Bến 3/5</t>
  </si>
  <si>
    <t>Load hàng xong trước 23/4, trả trước nghỉ lễ</t>
  </si>
  <si>
    <t>2200001919 - 1919.T03.2025/HPDQ-THP-KH HRC2 đi Hải Phòng
GIAO THẲNG</t>
  </si>
  <si>
    <t>HRC 2 - đã có hàng</t>
  </si>
  <si>
    <t>17/04 CTH</t>
  </si>
  <si>
    <t>Xếp hàng xong chạy ra Hải Phòng theo kế hoạch của PKD đã báo</t>
  </si>
  <si>
    <t>Đoạn Xá</t>
  </si>
  <si>
    <r>
      <rPr>
        <b/>
        <sz val="14"/>
        <color rgb="FF000000"/>
        <rFont val="Times New Roman"/>
        <family val="1"/>
      </rPr>
      <t>2000002844 - 360E.T04.2025/HPDQ-HANOIS (HP) -</t>
    </r>
    <r>
      <rPr>
        <b/>
        <sz val="14"/>
        <color rgb="FFFF0000"/>
        <rFont val="Times New Roman"/>
        <family val="1"/>
      </rPr>
      <t xml:space="preserve"> Dự kiến 21/4 có LC, có lệnh
</t>
    </r>
    <r>
      <rPr>
        <b/>
        <sz val="14"/>
        <color rgb="FF000000"/>
        <rFont val="Times New Roman"/>
        <family val="1"/>
      </rPr>
      <t>GIAO THẲNG</t>
    </r>
  </si>
  <si>
    <t>2200001944 - 1944.T04.2025/HPDQ-THP 4231TAN HRC1 đi HẢI PHÒNG
GIAO THẲNG</t>
  </si>
  <si>
    <t>2200001945 - 1945.T04.2025/HPDQ-OTHY 4k TAN HRC1 đi HẢI PHÒNG
GIAO THẲNG</t>
  </si>
  <si>
    <r>
      <rPr>
        <sz val="14"/>
        <color rgb="FF000000"/>
        <rFont val="Times New Roman"/>
        <family val="1"/>
      </rPr>
      <t xml:space="preserve">2000002827 - 363.T04.2025/HPDQ-NSTV - Đã Thanh toán- Lệnh OKE
</t>
    </r>
    <r>
      <rPr>
        <sz val="14"/>
        <color rgb="FFFF0000"/>
        <rFont val="Times New Roman"/>
        <family val="1"/>
      </rPr>
      <t>GIAO THẲNG</t>
    </r>
  </si>
  <si>
    <r>
      <rPr>
        <sz val="14"/>
        <color rgb="FF000000"/>
        <rFont val="Times New Roman"/>
        <family val="1"/>
      </rPr>
      <t xml:space="preserve">2000002835 - 390.T04.2025/HPDQ-TMN - 15.000T (lot 2) </t>
    </r>
    <r>
      <rPr>
        <sz val="14"/>
        <color rgb="FFFF0000"/>
        <rFont val="Times New Roman"/>
        <family val="1"/>
      </rPr>
      <t>lệnh ok
GIAO THẲNG</t>
    </r>
  </si>
  <si>
    <t>HRC2 - Tách 5kt có hàng sớm đi trước</t>
  </si>
  <si>
    <r>
      <rPr>
        <sz val="14"/>
        <color rgb="FF000000"/>
        <rFont val="Times New Roman"/>
        <family val="1"/>
      </rPr>
      <t xml:space="preserve">2000002798 - 357.T04.2025/HPDQ-TH - lệnh ok
</t>
    </r>
    <r>
      <rPr>
        <sz val="14"/>
        <color rgb="FFFF0000"/>
        <rFont val="Times New Roman"/>
        <family val="1"/>
      </rPr>
      <t>GIAO THẲNG</t>
    </r>
  </si>
  <si>
    <r>
      <rPr>
        <sz val="14"/>
        <color rgb="FF000000"/>
        <rFont val="Times New Roman"/>
        <family val="1"/>
      </rPr>
      <t xml:space="preserve">2200001920 - 1920.T03.2025/HPDQ-THP-KH HRC1  26K
</t>
    </r>
    <r>
      <rPr>
        <sz val="14"/>
        <color rgb="FFFF0000"/>
        <rFont val="Times New Roman"/>
        <family val="1"/>
      </rPr>
      <t>GIAO THẲNG - CÂN TẢI</t>
    </r>
  </si>
  <si>
    <t>16.04.2025
NEO</t>
  </si>
  <si>
    <t>18/04 Bến 2</t>
  </si>
  <si>
    <r>
      <rPr>
        <b/>
        <sz val="14"/>
        <color rgb="FF000000"/>
        <rFont val="Times New Roman"/>
        <family val="1"/>
      </rPr>
      <t xml:space="preserve">2000002852 - 344A.T03.2025/HPDQ-TVN - lot 1 - 5500T - 18/4 có LC duyệt lệnh 
</t>
    </r>
    <r>
      <rPr>
        <b/>
        <sz val="14"/>
        <color rgb="FFFF0000"/>
        <rFont val="Times New Roman"/>
        <family val="1"/>
      </rPr>
      <t>GIAO THẲNG</t>
    </r>
  </si>
  <si>
    <t>lấy từ lượng của QH plus sang (Tuấn update lại KHSX)</t>
  </si>
  <si>
    <r>
      <rPr>
        <sz val="14"/>
        <color rgb="FF000000"/>
        <rFont val="Times New Roman"/>
        <family val="1"/>
      </rPr>
      <t xml:space="preserve">2200001870 - 1870.T02.2025/HPDQ-OTBD-KH
</t>
    </r>
    <r>
      <rPr>
        <sz val="14"/>
        <color rgb="FFFF0000"/>
        <rFont val="Times New Roman"/>
        <family val="1"/>
      </rPr>
      <t>GIAO THẲNG</t>
    </r>
  </si>
  <si>
    <t>18/04 Bến 3</t>
  </si>
  <si>
    <t>Trả trước nghỉ lễ</t>
  </si>
  <si>
    <r>
      <rPr>
        <b/>
        <sz val="14"/>
        <color rgb="FF000000"/>
        <rFont val="Times New Roman"/>
        <family val="1"/>
      </rPr>
      <t xml:space="preserve">2000002814 - 389.T04.2025/HPDQ-HWA(PXV)- Giao nhịp 2 (cần giao sớm trước 20/04) - lệnh ok
</t>
    </r>
    <r>
      <rPr>
        <b/>
        <sz val="14"/>
        <color rgb="FFFF0000"/>
        <rFont val="Times New Roman"/>
        <family val="1"/>
      </rPr>
      <t>GIAO THẲNG</t>
    </r>
  </si>
  <si>
    <r>
      <rPr>
        <sz val="14"/>
        <color rgb="FF000000"/>
        <rFont val="Times New Roman"/>
        <family val="1"/>
      </rPr>
      <t xml:space="preserve">2000002833 - 379.T04.2025/HPDQ-VISA - 500T - </t>
    </r>
    <r>
      <rPr>
        <sz val="14"/>
        <color rgb="FFFF0000"/>
        <rFont val="Times New Roman"/>
        <family val="1"/>
      </rPr>
      <t xml:space="preserve">lệnh ok
</t>
    </r>
    <r>
      <rPr>
        <sz val="14"/>
        <color rgb="FF000000"/>
        <rFont val="Times New Roman"/>
        <family val="1"/>
      </rPr>
      <t>GIAO THẰNG</t>
    </r>
  </si>
  <si>
    <r>
      <rPr>
        <sz val="14"/>
        <color rgb="FF000000"/>
        <rFont val="Times New Roman"/>
        <family val="1"/>
      </rPr>
      <t xml:space="preserve">2000002786 - 360B.T04.2025/HPDQ-VINAS (LA) - 2.300T      </t>
    </r>
    <r>
      <rPr>
        <sz val="14"/>
        <color rgb="FFFF0000"/>
        <rFont val="Times New Roman"/>
        <family val="1"/>
      </rPr>
      <t xml:space="preserve">Lệnh ok
</t>
    </r>
    <r>
      <rPr>
        <sz val="14"/>
        <color rgb="FF000000"/>
        <rFont val="Times New Roman"/>
        <family val="1"/>
      </rPr>
      <t>GIAO THẲNG</t>
    </r>
  </si>
  <si>
    <r>
      <rPr>
        <b/>
        <sz val="14"/>
        <color rgb="FF000000"/>
        <rFont val="Times New Roman"/>
        <family val="1"/>
      </rPr>
      <t xml:space="preserve">21-22.04.2025
</t>
    </r>
    <r>
      <rPr>
        <b/>
        <sz val="14"/>
        <color rgb="FFFF0000"/>
        <rFont val="Times New Roman"/>
        <family val="1"/>
      </rPr>
      <t>Quay đầu từ Quy Nhơn về. Tàu đi thiếu tải</t>
    </r>
  </si>
  <si>
    <t>11h00 21/04 Bến 3</t>
  </si>
  <si>
    <t>24/4 phải xếp hàng xong để trả hàng trước nghỉ lễ</t>
  </si>
  <si>
    <r>
      <rPr>
        <b/>
        <sz val="14"/>
        <color rgb="FF000000"/>
        <rFont val="Times New Roman"/>
        <family val="1"/>
      </rPr>
      <t xml:space="preserve">2000002746 - 313.T02.2025/HPDQ-SMC - 500T - lệnh ok (tránh tàu cập 30/4-4/5, khách nghỉ lễ 5 ngày)
</t>
    </r>
    <r>
      <rPr>
        <b/>
        <sz val="14"/>
        <color rgb="FFFF0000"/>
        <rFont val="Times New Roman"/>
        <family val="1"/>
      </rPr>
      <t>GIAO THẲNG</t>
    </r>
  </si>
  <si>
    <t>HRC2 - Hàng hóa ok, đã map 533t</t>
  </si>
  <si>
    <r>
      <rPr>
        <b/>
        <sz val="14"/>
        <color rgb="FF000000"/>
        <rFont val="Times New Roman"/>
        <family val="1"/>
      </rPr>
      <t xml:space="preserve">2000002791 - 368A - HSPM - giao nốt những size còn thiếu dung sai 
</t>
    </r>
    <r>
      <rPr>
        <b/>
        <sz val="14"/>
        <color rgb="FFFF0000"/>
        <rFont val="Times New Roman"/>
        <family val="1"/>
      </rPr>
      <t>GIAO THẲNG</t>
    </r>
  </si>
  <si>
    <r>
      <rPr>
        <sz val="14"/>
        <color rgb="FF000000"/>
        <rFont val="Times New Roman"/>
        <family val="1"/>
      </rPr>
      <t xml:space="preserve">2000002792 - 368B - HSPM - 8.990T </t>
    </r>
    <r>
      <rPr>
        <sz val="14"/>
        <color rgb="FFFF0000"/>
        <rFont val="Times New Roman"/>
        <family val="1"/>
      </rPr>
      <t xml:space="preserve">(giao đủ dung sai các size)
</t>
    </r>
    <r>
      <rPr>
        <sz val="14"/>
        <color rgb="FF000000"/>
        <rFont val="Times New Roman"/>
        <family val="1"/>
      </rPr>
      <t xml:space="preserve">Còn lại giao càng sớm càng tốt, trước 30/4 
</t>
    </r>
    <r>
      <rPr>
        <sz val="14"/>
        <color rgb="FFFF0000"/>
        <rFont val="Times New Roman"/>
        <family val="1"/>
      </rPr>
      <t>GIAO THẲNG</t>
    </r>
  </si>
  <si>
    <t>size 1.60x121x đạt 78%</t>
  </si>
  <si>
    <t>18-19.04.2025
Từ Đà Nẵng về</t>
  </si>
  <si>
    <t>20/04 Bến 2</t>
  </si>
  <si>
    <r>
      <rPr>
        <b/>
        <sz val="14"/>
        <color rgb="FF000000"/>
        <rFont val="Times New Roman"/>
        <family val="1"/>
      </rPr>
      <t xml:space="preserve">2000002834  - 390.T04.2025/HPDQ-TMN - 15.000T (lot 1) - lệnh ok
</t>
    </r>
    <r>
      <rPr>
        <b/>
        <sz val="14"/>
        <color rgb="FFFF0000"/>
        <rFont val="Times New Roman"/>
        <family val="1"/>
      </rPr>
      <t>GIAO THẲNG</t>
    </r>
  </si>
  <si>
    <r>
      <rPr>
        <sz val="14"/>
        <color rgb="FF000000"/>
        <rFont val="Times New Roman"/>
        <family val="1"/>
      </rPr>
      <t xml:space="preserve">2200001937 - 1926.T04.2025/HPDQ-THP đi Hải Phòng 530TAN HRC2 (BS)
</t>
    </r>
    <r>
      <rPr>
        <sz val="14"/>
        <color rgb="FFFF0000"/>
        <rFont val="Times New Roman"/>
        <family val="1"/>
      </rPr>
      <t>GIAO THẲNG</t>
    </r>
  </si>
  <si>
    <t>Bổ sung thêm lượng cho lệnh 22*1926 do đổi MVT</t>
  </si>
  <si>
    <r>
      <rPr>
        <sz val="14"/>
        <color rgb="FF000000"/>
        <rFont val="Times New Roman"/>
        <family val="1"/>
      </rPr>
      <t xml:space="preserve">2200001940 - 1940.T04.2025/HPDQ-OTHY đi Hải Phòng 5757TAN HRC2
</t>
    </r>
    <r>
      <rPr>
        <sz val="14"/>
        <color rgb="FFFF0000"/>
        <rFont val="Times New Roman"/>
        <family val="1"/>
      </rPr>
      <t>GIAO THẲNG</t>
    </r>
  </si>
  <si>
    <t>20-21.04.2025
Dỡ đá -&gt; nhân HRC</t>
  </si>
  <si>
    <t>3h00 23/04 Bến CTH</t>
  </si>
  <si>
    <t>Đủ hàng rồi cho tàu vào làm hàng, xếp hàng xong về trả hàng luôn</t>
  </si>
  <si>
    <r>
      <rPr>
        <b/>
        <sz val="14"/>
        <color rgb="FF000000"/>
        <rFont val="Times New Roman"/>
        <family val="1"/>
      </rPr>
      <t xml:space="preserve">2200001920 - 1920.T03.2025/HPDQ-THP-KH HRC1  26K
</t>
    </r>
    <r>
      <rPr>
        <b/>
        <sz val="14"/>
        <color rgb="FFFF0000"/>
        <rFont val="Times New Roman"/>
        <family val="1"/>
      </rPr>
      <t>GIAO THẲNG</t>
    </r>
  </si>
  <si>
    <t>2200001948 - 1948.T03.2025/HPDQ-THP-KH  3265TAN đi HẢI PHÒNG bổ sung cho 1919</t>
  </si>
  <si>
    <t>18-19.04.2025
NEO</t>
  </si>
  <si>
    <t>22h00 22/04 Bến 3</t>
  </si>
  <si>
    <t>Nếu kịp trả hàng trước nghỉ lễ thì trả luôn, không kịp thì trả sau lễ</t>
  </si>
  <si>
    <r>
      <rPr>
        <b/>
        <sz val="14"/>
        <color rgb="FF000000"/>
        <rFont val="Times New Roman"/>
        <family val="1"/>
      </rPr>
      <t xml:space="preserve">2000002839 - 370A.T04.2025/HPDQ-NK - nhận cuối T4 - đã có LC
GIAO THẲNG </t>
    </r>
    <r>
      <rPr>
        <sz val="14"/>
        <color rgb="FFFF0000"/>
        <rFont val="Times New Roman"/>
        <family val="1"/>
      </rPr>
      <t>(KHÁCH NGHỈ LỄ KHÔNG NHẬN HÀNG TRƯỚC 5/5)</t>
    </r>
  </si>
  <si>
    <r>
      <rPr>
        <sz val="14"/>
        <color rgb="FF000000"/>
        <rFont val="Times New Roman"/>
        <family val="1"/>
      </rPr>
      <t xml:space="preserve">2000002840 - 378.T04.2025/HPDQ-MOV(TL) - Tân Thuận -giao nhịp 3 (giao thẳng) (thanh toán TT)  Lệnh ok
</t>
    </r>
    <r>
      <rPr>
        <sz val="14"/>
        <color rgb="FFFF0000"/>
        <rFont val="Times New Roman"/>
        <family val="1"/>
      </rPr>
      <t>GIAO THẲNG (KHÁCH NGHỈ LỄ KHÔNG NHẬN HÀNG)</t>
    </r>
  </si>
  <si>
    <r>
      <rPr>
        <sz val="14"/>
        <color rgb="FF000000"/>
        <rFont val="Times New Roman"/>
        <family val="1"/>
      </rPr>
      <t xml:space="preserve">2000002841 - 380.T04.2025/HPDQ-HP - Tân Thuận - Giao nhịp 3 (giao thẳng)- đã có LC  Lệnh ok
</t>
    </r>
    <r>
      <rPr>
        <sz val="14"/>
        <color rgb="FFFF0000"/>
        <rFont val="Times New Roman"/>
        <family val="1"/>
      </rPr>
      <t>GIAO THẲNG (KHÁCH NGHỈ LỄ KHÔNG NHẬN HÀNG)</t>
    </r>
  </si>
  <si>
    <t>22-23.04.2025
Dỡ đá -&gt; nhận HRC</t>
  </si>
  <si>
    <t>18h00 22/04 Bến 3
23/4 mới có lệnh để vào làm</t>
  </si>
  <si>
    <t>25/4 phải xếp hàng xong để trả hàng trước nghỉ lễ</t>
  </si>
  <si>
    <r>
      <rPr>
        <b/>
        <sz val="14"/>
        <color rgb="FF000000"/>
        <rFont val="Times New Roman"/>
        <family val="1"/>
      </rPr>
      <t>2000002832 - 343.T03.2025/HPDQ-TYTS - lệnh ok -</t>
    </r>
    <r>
      <rPr>
        <b/>
        <sz val="14"/>
        <color rgb="FFFF0000"/>
        <rFont val="Times New Roman"/>
        <family val="1"/>
      </rPr>
      <t xml:space="preserve"> chỉ xuất 1 hóa đơn và trước 16h, đơn này để 23/4 xuất hàng
GIAO THẲNG </t>
    </r>
  </si>
  <si>
    <r>
      <rPr>
        <sz val="14"/>
        <color rgb="FF000000"/>
        <rFont val="Times New Roman"/>
        <family val="1"/>
      </rPr>
      <t xml:space="preserve">2000002849 - 338F.T03.2025/HPDQ-CNQHP - Tân Thuận  (hết 22/4 duyệt lệnh)
</t>
    </r>
    <r>
      <rPr>
        <sz val="14"/>
        <color rgb="FFFF0000"/>
        <rFont val="Times New Roman"/>
        <family val="1"/>
      </rPr>
      <t>HẠ BÃI - CHI PHÍ KHÁCH</t>
    </r>
  </si>
  <si>
    <r>
      <rPr>
        <sz val="14"/>
        <color rgb="FF000000"/>
        <rFont val="Times New Roman"/>
        <family val="1"/>
      </rPr>
      <t xml:space="preserve">2000002851 - 338G.T03.2025/HPDQ-QHP - Tân Thuận    (hết 22/4 duyệt lệnh)
</t>
    </r>
    <r>
      <rPr>
        <sz val="14"/>
        <color rgb="FFFF0000"/>
        <rFont val="Times New Roman"/>
        <family val="1"/>
      </rPr>
      <t xml:space="preserve">HẠ BÃI - CHI PHÍ KHÁCH </t>
    </r>
  </si>
  <si>
    <r>
      <rPr>
        <sz val="14"/>
        <color rgb="FF000000"/>
        <rFont val="Times New Roman"/>
        <family val="1"/>
      </rPr>
      <t xml:space="preserve">2000002848 - 338D.T03.2025/HPDQ-CNQHP - Phú Mỹ - 1.345T
</t>
    </r>
    <r>
      <rPr>
        <sz val="14"/>
        <color rgb="FFFF0000"/>
        <rFont val="Times New Roman"/>
        <family val="1"/>
      </rPr>
      <t xml:space="preserve">HẠ BÃI - CHI PHÍ KHÁCH </t>
    </r>
  </si>
  <si>
    <r>
      <rPr>
        <sz val="14"/>
        <color rgb="FF000000"/>
        <rFont val="Times New Roman"/>
        <family val="1"/>
      </rPr>
      <t xml:space="preserve">2000002847 - 338B.T03.2025/HPDQ-CNQHP - Phú Mỹ  (hết 22/4 duyệt lệnh)
</t>
    </r>
    <r>
      <rPr>
        <sz val="14"/>
        <color rgb="FFFF0000"/>
        <rFont val="Times New Roman"/>
        <family val="1"/>
      </rPr>
      <t>HẠ BÃI - CHI PHÍ KHÁCH
DỠ TÂN THUẬN -&gt; PHÚ MỸ</t>
    </r>
  </si>
  <si>
    <t>23.04.2025
Từ Huế về</t>
  </si>
  <si>
    <t>25/04 Bến Tàu lai</t>
  </si>
  <si>
    <t>Xếp xong về trả hàng luôn</t>
  </si>
  <si>
    <r>
      <rPr>
        <b/>
        <sz val="14"/>
        <color rgb="FF000000"/>
        <rFont val="Times New Roman"/>
        <family val="1"/>
      </rPr>
      <t xml:space="preserve">2200001920 - 1920.T03.2025/HPDQ-THP-KH HRC1  26K
</t>
    </r>
    <r>
      <rPr>
        <b/>
        <sz val="14"/>
        <color rgb="FFFF0000"/>
        <rFont val="Times New Roman"/>
        <family val="1"/>
      </rPr>
      <t>GIAO THẲNG
Cho xuất hết hàng 3.95x126X SAE1006, còn lại đi hàng khác</t>
    </r>
  </si>
  <si>
    <t>Tàu ghép 40 tấn thép cuộn Hưng Yên - Liên hệ anh Tú HY</t>
  </si>
  <si>
    <t>25.04.2025
Chạy rỗng về</t>
  </si>
  <si>
    <t>24/04 C.TH</t>
  </si>
  <si>
    <r>
      <rPr>
        <b/>
        <sz val="14"/>
        <color rgb="FF000000"/>
        <rFont val="Times New Roman"/>
        <family val="1"/>
      </rPr>
      <t xml:space="preserve">2200001953 - 1953.T04.2025/HPDQ-THP-KH đi Hải Phòng 10.830TAN HRC1
</t>
    </r>
    <r>
      <rPr>
        <b/>
        <sz val="14"/>
        <color rgb="FFFF0000"/>
        <rFont val="Times New Roman"/>
        <family val="1"/>
      </rPr>
      <t>GIAO THẲNG
(Xuất hết hàng 2.00x126X SAE1006 đã có, còn lại xuất hàng gì cũng được)</t>
    </r>
  </si>
  <si>
    <r>
      <rPr>
        <sz val="14"/>
        <color rgb="FF000000"/>
        <rFont val="Times New Roman"/>
        <family val="1"/>
      </rPr>
      <t xml:space="preserve">2200001949 - 1949.T04.2025/HPDQ-THP đi Hải Phòng 1709TAN HRC1
</t>
    </r>
    <r>
      <rPr>
        <sz val="14"/>
        <color rgb="FFFF0000"/>
        <rFont val="Times New Roman"/>
        <family val="1"/>
      </rPr>
      <t>GIAO THẲNG</t>
    </r>
  </si>
  <si>
    <t>2200001950 - 1950.T04.2025/HPDQ-OTHY đi Hải Phòng 3172TAN HRC1
GIAO THẲNG</t>
  </si>
  <si>
    <t>2200001952 - 1952.T04.2025/HPDQ-OTHY đi Hải Phòng 916TAN HRC1
GIAO THẲNG</t>
  </si>
  <si>
    <t>24.04.2025
NEO</t>
  </si>
  <si>
    <t>25/04 Bến 3/5</t>
  </si>
  <si>
    <t>25.04.2025
NEO</t>
  </si>
  <si>
    <t>26/04 Bến Tàu lai</t>
  </si>
  <si>
    <t>Load hàng xong trước 30/4, trả hàng sau nghỉ lễ</t>
  </si>
  <si>
    <r>
      <rPr>
        <b/>
        <sz val="14"/>
        <color rgb="FF000000"/>
        <rFont val="Times New Roman"/>
        <family val="1"/>
      </rPr>
      <t xml:space="preserve">2000002842  - 371.T04.2025/HPDQ-TN - 5.000T - Thiên Lộc Thành- Giao nhịp 3 </t>
    </r>
    <r>
      <rPr>
        <b/>
        <sz val="14"/>
        <color rgb="FFFF0000"/>
        <rFont val="Times New Roman"/>
        <family val="1"/>
      </rPr>
      <t xml:space="preserve">GIAO THẲNG </t>
    </r>
  </si>
  <si>
    <r>
      <rPr>
        <sz val="14"/>
        <color rgb="FF000000"/>
        <rFont val="Times New Roman"/>
        <family val="1"/>
      </rPr>
      <t xml:space="preserve">2000002877  -374A.T04.2025/HPDQ-LPGBD - Long Bình - Giao nhịp 3 - 2.500T (Khách tách đơn chỉ đi 2500mt trước) 
</t>
    </r>
    <r>
      <rPr>
        <sz val="14"/>
        <color rgb="FFFF0000"/>
        <rFont val="Times New Roman"/>
        <family val="1"/>
      </rPr>
      <t>GIAO THẲNG</t>
    </r>
  </si>
  <si>
    <t>HRC2 - SO đã map 2411t, Linh xem xét chốt SO</t>
  </si>
  <si>
    <t>25.04.2025
Từ Quy Nhơn về</t>
  </si>
  <si>
    <t>26/04 Bến 2</t>
  </si>
  <si>
    <r>
      <rPr>
        <sz val="14"/>
        <color rgb="FF000000"/>
        <rFont val="Times New Roman"/>
        <family val="1"/>
      </rPr>
      <t xml:space="preserve">2000002872 - 356C.T04.2025/HPDQ-NPSG (ĐỔI LỆNH 2000002819 - 356C.T04.2025/HPDQ-NP (NPSG) 
</t>
    </r>
    <r>
      <rPr>
        <b/>
        <sz val="14"/>
        <color rgb="FFFF0000"/>
        <rFont val="Times New Roman"/>
        <family val="1"/>
      </rPr>
      <t>GIAO THẲNG</t>
    </r>
  </si>
  <si>
    <r>
      <rPr>
        <sz val="14"/>
        <color rgb="FF000000"/>
        <rFont val="Times New Roman"/>
        <family val="1"/>
      </rPr>
      <t xml:space="preserve">2000002802 - 336E.T03 VNO
</t>
    </r>
    <r>
      <rPr>
        <sz val="14"/>
        <color rgb="FFFF0000"/>
        <rFont val="Times New Roman"/>
        <family val="1"/>
      </rPr>
      <t>GIAO THẲNG</t>
    </r>
  </si>
  <si>
    <r>
      <rPr>
        <sz val="14"/>
        <color rgb="FF000000"/>
        <rFont val="Times New Roman"/>
        <family val="1"/>
      </rPr>
      <t xml:space="preserve">2000002877 -374.T04.2025/HPDQ-LPGBD - Long Bình - Giao nhịp 3 - 2.500T (giao thẳng) (Khách tách đơn chỉ đi 2500mt trước) (dự kiến 18/04 có LC)
</t>
    </r>
    <r>
      <rPr>
        <sz val="14"/>
        <color rgb="FFFF0000"/>
        <rFont val="Times New Roman"/>
        <family val="1"/>
      </rPr>
      <t>GIAO THẲNG</t>
    </r>
  </si>
  <si>
    <t>25/04 Bến 3</t>
  </si>
  <si>
    <t>Load hàng xong trước 30/4, trả hàng sau nghỉ lễ, nhưng muộn nhất 7/5 phải dỡ xong</t>
  </si>
  <si>
    <r>
      <rPr>
        <sz val="14"/>
        <color rgb="FF000000"/>
        <rFont val="Times New Roman"/>
        <family val="1"/>
      </rPr>
      <t xml:space="preserve">2000002793 - 359.T04.2025/HPDQ-PT (lệnh ok)
</t>
    </r>
    <r>
      <rPr>
        <sz val="14"/>
        <color rgb="FFFF0000"/>
        <rFont val="Times New Roman"/>
        <family val="1"/>
      </rPr>
      <t>GIAO THẲNG</t>
    </r>
  </si>
  <si>
    <r>
      <rPr>
        <sz val="14"/>
        <color rgb="FF000000"/>
        <rFont val="Times New Roman"/>
        <family val="1"/>
      </rPr>
      <t xml:space="preserve">2000002828 - 358.T04.2025/HPDQ-PN - 26/04 khách mở LC
</t>
    </r>
    <r>
      <rPr>
        <sz val="14"/>
        <color rgb="FFFF0000"/>
        <rFont val="Times New Roman"/>
        <family val="1"/>
      </rPr>
      <t>GIAO THẲNG</t>
    </r>
  </si>
  <si>
    <r>
      <rPr>
        <sz val="14"/>
        <color rgb="FF000000"/>
        <rFont val="Times New Roman"/>
        <family val="1"/>
      </rPr>
      <t xml:space="preserve">2000002835 - 390.T04.2025/HPDQ-TMN - 15.000T (lot 2) </t>
    </r>
    <r>
      <rPr>
        <sz val="14"/>
        <color rgb="FFFF0000"/>
        <rFont val="Times New Roman"/>
        <family val="1"/>
      </rPr>
      <t>Dự kiến 15-16/4 có LC
GIAO THẲNG</t>
    </r>
  </si>
  <si>
    <r>
      <rPr>
        <sz val="14"/>
        <color rgb="FF000000"/>
        <rFont val="Times New Roman"/>
        <family val="1"/>
      </rPr>
      <t xml:space="preserve">2200001920 - 1920.T03.2025/HPDQ-THP-KH HRC1  26K
</t>
    </r>
    <r>
      <rPr>
        <sz val="14"/>
        <color rgb="FFFF0000"/>
        <rFont val="Times New Roman"/>
        <family val="1"/>
      </rPr>
      <t>GIAO THẲNG</t>
    </r>
  </si>
  <si>
    <r>
      <rPr>
        <sz val="14"/>
        <color rgb="FF000000"/>
        <rFont val="Times New Roman"/>
        <family val="1"/>
      </rPr>
      <t xml:space="preserve">2000002823 - 362.T04.2025/HPDQ-HN - 25/04 duyệt lệnh
</t>
    </r>
    <r>
      <rPr>
        <sz val="14"/>
        <color rgb="FFFF0000"/>
        <rFont val="Times New Roman"/>
        <family val="1"/>
      </rPr>
      <t>GIAO THẲNG</t>
    </r>
  </si>
  <si>
    <t>HRC2 - Hàng đã có sẵn 853t, còn lại sx bù dự kiến 30/04 NK</t>
  </si>
  <si>
    <r>
      <rPr>
        <sz val="14"/>
        <color rgb="FF000000"/>
        <rFont val="Times New Roman"/>
        <family val="1"/>
      </rPr>
      <t xml:space="preserve">2200001953 - 1953.T04.2025/HPDQ-THP-KH đi Hải Phòng 10.830TAN HRC1
</t>
    </r>
    <r>
      <rPr>
        <sz val="14"/>
        <color rgb="FFFF0000"/>
        <rFont val="Times New Roman"/>
        <family val="1"/>
      </rPr>
      <t>GIAO THẲNG - CÂN TẢI</t>
    </r>
  </si>
  <si>
    <r>
      <rPr>
        <sz val="14"/>
        <color rgb="FF000000"/>
        <rFont val="Times New Roman"/>
        <family val="1"/>
      </rPr>
      <t xml:space="preserve">2000002888 -356A.T04.2025/HPDQ-HWA(NP) - 5.200T </t>
    </r>
    <r>
      <rPr>
        <b/>
        <sz val="14"/>
        <color rgb="FFFF0000"/>
        <rFont val="Times New Roman"/>
        <family val="1"/>
      </rPr>
      <t xml:space="preserve">( Lệnh ok )
(giao đủ dung sai của từng size)
</t>
    </r>
    <r>
      <rPr>
        <sz val="14"/>
        <color rgb="FFFF0000"/>
        <rFont val="Times New Roman"/>
        <family val="1"/>
      </rPr>
      <t>HẠ BÃI - CHI PHÍ KHÁCH (TÍNH TỪ 5/5)</t>
    </r>
  </si>
  <si>
    <t>HRC2 - Đã có 5081 tấn, chốt SO</t>
  </si>
  <si>
    <t>LEM MARIGOLD</t>
  </si>
  <si>
    <t>21.04.2025</t>
  </si>
  <si>
    <t>8h00 25/04 Bến 5/10</t>
  </si>
  <si>
    <t>Tàu làm xong rời bến trong tháng 4</t>
  </si>
  <si>
    <t>2400001151 - 66.T05-25/HPDQ-MARCE (S235JR) - HRC 1</t>
  </si>
  <si>
    <t>Loadrate 6,000 mt/day
Tàu này cần ưu tiên</t>
  </si>
  <si>
    <t>2400001152 - 66.T05-25/HPDQ-MARCE (SAE1006) - HRC 1</t>
  </si>
  <si>
    <t>2400001153 - 66.T05-25/HPDQ-MARCE  - HRC 2</t>
  </si>
  <si>
    <t>HRC2 - Đã map 20885t, chốt SO</t>
  </si>
  <si>
    <t>MV LIMCO GOLD</t>
  </si>
  <si>
    <t>AM 27.04.2025</t>
  </si>
  <si>
    <t>27/04 Bến 3/5</t>
  </si>
  <si>
    <t>Làm xong muộn nhất ngày 28.04</t>
  </si>
  <si>
    <t>Cigading</t>
  </si>
  <si>
    <t>2400001141 65.T04-25/HPDQ-SI Ngọc</t>
  </si>
  <si>
    <t>27.05.2025
Dỡ đá -&gt; nhận HRC</t>
  </si>
  <si>
    <t>27/04 Bến 2</t>
  </si>
  <si>
    <r>
      <rPr>
        <b/>
        <sz val="14"/>
        <color rgb="FF000000"/>
        <rFont val="Times New Roman"/>
        <family val="1"/>
      </rPr>
      <t xml:space="preserve">2000002852 - 344A.T03.2025/HPDQ-TVN - lot 1 - 5500T - 18/4 có LC duyệt lệnh (24-25 nhận hàng) 
</t>
    </r>
    <r>
      <rPr>
        <b/>
        <sz val="14"/>
        <color rgb="FFFF0000"/>
        <rFont val="Times New Roman"/>
        <family val="1"/>
      </rPr>
      <t>GIAO THẲNG</t>
    </r>
  </si>
  <si>
    <r>
      <rPr>
        <sz val="14"/>
        <color rgb="FF000000"/>
        <rFont val="Times New Roman"/>
        <family val="1"/>
      </rPr>
      <t xml:space="preserve">2000002873- 338C.T03.2025/HPDQ-QHP - Phú Mỹ   (hết 22/4 duyệt lệnh)
</t>
    </r>
    <r>
      <rPr>
        <sz val="14"/>
        <color rgb="FFFF0000"/>
        <rFont val="Times New Roman"/>
        <family val="1"/>
      </rPr>
      <t>HẠ BÃI - CHI PHÍ KHÁCH - CÂN TẢI</t>
    </r>
  </si>
  <si>
    <r>
      <rPr>
        <sz val="14"/>
        <color rgb="FF000000"/>
        <rFont val="Times New Roman"/>
        <family val="1"/>
      </rPr>
      <t xml:space="preserve">2000002853 - 344A.T03.2025/HPDQ-TVN - lot 2 - lệnh oke (3-6/5 nhận hàng)
</t>
    </r>
    <r>
      <rPr>
        <sz val="14"/>
        <color rgb="FFFF0000"/>
        <rFont val="Times New Roman"/>
        <family val="1"/>
      </rPr>
      <t>GIAO THẲNG - HẾT 28/4 CÓ LỆNH</t>
    </r>
  </si>
  <si>
    <t xml:space="preserve">HRC2 - Hàng hóa ok </t>
  </si>
  <si>
    <t>Lấy hàng QH sang</t>
  </si>
  <si>
    <t>23-25.04.2025
Từ Quy Nhơn về</t>
  </si>
  <si>
    <t>27/04 Bến Tàu lai</t>
  </si>
  <si>
    <t>Load hàng xong trước 30/4, 5/5 mới được vào dỡ hàng</t>
  </si>
  <si>
    <r>
      <rPr>
        <b/>
        <sz val="14"/>
        <color rgb="FF000000"/>
        <rFont val="Times New Roman"/>
        <family val="1"/>
      </rPr>
      <t xml:space="preserve">2000002888 - 356A.T04.2025/HPDQ-HWA(NP) - 5.200T - Lệnh ok  (giao đủ dung sai của từng size)
</t>
    </r>
    <r>
      <rPr>
        <b/>
        <sz val="14"/>
        <color rgb="FFFF0000"/>
        <rFont val="Times New Roman"/>
        <family val="1"/>
      </rPr>
      <t>HẠ BÃI - CHI PHÍ KHÁCH (TÍNH TỪ 5/5)</t>
    </r>
  </si>
  <si>
    <t>VIET THUAN 095-01
(Thay tàu VT 095-02)</t>
  </si>
  <si>
    <t>27.04.2025
Chạy rỗng về</t>
  </si>
  <si>
    <t>27/04 C.TH</t>
  </si>
  <si>
    <t>Xếp hàng xong về trả hàng luôn</t>
  </si>
  <si>
    <r>
      <rPr>
        <b/>
        <sz val="14"/>
        <color rgb="FF000000"/>
        <rFont val="Times New Roman"/>
        <family val="1"/>
      </rPr>
      <t xml:space="preserve">2200001920 - 1920.T03.2025/HPDQ-THP-KH HRC1  26K
</t>
    </r>
    <r>
      <rPr>
        <b/>
        <sz val="14"/>
        <color rgb="FFFF0000"/>
        <rFont val="Times New Roman"/>
        <family val="1"/>
      </rPr>
      <t>GIAO THẲNG - CÂN TẢI</t>
    </r>
  </si>
  <si>
    <r>
      <rPr>
        <sz val="14"/>
        <color rgb="FF000000"/>
        <rFont val="Times New Roman"/>
        <family val="1"/>
      </rPr>
      <t xml:space="preserve">2200001954 - 1954.T05.2025/HPDQ-THP-KH đi Hải Phòng 15.150TAN HRC1
</t>
    </r>
    <r>
      <rPr>
        <sz val="14"/>
        <color rgb="FFFF0000"/>
        <rFont val="Times New Roman"/>
        <family val="1"/>
      </rPr>
      <t>Xuất size 3.95x126X SAE1006</t>
    </r>
  </si>
  <si>
    <r>
      <rPr>
        <sz val="14"/>
        <color rgb="FF000000"/>
        <rFont val="Times New Roman"/>
        <family val="1"/>
      </rPr>
      <t xml:space="preserve">2200001947 - 1947.T04.2025/HPDQ-OTHY đi Hải Phòng 1142TAN HRC2
</t>
    </r>
    <r>
      <rPr>
        <sz val="14"/>
        <color rgb="FFFF0000"/>
        <rFont val="Times New Roman"/>
        <family val="1"/>
      </rPr>
      <t>GIAO THẲNG</t>
    </r>
  </si>
  <si>
    <t>HRC 2 - Hàng spot</t>
  </si>
  <si>
    <r>
      <rPr>
        <sz val="14"/>
        <color rgb="FF000000"/>
        <rFont val="Times New Roman"/>
        <family val="1"/>
      </rPr>
      <t xml:space="preserve">2200001953 - 1953.T04.2025/HPDQ-THP-KH đi Hải Phòng 10.830TAN HRC1
</t>
    </r>
    <r>
      <rPr>
        <sz val="14"/>
        <color rgb="FFFF0000"/>
        <rFont val="Times New Roman"/>
        <family val="1"/>
      </rPr>
      <t>GIAO THẲNG</t>
    </r>
  </si>
  <si>
    <t>Xuất tối đa hàng 2.00x126X SAE1006, sau đó xuất hàng tùy chọn</t>
  </si>
  <si>
    <t>28.04.2025
Dỡ phế -&gt; nhận HRC</t>
  </si>
  <si>
    <t>28/04 Bến 2</t>
  </si>
  <si>
    <r>
      <rPr>
        <b/>
        <sz val="14"/>
        <color rgb="FF000000"/>
        <rFont val="Times New Roman"/>
        <family val="1"/>
      </rPr>
      <t xml:space="preserve">2000002786 - 360B.T04.2025/HPDQ-VINAS (LA) - 2.300T    lệnh ok
</t>
    </r>
    <r>
      <rPr>
        <b/>
        <sz val="14"/>
        <color rgb="FFFF0000"/>
        <rFont val="Times New Roman"/>
        <family val="1"/>
      </rPr>
      <t>GIAO THẲNG - DỠ SAU NGHỈ LỄ</t>
    </r>
  </si>
  <si>
    <r>
      <rPr>
        <sz val="14"/>
        <color rgb="FF000000"/>
        <rFont val="Times New Roman"/>
        <family val="1"/>
      </rPr>
      <t xml:space="preserve">2000002845 - 376.T04.2025/HPDQ-MOV(TTT) - Cẩm Nguyên - Giao nhịp 3 
</t>
    </r>
    <r>
      <rPr>
        <sz val="14"/>
        <color rgb="FFFF0000"/>
        <rFont val="Times New Roman"/>
        <family val="1"/>
      </rPr>
      <t>GIAO THẲNG - lệnh ok - DỠ SAU NGHỈ LỄ</t>
    </r>
  </si>
  <si>
    <r>
      <rPr>
        <sz val="14"/>
        <color rgb="FF000000"/>
        <rFont val="Times New Roman"/>
        <family val="1"/>
      </rPr>
      <t xml:space="preserve">2000002842  - 371.T04.2025/HPDQ-TN - 5.000T - Thiên Lộc Thành- Giao nhịp 3 </t>
    </r>
    <r>
      <rPr>
        <sz val="14"/>
        <color rgb="FFFF0000"/>
        <rFont val="Times New Roman"/>
        <family val="1"/>
      </rPr>
      <t>GIAO THẲNG  - lệnh ok - DỠ HÀNG TRONG LỄ ĐƯỢC</t>
    </r>
  </si>
  <si>
    <t>27.04.2025
Từ Huế về</t>
  </si>
  <si>
    <t>27-28/04 Bến 1</t>
  </si>
  <si>
    <t>Load hàng xong trước 30/4, 5/5 mới được cấp chứng từ và chạy từ DQ</t>
  </si>
  <si>
    <r>
      <rPr>
        <b/>
        <sz val="14"/>
        <color rgb="FF000000"/>
        <rFont val="Times New Roman"/>
        <family val="1"/>
      </rPr>
      <t xml:space="preserve">2000002859 - 344B.T03.2025/HPDQ-KKNH - lot 1A - 1500T - lệnh oke (3-6/5 nhận hàng)
</t>
    </r>
    <r>
      <rPr>
        <b/>
        <sz val="14"/>
        <color rgb="FFFF0000"/>
        <rFont val="Times New Roman"/>
        <family val="1"/>
      </rPr>
      <t>GIAO THẲNG</t>
    </r>
  </si>
  <si>
    <r>
      <rPr>
        <sz val="14"/>
        <color rgb="FF000000"/>
        <rFont val="Times New Roman"/>
        <family val="1"/>
      </rPr>
      <t xml:space="preserve">2000002846 - 336H1.T03 MOV(VNO)
</t>
    </r>
    <r>
      <rPr>
        <sz val="14"/>
        <color rgb="FFFF0000"/>
        <rFont val="Times New Roman"/>
        <family val="1"/>
      </rPr>
      <t>GIAO THẲNG</t>
    </r>
  </si>
  <si>
    <r>
      <rPr>
        <sz val="14"/>
        <color rgb="FF000000"/>
        <rFont val="Times New Roman"/>
        <family val="1"/>
      </rPr>
      <t xml:space="preserve">2000002867 - 372A.T04.2025/HPDQ-TVP (nhận cuối tháng 4) - 10.000T </t>
    </r>
    <r>
      <rPr>
        <sz val="14"/>
        <color rgb="FFFF0000"/>
        <rFont val="Times New Roman"/>
        <family val="1"/>
      </rPr>
      <t>(mở LC trước 20/4)
GIAO THẲNG</t>
    </r>
  </si>
  <si>
    <t>Bắt buộc giao hết 10k trong T4</t>
  </si>
  <si>
    <t>30.04.2025</t>
  </si>
  <si>
    <t>30/04 Bến 2</t>
  </si>
  <si>
    <t>Quét xuất bán ra lượng trong tháng 4 rồi load hàng xuống tàu sau. Đến 5/5 mới được cấp chứng từ và chạy từ DQ</t>
  </si>
  <si>
    <r>
      <rPr>
        <b/>
        <sz val="14"/>
        <color rgb="FF000000"/>
        <rFont val="Times New Roman"/>
        <family val="1"/>
      </rPr>
      <t xml:space="preserve">2000002867 - 372A.T04.2025/HPDQ-TVP (nhận cuối tháng 4) - 10.000T </t>
    </r>
    <r>
      <rPr>
        <b/>
        <sz val="14"/>
        <color rgb="FFFF0000"/>
        <rFont val="Times New Roman"/>
        <family val="1"/>
      </rPr>
      <t>(mở LC trước 20/4)
GIAO THẲNG</t>
    </r>
  </si>
  <si>
    <r>
      <rPr>
        <b/>
        <sz val="14"/>
        <color rgb="FF000000"/>
        <rFont val="Times New Roman"/>
        <family val="1"/>
      </rPr>
      <t xml:space="preserve">HOÀNG PHÚC 99
</t>
    </r>
    <r>
      <rPr>
        <b/>
        <sz val="14"/>
        <color rgb="FFFF0000"/>
        <rFont val="Times New Roman"/>
        <family val="1"/>
      </rPr>
      <t>(thay thế HẢI NAM 69)</t>
    </r>
  </si>
  <si>
    <t>30.04 - 01.05.2025
Dỡ đá -&gt; nhận HRC</t>
  </si>
  <si>
    <t>01/05 Bến 2</t>
  </si>
  <si>
    <r>
      <rPr>
        <b/>
        <sz val="14"/>
        <color rgb="FF000000"/>
        <rFont val="Times New Roman"/>
        <family val="1"/>
      </rPr>
      <t xml:space="preserve">2000002867 - 372A.T04.2025/HPDQ-TVP (nhận cuối tháng 4) - 10.000T  </t>
    </r>
    <r>
      <rPr>
        <b/>
        <sz val="14"/>
        <color rgb="FFFF0000"/>
        <rFont val="Times New Roman"/>
        <family val="1"/>
      </rPr>
      <t xml:space="preserve">(mở LC từ 10-15/4)
</t>
    </r>
    <r>
      <rPr>
        <b/>
        <sz val="14"/>
        <color rgb="FF000000"/>
        <rFont val="Times New Roman"/>
        <family val="1"/>
      </rPr>
      <t>GIAO THẲNG</t>
    </r>
  </si>
  <si>
    <t>LỊCH XUẤT HÀNG HRC THÁNG 3/2025</t>
  </si>
  <si>
    <t>Xếp theo thứ tự tàu vào</t>
  </si>
  <si>
    <t>TÌNH TRẠNG LÀM HÀNG</t>
  </si>
  <si>
    <r>
      <rPr>
        <b/>
        <sz val="13"/>
        <color rgb="FF000000"/>
        <rFont val="Times New Roman"/>
        <family val="1"/>
      </rPr>
      <t xml:space="preserve">LỆNH XUẤT HÀNG - KẾ HOẠCH DUYỆT
</t>
    </r>
    <r>
      <rPr>
        <b/>
        <sz val="13"/>
        <color rgb="FFFF0000"/>
        <rFont val="Times New Roman"/>
        <family val="1"/>
      </rPr>
      <t>(SỐ LỆNH ĐẦY ĐỦ - SỐ XNĐH - THỜI GIAN DK DUYỆT LỆNH)
(MỖI LỆNH 1 DÒNG)</t>
    </r>
  </si>
  <si>
    <t>28.02.2025</t>
  </si>
  <si>
    <t>HÀO HƯNG PORT
28/02</t>
  </si>
  <si>
    <r>
      <rPr>
        <b/>
        <sz val="13"/>
        <color rgb="FF000000"/>
        <rFont val="Times New Roman"/>
        <family val="1"/>
      </rPr>
      <t xml:space="preserve">2000002640 - 309.T01.2025/HPDQ-TMP-TM 25.900T
</t>
    </r>
    <r>
      <rPr>
        <b/>
        <sz val="13"/>
        <color rgb="FFFF0000"/>
        <rFont val="Times New Roman"/>
        <family val="1"/>
      </rPr>
      <t>KHÁCH YC HẠ BÃI</t>
    </r>
  </si>
  <si>
    <t xml:space="preserve">HRC 1 - Hàng hóa ok </t>
  </si>
  <si>
    <t>ĐỦ MAPPING</t>
  </si>
  <si>
    <t>26-27.02.2025
NEO</t>
  </si>
  <si>
    <t>01/03 Bến 2</t>
  </si>
  <si>
    <t>Tàu cần xuất trước</t>
  </si>
  <si>
    <t>2000002655 - 222D3 HWA(VNO) - Cẩm Nguyên (lệnh ok)</t>
  </si>
  <si>
    <t>2000002653 - 222D1 MOV(VNO) - Cẩm Nguyên (lệnh ok)</t>
  </si>
  <si>
    <t>2000002654 - 222D2 HWA(VNO) - Cẩm Nguyên (lệnh ok)</t>
  </si>
  <si>
    <t>2000002645 - 222B1 MOV(VNO) - Cẩm Nguyên (lệnh ok)</t>
  </si>
  <si>
    <t>6h30 27.02.2025
NEO</t>
  </si>
  <si>
    <t>01/03 Bến 3</t>
  </si>
  <si>
    <r>
      <rPr>
        <b/>
        <sz val="13"/>
        <color rgb="FF000000"/>
        <rFont val="Times New Roman"/>
        <family val="1"/>
      </rPr>
      <t xml:space="preserve">2000002643 - 305.T01.2025/HPDQ-TMN 10KTAN đi Hải Phòng
</t>
    </r>
    <r>
      <rPr>
        <b/>
        <sz val="13"/>
        <color rgb="FFFF0000"/>
        <rFont val="Times New Roman"/>
        <family val="1"/>
      </rPr>
      <t>GIAO THẲNG</t>
    </r>
  </si>
  <si>
    <r>
      <rPr>
        <sz val="13"/>
        <color rgb="FF000000"/>
        <rFont val="Times New Roman"/>
        <family val="1"/>
      </rPr>
      <t xml:space="preserve">2000002624 - 276.T01.2025/HPDQ-TP - 2kt (lệnh ok)
</t>
    </r>
    <r>
      <rPr>
        <sz val="13"/>
        <color rgb="FFFF0000"/>
        <rFont val="Times New Roman"/>
        <family val="1"/>
      </rPr>
      <t>HẠ BÃI</t>
    </r>
  </si>
  <si>
    <t>ĐỦ MAPPING
Xuất không hết mapping thì để lại size 2.00</t>
  </si>
  <si>
    <r>
      <rPr>
        <sz val="14"/>
        <color rgb="FF000000"/>
        <rFont val="Times New Roman"/>
        <family val="1"/>
      </rPr>
      <t xml:space="preserve">2200001872 - 1872.T02.2025/HPDQ-OTHY 2154TAN HRC2 đi Hải Phòng
</t>
    </r>
    <r>
      <rPr>
        <sz val="14"/>
        <color rgb="FFFF0000"/>
        <rFont val="Times New Roman"/>
        <family val="1"/>
      </rPr>
      <t>HẠ BÃI - cân tải</t>
    </r>
  </si>
  <si>
    <t>HRC 2 - Hàng hóa ok (Đã map 2242 tấn)</t>
  </si>
  <si>
    <r>
      <rPr>
        <sz val="13"/>
        <color rgb="FF000000"/>
        <rFont val="Times New Roman"/>
        <family val="1"/>
      </rPr>
      <t xml:space="preserve">2200001858 - 1858.T03.2025/HPDQ-THP-KH 10K HRC2
</t>
    </r>
    <r>
      <rPr>
        <sz val="13"/>
        <color rgb="FFFF0000"/>
        <rFont val="Times New Roman"/>
        <family val="1"/>
      </rPr>
      <t>GIAO THẲNG</t>
    </r>
  </si>
  <si>
    <t>10h 27.02.2025
NEO</t>
  </si>
  <si>
    <t>03/03 Bến 3/5</t>
  </si>
  <si>
    <r>
      <rPr>
        <b/>
        <sz val="13"/>
        <color rgb="FF000000"/>
        <rFont val="Times New Roman"/>
        <family val="1"/>
      </rPr>
      <t xml:space="preserve">2000002641 - 320.T2.2025/HPDQ-HPL 300TAN đi Phú Mỹ
</t>
    </r>
    <r>
      <rPr>
        <b/>
        <sz val="13"/>
        <color rgb="FFFF0000"/>
        <rFont val="Times New Roman"/>
        <family val="1"/>
      </rPr>
      <t>GIAO THẲNG</t>
    </r>
  </si>
  <si>
    <r>
      <rPr>
        <sz val="13"/>
        <color rgb="FF000000"/>
        <rFont val="Times New Roman"/>
        <family val="1"/>
      </rPr>
      <t xml:space="preserve">2000002642 - 321.T2.2025/HPDQ-HPL 250TAN đi Phú Mỹ
</t>
    </r>
    <r>
      <rPr>
        <sz val="13"/>
        <color rgb="FFFF0000"/>
        <rFont val="Times New Roman"/>
        <family val="1"/>
      </rPr>
      <t>GIAO THẲNG</t>
    </r>
  </si>
  <si>
    <r>
      <rPr>
        <sz val="13"/>
        <color rgb="FF000000"/>
        <rFont val="Times New Roman"/>
        <family val="1"/>
      </rPr>
      <t xml:space="preserve">2000002665 - 324.T03.2025/HPDQ-TDA
</t>
    </r>
    <r>
      <rPr>
        <sz val="13"/>
        <color rgb="FFFF0000"/>
        <rFont val="Times New Roman"/>
        <family val="1"/>
      </rPr>
      <t>GIAO THẲNG</t>
    </r>
  </si>
  <si>
    <t>Dự kiến chiều 25/2 duyệt lệnh</t>
  </si>
  <si>
    <r>
      <rPr>
        <sz val="13"/>
        <color rgb="FF000000"/>
        <rFont val="Times New Roman"/>
        <family val="1"/>
      </rPr>
      <t xml:space="preserve">2000002622 - 315.T02.2025/HPDQ-SEAH LSD 30/03 (lệnh ok)
</t>
    </r>
    <r>
      <rPr>
        <sz val="13"/>
        <color rgb="FFFF0000"/>
        <rFont val="Times New Roman"/>
        <family val="1"/>
      </rPr>
      <t>GIAO THẲNG</t>
    </r>
  </si>
  <si>
    <t>26.02.2025
NEO</t>
  </si>
  <si>
    <t>01-02/03 Bến Tàu lai</t>
  </si>
  <si>
    <t xml:space="preserve">2000002599 - 280.T01.2025/HPDQ-NSTV (lệnh ok)
GIAO LUÔN </t>
  </si>
  <si>
    <r>
      <rPr>
        <sz val="13"/>
        <color rgb="FF000000"/>
        <rFont val="Times New Roman"/>
        <family val="1"/>
      </rPr>
      <t xml:space="preserve">2200001851 - 1851.T02.2025/HPDQ-THP 1.140TAN - HRC 2            
</t>
    </r>
    <r>
      <rPr>
        <sz val="13"/>
        <color rgb="FFFF0000"/>
        <rFont val="Times New Roman"/>
        <family val="1"/>
      </rPr>
      <t xml:space="preserve">GIAO LUÔN </t>
    </r>
  </si>
  <si>
    <t>HRC 2 - Hàng hóa ok, hàng spot</t>
  </si>
  <si>
    <r>
      <rPr>
        <sz val="13"/>
        <color rgb="FF000000"/>
        <rFont val="Times New Roman"/>
        <family val="1"/>
      </rPr>
      <t xml:space="preserve">2000002658 - 268B.T12.QTVN - 5.500T
</t>
    </r>
    <r>
      <rPr>
        <sz val="13"/>
        <color rgb="FFFF0000"/>
        <rFont val="Times New Roman"/>
        <family val="1"/>
      </rPr>
      <t>GIAO LUÔN</t>
    </r>
  </si>
  <si>
    <t>27.02.2025
NEO</t>
  </si>
  <si>
    <t>01-02/03 Bến 1</t>
  </si>
  <si>
    <r>
      <rPr>
        <b/>
        <sz val="13"/>
        <color rgb="FF000000"/>
        <rFont val="Times New Roman"/>
        <family val="1"/>
      </rPr>
      <t xml:space="preserve">2000002645 - 222B1 MOV(VNO) - Cẩm Nguyên (lệnh ok)
</t>
    </r>
    <r>
      <rPr>
        <b/>
        <sz val="13"/>
        <color rgb="FFFF0000"/>
        <rFont val="Times New Roman"/>
        <family val="1"/>
      </rPr>
      <t>GIAO LUÔN</t>
    </r>
  </si>
  <si>
    <r>
      <rPr>
        <sz val="13"/>
        <color rgb="FF000000"/>
        <rFont val="Times New Roman"/>
        <family val="1"/>
      </rPr>
      <t xml:space="preserve">2000002636 - 297.T01.2025/HPDQ-KKNH (lot 2)
</t>
    </r>
    <r>
      <rPr>
        <sz val="13"/>
        <color rgb="FFFF0000"/>
        <rFont val="Times New Roman"/>
        <family val="1"/>
      </rPr>
      <t>HẠ BÃI</t>
    </r>
  </si>
  <si>
    <t>Xuất chưa hết, cho xuất nốt</t>
  </si>
  <si>
    <r>
      <rPr>
        <sz val="13"/>
        <color rgb="FF000000"/>
        <rFont val="Times New Roman"/>
        <family val="1"/>
      </rPr>
      <t xml:space="preserve">2200001861 - 1861.T02.2025/HPDQ-OTBD 3275TAN  HRC2
</t>
    </r>
    <r>
      <rPr>
        <sz val="13"/>
        <color rgb="FFFF0000"/>
        <rFont val="Times New Roman"/>
        <family val="1"/>
      </rPr>
      <t xml:space="preserve">GIAO LUÔN </t>
    </r>
  </si>
  <si>
    <t>02.03.2025
NEO</t>
  </si>
  <si>
    <t>01-02/03 Bến 3/5</t>
  </si>
  <si>
    <t>Cần xuất ra hóa đơn trước 5/3</t>
  </si>
  <si>
    <r>
      <rPr>
        <b/>
        <sz val="14"/>
        <color rgb="FF000000"/>
        <rFont val="Times New Roman"/>
        <family val="1"/>
      </rPr>
      <t xml:space="preserve">2000002664 - 278.T01.2025/HPDQ-HNS - 1.700T (1/3 duyệt lệnh)
</t>
    </r>
    <r>
      <rPr>
        <sz val="14"/>
        <color rgb="FFFF0000"/>
        <rFont val="Times New Roman"/>
        <family val="1"/>
      </rPr>
      <t>Cần xuất hàng ra hóa đơn muộn nhất 5/3 với lệnh này
GIAO THẲNG</t>
    </r>
  </si>
  <si>
    <r>
      <rPr>
        <sz val="14"/>
        <color rgb="FF000000"/>
        <rFont val="Times New Roman"/>
        <family val="1"/>
      </rPr>
      <t xml:space="preserve">2200001862 - 1862.T02.2025/HPDQ-THP 5216TAN đi Hải Phòng HRC2 - 
</t>
    </r>
    <r>
      <rPr>
        <sz val="14"/>
        <color rgb="FFFF0000"/>
        <rFont val="Times New Roman"/>
        <family val="1"/>
      </rPr>
      <t>GIAO THẲNG</t>
    </r>
    <r>
      <rPr>
        <sz val="14"/>
        <color rgb="FF000000"/>
        <rFont val="Times New Roman"/>
        <family val="1"/>
      </rPr>
      <t xml:space="preserve"> - </t>
    </r>
    <r>
      <rPr>
        <sz val="14"/>
        <color rgb="FFFF0000"/>
        <rFont val="Times New Roman"/>
        <family val="1"/>
      </rPr>
      <t>CÂN TẢI</t>
    </r>
  </si>
  <si>
    <t>HRC 2 - Hàng hóa ok 
(đã map 5364)</t>
  </si>
  <si>
    <t>03/03 Bến 2</t>
  </si>
  <si>
    <r>
      <rPr>
        <b/>
        <sz val="13"/>
        <color rgb="FF000000"/>
        <rFont val="Times New Roman"/>
        <family val="1"/>
      </rPr>
      <t xml:space="preserve">2000002651 - 222C MOV(VNO) - Cẩm Nguyên (lệnh ok)
</t>
    </r>
    <r>
      <rPr>
        <b/>
        <sz val="13"/>
        <color rgb="FFFF0000"/>
        <rFont val="Times New Roman"/>
        <family val="1"/>
      </rPr>
      <t>GIAO THẲNG</t>
    </r>
  </si>
  <si>
    <t>ĐỦ MAPPING
Còn dư 3 cuộn ~70t tàu lấy thêm thì báo lại để mapping</t>
  </si>
  <si>
    <t>28.02.2025
NEO</t>
  </si>
  <si>
    <t>10H00 05/03 7CTH</t>
  </si>
  <si>
    <r>
      <rPr>
        <b/>
        <sz val="14"/>
        <color rgb="FF000000"/>
        <rFont val="Times New Roman"/>
        <family val="1"/>
      </rPr>
      <t xml:space="preserve">2200001865 - 1865.T02.2025/HPDQ-OTHY 4439TAN đi Hải Phòng HRC1
</t>
    </r>
    <r>
      <rPr>
        <b/>
        <sz val="14"/>
        <color rgb="FFFF0000"/>
        <rFont val="Times New Roman"/>
        <family val="1"/>
      </rPr>
      <t>HẠ BÃI</t>
    </r>
  </si>
  <si>
    <t>HRC 1 - Hàng hóa ok Spot
thiếu 1 cuộn ok</t>
  </si>
  <si>
    <r>
      <rPr>
        <sz val="14"/>
        <color rgb="FF000000"/>
        <rFont val="Times New Roman"/>
        <family val="1"/>
      </rPr>
      <t xml:space="preserve">2200001867 - 1867.T03.2025/HPDQ-OTHY-KH 40K7TAN HRC2 đi Hải Phòng
</t>
    </r>
    <r>
      <rPr>
        <sz val="14"/>
        <color rgb="FFFF0000"/>
        <rFont val="Times New Roman"/>
        <family val="1"/>
      </rPr>
      <t>HẠ BÃI</t>
    </r>
  </si>
  <si>
    <r>
      <rPr>
        <sz val="14"/>
        <color rgb="FF000000"/>
        <rFont val="Times New Roman"/>
        <family val="1"/>
      </rPr>
      <t xml:space="preserve">2200001863 - 1863.T02.2025/HPDQ-THP 2582TAN đi Hải Phòng HRC1
</t>
    </r>
    <r>
      <rPr>
        <sz val="14"/>
        <color rgb="FFFF0000"/>
        <rFont val="Times New Roman"/>
        <family val="1"/>
      </rPr>
      <t>GIAO THẲNG</t>
    </r>
  </si>
  <si>
    <t>HRC 1 - Hàng hóa ok Spot</t>
  </si>
  <si>
    <t>Đã map 2229/2582</t>
  </si>
  <si>
    <r>
      <rPr>
        <sz val="14"/>
        <color rgb="FF000000"/>
        <rFont val="Times New Roman"/>
        <family val="1"/>
      </rPr>
      <t xml:space="preserve">2200001866 - 1866.T02.2025/HPDQ-OTHY 228TAN đi Hải Phòng HRC1
</t>
    </r>
    <r>
      <rPr>
        <sz val="14"/>
        <color rgb="FFFF0000"/>
        <rFont val="Times New Roman"/>
        <family val="1"/>
      </rPr>
      <t>HẠ BÃI</t>
    </r>
  </si>
  <si>
    <t xml:space="preserve">XIN HONG XING 229 </t>
  </si>
  <si>
    <t>01.03.2025</t>
  </si>
  <si>
    <t>Clio</t>
  </si>
  <si>
    <t>8h00 04/03 Bến 3/5</t>
  </si>
  <si>
    <r>
      <rPr>
        <b/>
        <sz val="14"/>
        <color rgb="FF000000"/>
        <rFont val="Times New Roman"/>
        <family val="1"/>
      </rPr>
      <t xml:space="preserve">2400001046 - 22.T03-25/HPDQ-JFE - 9,100 MT
</t>
    </r>
    <r>
      <rPr>
        <b/>
        <sz val="14"/>
        <color rgb="FFFF0000"/>
        <rFont val="Times New Roman"/>
        <family val="1"/>
      </rPr>
      <t>Tối 3/3 lệnh mới sẵn sàng</t>
    </r>
  </si>
  <si>
    <r>
      <rPr>
        <sz val="14"/>
        <color rgb="FF000000"/>
        <rFont val="Times New Roman"/>
        <family val="1"/>
      </rPr>
      <t xml:space="preserve">2400001047 - 22.T03-25/HPDQ-JFE - 9,100 MT
</t>
    </r>
    <r>
      <rPr>
        <sz val="14"/>
        <color rgb="FFFF0000"/>
        <rFont val="Times New Roman"/>
        <family val="1"/>
      </rPr>
      <t>Tối 3/3 lệnh mới sẵn sàng</t>
    </r>
  </si>
  <si>
    <r>
      <rPr>
        <sz val="14"/>
        <color rgb="FF000000"/>
        <rFont val="Times New Roman"/>
        <family val="1"/>
      </rPr>
      <t xml:space="preserve">2400001048 - 22.T03-25/HPDQ-JFE - 9,100 MT
</t>
    </r>
    <r>
      <rPr>
        <sz val="14"/>
        <color rgb="FFFF0000"/>
        <rFont val="Times New Roman"/>
        <family val="1"/>
      </rPr>
      <t>Tối 3/3 lệnh mới sẵn sàng</t>
    </r>
  </si>
  <si>
    <t>chốt mapping (1k9)</t>
  </si>
  <si>
    <r>
      <rPr>
        <sz val="14"/>
        <color rgb="FF000000"/>
        <rFont val="Times New Roman"/>
        <family val="1"/>
      </rPr>
      <t xml:space="preserve">2400001049 - 22.T03-25/HPDQ-JFE - 9,100 MT
</t>
    </r>
    <r>
      <rPr>
        <sz val="14"/>
        <color rgb="FFFF0000"/>
        <rFont val="Times New Roman"/>
        <family val="1"/>
      </rPr>
      <t>Tối 3/3 lệnh mới sẵn sàng</t>
    </r>
  </si>
  <si>
    <t>chốt mapping (4k6)</t>
  </si>
  <si>
    <t>03.03.2025
NEO</t>
  </si>
  <si>
    <t>18h00 04/03 Bến 5/10</t>
  </si>
  <si>
    <r>
      <rPr>
        <b/>
        <sz val="14"/>
        <color rgb="FF000000"/>
        <rFont val="Times New Roman"/>
        <family val="1"/>
      </rPr>
      <t xml:space="preserve">2200001867 - 1867.T03.2025/HPDQ-OTHY-KH 40K7TAN HRC2 đi Hải Phòng
</t>
    </r>
    <r>
      <rPr>
        <b/>
        <sz val="14"/>
        <color rgb="FFFF0000"/>
        <rFont val="Times New Roman"/>
        <family val="1"/>
      </rPr>
      <t>HẠ BÃI</t>
    </r>
  </si>
  <si>
    <t>04.03.2025</t>
  </si>
  <si>
    <t>0h00 05/03 Bến Tàu lai</t>
  </si>
  <si>
    <r>
      <rPr>
        <sz val="14"/>
        <color rgb="FF000000"/>
        <rFont val="Times New Roman"/>
        <family val="1"/>
      </rPr>
      <t xml:space="preserve">2000002668 - 320A.T02.2025/HPDQ-HSNS - lệnh ok
</t>
    </r>
    <r>
      <rPr>
        <b/>
        <sz val="14"/>
        <color rgb="FF000000"/>
        <rFont val="Times New Roman"/>
        <family val="1"/>
      </rPr>
      <t xml:space="preserve">HSNS - 14.700T
</t>
    </r>
    <r>
      <rPr>
        <b/>
        <sz val="14"/>
        <color rgb="FFFF0000"/>
        <rFont val="Times New Roman"/>
        <family val="1"/>
      </rPr>
      <t>GIAO THẲNG</t>
    </r>
  </si>
  <si>
    <t>HRC 2 - SO đã map 8k4. Xuất được 4200 tấn</t>
  </si>
  <si>
    <t>19h00 04/03 Bến 3</t>
  </si>
  <si>
    <t>Muộn nhất 10/1 phải xong hàng</t>
  </si>
  <si>
    <r>
      <rPr>
        <b/>
        <sz val="14"/>
        <color rgb="FF000000"/>
        <rFont val="Times New Roman"/>
        <family val="1"/>
      </rPr>
      <t xml:space="preserve">2000002666 - 287.T01.2025/HPDQ-NK - 6000T còn lại
</t>
    </r>
    <r>
      <rPr>
        <b/>
        <sz val="14"/>
        <color rgb="FFFF0000"/>
        <rFont val="Times New Roman"/>
        <family val="1"/>
      </rPr>
      <t>HẠ BÃI - lệnh ok - cân tải</t>
    </r>
  </si>
  <si>
    <r>
      <rPr>
        <sz val="14"/>
        <color rgb="FF000000"/>
        <rFont val="Times New Roman"/>
        <family val="1"/>
      </rPr>
      <t xml:space="preserve">2200001864 - 1864.T02.2025/HPDQ-OTBD - Tân Thuận 90TAN HRC1
</t>
    </r>
    <r>
      <rPr>
        <sz val="14"/>
        <color rgb="FFFF0000"/>
        <rFont val="Times New Roman"/>
        <family val="1"/>
      </rPr>
      <t>GIAO LUÔN</t>
    </r>
  </si>
  <si>
    <t>05.03.2025</t>
  </si>
  <si>
    <t>20h00 05/03 Bến 3/5</t>
  </si>
  <si>
    <r>
      <rPr>
        <b/>
        <sz val="14"/>
        <color rgb="FF000000"/>
        <rFont val="Times New Roman"/>
        <family val="1"/>
      </rPr>
      <t xml:space="preserve">2200001883 - 1883.T01.2025/HPDQ-THP-KH đi Hải Phòng 12K TAN
</t>
    </r>
    <r>
      <rPr>
        <b/>
        <sz val="14"/>
        <color rgb="FFFF0000"/>
        <rFont val="Times New Roman"/>
        <family val="1"/>
      </rPr>
      <t>GIAO THẲNG</t>
    </r>
  </si>
  <si>
    <t>04.03.2025
Dỡ đá -&gt; nhận HRC</t>
  </si>
  <si>
    <t>05-06/03 Bến 5</t>
  </si>
  <si>
    <r>
      <rPr>
        <sz val="14"/>
        <color rgb="FF000000"/>
        <rFont val="Times New Roman"/>
        <family val="1"/>
      </rPr>
      <t xml:space="preserve">2000002668 - 320A.T02.2025/HPDQ-HSNS - lệnh ok
</t>
    </r>
    <r>
      <rPr>
        <b/>
        <sz val="14"/>
        <color rgb="FF000000"/>
        <rFont val="Times New Roman"/>
        <family val="1"/>
      </rPr>
      <t xml:space="preserve">HSNS - 14.700T - </t>
    </r>
    <r>
      <rPr>
        <b/>
        <sz val="14"/>
        <color rgb="FFFF0000"/>
        <rFont val="Times New Roman"/>
        <family val="1"/>
      </rPr>
      <t>GIAO THẲNG</t>
    </r>
  </si>
  <si>
    <t>HRC 2 - SO đã map 8k4. Xuất được 4270 tấn</t>
  </si>
  <si>
    <t>giao các size ko skin: 2.30x1260 (500 tấn), 2.80x1260 (500 tấn), 3.20x1260 (500 tấn), 3.80x1260(500 tấn), 2.30x1212 (1500 tấn), 2.50x1212 (1000 tấn)</t>
  </si>
  <si>
    <t>06.03.2025
NEO</t>
  </si>
  <si>
    <t>07/03 C.TH</t>
  </si>
  <si>
    <r>
      <rPr>
        <b/>
        <sz val="14"/>
        <color rgb="FF000000"/>
        <rFont val="Times New Roman"/>
        <family val="1"/>
      </rPr>
      <t xml:space="preserve">2000002670 - 304.T02.2025/HPDQ-NP (lệnh ok)
</t>
    </r>
    <r>
      <rPr>
        <b/>
        <sz val="14"/>
        <color rgb="FFFF0000"/>
        <rFont val="Times New Roman"/>
        <family val="1"/>
      </rPr>
      <t>GIAO THẲNG</t>
    </r>
  </si>
  <si>
    <r>
      <rPr>
        <sz val="14"/>
        <color rgb="FF000000"/>
        <rFont val="Times New Roman"/>
        <family val="1"/>
      </rPr>
      <t xml:space="preserve">2000002682 - 308.T02.2025/HPDQ-NSTV (300 tấn) - lệnh ok
</t>
    </r>
    <r>
      <rPr>
        <sz val="14"/>
        <color rgb="FFFF0000"/>
        <rFont val="Times New Roman"/>
        <family val="1"/>
      </rPr>
      <t>GIAO THẲNG</t>
    </r>
  </si>
  <si>
    <r>
      <rPr>
        <sz val="14"/>
        <color rgb="FF000000"/>
        <rFont val="Times New Roman"/>
        <family val="1"/>
      </rPr>
      <t xml:space="preserve">2000002687 - 305.T02.2025/HPDQ-HANOIS (300 tấn) 
</t>
    </r>
    <r>
      <rPr>
        <sz val="14"/>
        <color rgb="FFFF0000"/>
        <rFont val="Times New Roman"/>
        <family val="1"/>
      </rPr>
      <t>GIAO THẲNG</t>
    </r>
  </si>
  <si>
    <t xml:space="preserve">KHÁCH YÊU CẦU CHỤP ẢNH TRƯƠC KHI XUẤT HÀNG </t>
  </si>
  <si>
    <r>
      <rPr>
        <sz val="14"/>
        <color rgb="FF000000"/>
        <rFont val="Times New Roman"/>
        <family val="1"/>
      </rPr>
      <t xml:space="preserve">2000002671 - 380.T01.2025/HPDQ-TMPHD-BBC đi Hải Phòng 633T
</t>
    </r>
    <r>
      <rPr>
        <sz val="14"/>
        <color rgb="FFFF0000"/>
        <rFont val="Times New Roman"/>
        <family val="1"/>
      </rPr>
      <t>GIAO THẲNG</t>
    </r>
  </si>
  <si>
    <t>HRC 1 - Hàng hóa ok BBC</t>
  </si>
  <si>
    <r>
      <rPr>
        <sz val="14"/>
        <color rgb="FF000000"/>
        <rFont val="Times New Roman"/>
        <family val="1"/>
      </rPr>
      <t xml:space="preserve">2000002672 - 381.T01.2025/HPDQ-TMPHD-BBC đi Hải Phòng 222T
</t>
    </r>
    <r>
      <rPr>
        <sz val="14"/>
        <color rgb="FFFF0000"/>
        <rFont val="Times New Roman"/>
        <family val="1"/>
      </rPr>
      <t>GIAO THẲNG</t>
    </r>
  </si>
  <si>
    <r>
      <rPr>
        <sz val="14"/>
        <color rgb="FF000000"/>
        <rFont val="Times New Roman"/>
        <family val="1"/>
      </rPr>
      <t xml:space="preserve">2000002673 - 382.T01.2025/HPDQ-TMPHD-BBC đi Hải Phòng 385T
</t>
    </r>
    <r>
      <rPr>
        <sz val="14"/>
        <color rgb="FFFF0000"/>
        <rFont val="Times New Roman"/>
        <family val="1"/>
      </rPr>
      <t>GIAO THẲNG</t>
    </r>
  </si>
  <si>
    <r>
      <rPr>
        <sz val="14"/>
        <color rgb="FF000000"/>
        <rFont val="Times New Roman"/>
        <family val="1"/>
      </rPr>
      <t xml:space="preserve">2200001867 - 1867.T03.2025/HPDQ-OTHY-KH 40K7TAN HRC2 đi Hải Phòng
</t>
    </r>
    <r>
      <rPr>
        <sz val="14"/>
        <color rgb="FFFF0000"/>
        <rFont val="Times New Roman"/>
        <family val="1"/>
      </rPr>
      <t>GIAO THẲNG</t>
    </r>
    <r>
      <rPr>
        <sz val="14"/>
        <color rgb="FF000000"/>
        <rFont val="Times New Roman"/>
        <family val="1"/>
      </rPr>
      <t xml:space="preserve"> - cân tải</t>
    </r>
  </si>
  <si>
    <r>
      <rPr>
        <sz val="14"/>
        <color rgb="FF000000"/>
        <rFont val="Times New Roman"/>
        <family val="1"/>
      </rPr>
      <t xml:space="preserve">2000002643 - 305.T01.2025/HPDQ-TMN 10KTAN đi Hải Phòng
</t>
    </r>
    <r>
      <rPr>
        <sz val="14"/>
        <color rgb="FFFF0000"/>
        <rFont val="Times New Roman"/>
        <family val="1"/>
      </rPr>
      <t>GIAO THẲNG</t>
    </r>
  </si>
  <si>
    <t>ĐỦ MAPPING (xuất không hết mapping thì để lại size 2.75 map cho khách khác)</t>
  </si>
  <si>
    <r>
      <rPr>
        <sz val="14"/>
        <color rgb="FF000000"/>
        <rFont val="Times New Roman"/>
        <family val="1"/>
      </rPr>
      <t xml:space="preserve">2000002680 - 332.T2.2025/HPDQ-TMN 5K TAN đi Hải Phòng
</t>
    </r>
    <r>
      <rPr>
        <sz val="14"/>
        <color rgb="FFFF0000"/>
        <rFont val="Times New Roman"/>
        <family val="1"/>
      </rPr>
      <t>GIAO THẲNG</t>
    </r>
  </si>
  <si>
    <t>06.03.2024</t>
  </si>
  <si>
    <t>12H00 7/3 Bến 3</t>
  </si>
  <si>
    <r>
      <rPr>
        <b/>
        <sz val="14"/>
        <color rgb="FF000000"/>
        <rFont val="Times New Roman"/>
        <family val="1"/>
      </rPr>
      <t xml:space="preserve">2000002667 - 320B.T02.2025/HPDQ-HSPM - 5.300T lệnh ok
</t>
    </r>
    <r>
      <rPr>
        <b/>
        <sz val="14"/>
        <color rgb="FFFF0000"/>
        <rFont val="Times New Roman"/>
        <family val="1"/>
      </rPr>
      <t>GIAO THẲNG - cân tải</t>
    </r>
  </si>
  <si>
    <t>HRC 2 - Hàng hóa ok (Đã map 2861 tấn)</t>
  </si>
  <si>
    <t>Đã có 2k9t hàng, 2k3 đưa lại HRC 1 skin xuất sau</t>
  </si>
  <si>
    <r>
      <rPr>
        <sz val="14"/>
        <color rgb="FF000000"/>
        <rFont val="Times New Roman"/>
        <family val="1"/>
      </rPr>
      <t xml:space="preserve">2000002681 - 317.T02.2025/HPDQ-TYTS - 500T
</t>
    </r>
    <r>
      <rPr>
        <sz val="14"/>
        <color rgb="FFFF0000"/>
        <rFont val="Times New Roman"/>
        <family val="1"/>
      </rPr>
      <t>GIAO THẲNG
DỠ TÂN THUẬN -&gt; PHÚ MỸ</t>
    </r>
  </si>
  <si>
    <t>Y/c: Cả lệnh xuất chung 1 hóa đơn và xuất trước 16h, nếu như k kịp trước 16h cần liên hệ Hương PKD</t>
  </si>
  <si>
    <t>VIỆT THUẬN 30-05</t>
  </si>
  <si>
    <t>07.03.2025</t>
  </si>
  <si>
    <t>07/03 CTH</t>
  </si>
  <si>
    <r>
      <rPr>
        <b/>
        <sz val="14"/>
        <color rgb="FF000000"/>
        <rFont val="Times New Roman"/>
        <family val="1"/>
      </rPr>
      <t xml:space="preserve">2200001867 - 1867.T03.2025/HPDQ-OTHY-KH 40K7TAN HRC2 đi Hải Phòng
</t>
    </r>
    <r>
      <rPr>
        <b/>
        <sz val="14"/>
        <color rgb="FFFF0000"/>
        <rFont val="Times New Roman"/>
        <family val="1"/>
      </rPr>
      <t>GIAO THẲNG -&gt; HẠ BÃI HẾT</t>
    </r>
  </si>
  <si>
    <r>
      <rPr>
        <sz val="14"/>
        <color rgb="FF081B3A"/>
        <rFont val="Times New Roman"/>
        <family val="1"/>
      </rPr>
      <t xml:space="preserve">2200001863 - 1863.T02.2025/HPDQ-THP 2582TAN đi Hải Phòng HRC1
</t>
    </r>
    <r>
      <rPr>
        <sz val="14"/>
        <color rgb="FFFF0000"/>
        <rFont val="Times New Roman"/>
        <family val="1"/>
      </rPr>
      <t>GIAO THẲNG</t>
    </r>
  </si>
  <si>
    <t>Đã map 2229/2582 (lượng còn lại 11/03 nk)
Có thể mapp đc 2k7 nêu thiếu tải tàu</t>
  </si>
  <si>
    <t>5h00 08/03 Bến 3/5</t>
  </si>
  <si>
    <t>2400001069: 25.T03-25/HPDQ-STEMCOR - SHIUHDONG - HẰNG</t>
  </si>
  <si>
    <t>Nhãn màu xanh</t>
  </si>
  <si>
    <t>2400001070: 25.T03-25/HPDQ-STEMCOR - SHIUHDONG - HẰNG</t>
  </si>
  <si>
    <t>2400001071: 25.T03-25/HPDQ-STEMCOR - SHIUHDONG - HẰNG</t>
  </si>
  <si>
    <t>2400001072: 25.T03-25/HPDQ-STEMCOR - HENLE STEEL - HẰNG</t>
  </si>
  <si>
    <t>2400001073: 25.T03-25/HPDQ-STEMCOR - HENLE STEEL - HẰNG</t>
  </si>
  <si>
    <r>
      <rPr>
        <sz val="14"/>
        <color rgb="FF000000"/>
        <rFont val="Times New Roman"/>
        <family val="1"/>
      </rPr>
      <t xml:space="preserve">2400001039 - 26.T03-25/HPDQ-HW
</t>
    </r>
    <r>
      <rPr>
        <sz val="14"/>
        <color rgb="FFFF0000"/>
        <rFont val="Times New Roman"/>
        <family val="1"/>
      </rPr>
      <t>size 8.80 đạt 25/50t (xỉ xơ cấp - NM không cán bù)</t>
    </r>
  </si>
  <si>
    <t xml:space="preserve">2400001040 - 26.T03-25/HPDQ-HW </t>
  </si>
  <si>
    <t>2400001053 - 43.T04-25/HPDQ-HWA - GIANG</t>
  </si>
  <si>
    <t>2400001054 - 43.T04-25/HPDQ-HWA - GIANG</t>
  </si>
  <si>
    <r>
      <rPr>
        <sz val="14"/>
        <color rgb="FF000000"/>
        <rFont val="Times New Roman"/>
        <family val="1"/>
      </rPr>
      <t>2400001056 - 49.T04-25/HPDQ-STEMCOR -</t>
    </r>
    <r>
      <rPr>
        <b/>
        <sz val="14"/>
        <color rgb="FFFF0000"/>
        <rFont val="Times New Roman"/>
        <family val="1"/>
      </rPr>
      <t xml:space="preserve"> HẰNG </t>
    </r>
  </si>
  <si>
    <t>sản xuất đủ lượng, đang skin + nk 
Nhãn màu xanh</t>
  </si>
  <si>
    <t xml:space="preserve">2400001057 - 49.T04-25/HPDQ-STEMCOR - HẰNG </t>
  </si>
  <si>
    <t xml:space="preserve">2400001058 - 49.T04-25/HPDQ-STEMCOR - HẰNG </t>
  </si>
  <si>
    <t xml:space="preserve">2400001059 - 49.T04-25/HPDQ-STEMCOR - HẰNG </t>
  </si>
  <si>
    <t xml:space="preserve">2400001060 - 49.T04-25/HPDQ-STEMCOR - HẰNG </t>
  </si>
  <si>
    <t xml:space="preserve">2400001061 - 49.T04-25/HPDQ-STEMCOR - HẰNG </t>
  </si>
  <si>
    <t>2400001033 - 28.T03-25/HPDQ-HW - 500MT  
size 7.10 đạt 420/500t (loa cuộn - NM không cán bù)</t>
  </si>
  <si>
    <t>Nhãn màu đỏ</t>
  </si>
  <si>
    <t>2400001036 - 23.T03-25/HPDQ-MI - 1800MT - LINH  
Size 7.10 ok, size 5.00 sx đợt 27-28.02 - Cố gắng nk trước 05.03.25</t>
  </si>
  <si>
    <t xml:space="preserve">2400001037 -24.T03-25/HPDQ-MI - 700MT - LINH  </t>
  </si>
  <si>
    <t>Chỉ map đc 1k4 tấn thôi
Nhãn màu đỏ</t>
  </si>
  <si>
    <t>07.03.2025
NEO</t>
  </si>
  <si>
    <t>08/03 Bến 6</t>
  </si>
  <si>
    <r>
      <rPr>
        <b/>
        <sz val="14"/>
        <color rgb="FF000000"/>
        <rFont val="Times New Roman"/>
        <family val="1"/>
      </rPr>
      <t xml:space="preserve">2200001873 - 1873.T02.2025/HPDQ-OTBD 6792TAN HRC2 đi Bình Dương
</t>
    </r>
    <r>
      <rPr>
        <b/>
        <sz val="14"/>
        <color rgb="FFFF0000"/>
        <rFont val="Times New Roman"/>
        <family val="1"/>
      </rPr>
      <t>GIAO THẲNG</t>
    </r>
  </si>
  <si>
    <t>HRC 2 - Đơn spot đã map 6792 tấn hết hàng tồn kho</t>
  </si>
  <si>
    <t>08.03.2025
NEO</t>
  </si>
  <si>
    <t>5h00 09/03 Bến 3</t>
  </si>
  <si>
    <r>
      <rPr>
        <b/>
        <sz val="14"/>
        <color rgb="FF000000"/>
        <rFont val="Times New Roman"/>
        <family val="1"/>
      </rPr>
      <t xml:space="preserve">2200001855 - 1855.T02.2025/HPDQ-THP 3225TAN HRC1
</t>
    </r>
    <r>
      <rPr>
        <b/>
        <sz val="14"/>
        <color rgb="FFFF0000"/>
        <rFont val="Times New Roman"/>
        <family val="1"/>
      </rPr>
      <t>GIAO THẰNG</t>
    </r>
  </si>
  <si>
    <r>
      <rPr>
        <sz val="14"/>
        <color rgb="FF000000"/>
        <rFont val="Times New Roman"/>
        <family val="1"/>
      </rPr>
      <t xml:space="preserve">2200001872 - 1872.T02.2025/HPDQ-OTHY 2154TAN HRC2 đi Hải Phòng
</t>
    </r>
    <r>
      <rPr>
        <sz val="14"/>
        <color rgb="FFFF0000"/>
        <rFont val="Times New Roman"/>
        <family val="1"/>
      </rPr>
      <t>GIAO THẲNG</t>
    </r>
  </si>
  <si>
    <r>
      <rPr>
        <sz val="14"/>
        <color rgb="FF000000"/>
        <rFont val="Times New Roman"/>
        <family val="1"/>
      </rPr>
      <t xml:space="preserve">2200001881 - 1881.T03.2025/HPDQ-OTHY đi Hải Phòng 255TAN HRC1
</t>
    </r>
    <r>
      <rPr>
        <sz val="14"/>
        <color rgb="FFFF0000"/>
        <rFont val="Times New Roman"/>
        <family val="1"/>
      </rPr>
      <t>GIAO THẲNG</t>
    </r>
  </si>
  <si>
    <r>
      <rPr>
        <sz val="14"/>
        <color rgb="FF000000"/>
        <rFont val="Times New Roman"/>
        <family val="1"/>
      </rPr>
      <t xml:space="preserve">2200001890 - 1890.T03.2025/HPDQ-OTHY đi Hải Phòng 390TAN HRC2
</t>
    </r>
    <r>
      <rPr>
        <sz val="14"/>
        <color rgb="FFFF0000"/>
        <rFont val="Times New Roman"/>
        <family val="1"/>
      </rPr>
      <t>GIAO THẲNG</t>
    </r>
  </si>
  <si>
    <t>HRC 2 - Đơn spot đã map 259 tấn hết hàng</t>
  </si>
  <si>
    <t>11.70x1500 SS400 để lại 65 tấn NM gia công
SPA-H để lại 45 tấn bán cho HPC</t>
  </si>
  <si>
    <r>
      <rPr>
        <sz val="14"/>
        <color rgb="FF000000"/>
        <rFont val="Times New Roman"/>
        <family val="1"/>
      </rPr>
      <t xml:space="preserve">2200001889 - 1889.T03.2025/HPDQ-OTHY đi Hải Phòng 606TAN HRC2
</t>
    </r>
    <r>
      <rPr>
        <sz val="14"/>
        <color rgb="FFFF0000"/>
        <rFont val="Times New Roman"/>
        <family val="1"/>
      </rPr>
      <t>GIAO THẲNG</t>
    </r>
  </si>
  <si>
    <t xml:space="preserve">HRC 2 - Đơn spot đã map 486 tấn hết hàng, </t>
  </si>
  <si>
    <t>117 tấn mác SPA-H để lại bán cho HPC</t>
  </si>
  <si>
    <t>08.03.2025</t>
  </si>
  <si>
    <t>18h00 10/03 Bến 3</t>
  </si>
  <si>
    <t>Map Ta Phut</t>
  </si>
  <si>
    <t>2400001055 - 21.T03-25/HPDQ-SST - 3.400T - lệnh ok</t>
  </si>
  <si>
    <t>08-09.03.2025
Dỡ đá -&gt; nhận HRC</t>
  </si>
  <si>
    <t>11h00 09/03 Bến 3/5</t>
  </si>
  <si>
    <r>
      <rPr>
        <b/>
        <sz val="14"/>
        <color rgb="FF000000"/>
        <rFont val="Times New Roman"/>
        <family val="1"/>
      </rPr>
      <t xml:space="preserve">2000002677 - 310.T01.2025/HPDQ-TCĐ đi Hải Phòng 2K TAN
</t>
    </r>
    <r>
      <rPr>
        <b/>
        <sz val="14"/>
        <color rgb="FFFF0000"/>
        <rFont val="Times New Roman"/>
        <family val="1"/>
      </rPr>
      <t>GIAO THẲNG</t>
    </r>
  </si>
  <si>
    <r>
      <rPr>
        <sz val="14"/>
        <color rgb="FF000000"/>
        <rFont val="Times New Roman"/>
        <family val="1"/>
      </rPr>
      <t xml:space="preserve">2200001867 - 1867.T03.2025/HPDQ-OTHY-KH 40K7TAN HRC2 đi Hải Phòng
</t>
    </r>
    <r>
      <rPr>
        <sz val="14"/>
        <color rgb="FFFF0000"/>
        <rFont val="Times New Roman"/>
        <family val="1"/>
      </rPr>
      <t>HẠ BÃI -&gt; GIAO THẮNG</t>
    </r>
  </si>
  <si>
    <t>HRC 2 - Đã mapping 6k6. Chốt đơn hàng</t>
  </si>
  <si>
    <r>
      <rPr>
        <sz val="14"/>
        <color rgb="FF000000"/>
        <rFont val="Times New Roman"/>
        <family val="1"/>
      </rPr>
      <t xml:space="preserve">2200001875 - 1875.T03.2025/HPDQ-OTHY-KH 3400TAN HRC2 đi Hải Phòng
</t>
    </r>
    <r>
      <rPr>
        <sz val="14"/>
        <color rgb="FFFF0000"/>
        <rFont val="Times New Roman"/>
        <family val="1"/>
      </rPr>
      <t>HẠ BÃI -&gt; GIAO THẮNG</t>
    </r>
  </si>
  <si>
    <t>HRC 2 - Hàng hóa ok, đã map 3449 tấn.</t>
  </si>
  <si>
    <r>
      <rPr>
        <sz val="14"/>
        <color rgb="FF000000"/>
        <rFont val="Times New Roman"/>
        <family val="1"/>
      </rPr>
      <t xml:space="preserve">2000002598 - 279.T01.2025/HPDQ-HN (lệnh ok)  10/3 duyệt lệnh
</t>
    </r>
    <r>
      <rPr>
        <sz val="14"/>
        <color rgb="FFFF0000"/>
        <rFont val="Times New Roman"/>
        <family val="1"/>
      </rPr>
      <t>GIAO THẲNG</t>
    </r>
  </si>
  <si>
    <r>
      <rPr>
        <sz val="14"/>
        <color rgb="FF000000"/>
        <rFont val="Times New Roman"/>
        <family val="1"/>
      </rPr>
      <t xml:space="preserve">2000002683 - 307.T02.2025/HPDQ-HN (300 tấn) 10/3 lệnh ok
</t>
    </r>
    <r>
      <rPr>
        <sz val="14"/>
        <color rgb="FFFF0000"/>
        <rFont val="Times New Roman"/>
        <family val="1"/>
      </rPr>
      <t>GIAO THẲNG</t>
    </r>
  </si>
  <si>
    <r>
      <rPr>
        <sz val="14"/>
        <color rgb="FF000000"/>
        <rFont val="Times New Roman"/>
        <family val="1"/>
      </rPr>
      <t xml:space="preserve">2000002690 - 323A.T03.2025/HPDQ-HANOIS (3,945 tấn) 10/3 lệnh ok
</t>
    </r>
    <r>
      <rPr>
        <sz val="14"/>
        <color rgb="FFFF0000"/>
        <rFont val="Times New Roman"/>
        <family val="1"/>
      </rPr>
      <t>GIAO THẰNG</t>
    </r>
  </si>
  <si>
    <r>
      <rPr>
        <sz val="14"/>
        <color rgb="FF000000"/>
        <rFont val="Times New Roman"/>
        <family val="1"/>
      </rPr>
      <t xml:space="preserve">size 6.00 cần mở dung sai 30% mới mapping được (đã mở dung sai 30%) nhưng tổng cả đơn vẫn phải là 10%
</t>
    </r>
    <r>
      <rPr>
        <sz val="14"/>
        <color rgb="FFFF0000"/>
        <rFont val="Times New Roman"/>
        <family val="1"/>
      </rPr>
      <t xml:space="preserve">KHÁCH YÊU CẦU CHỤP ẢNH TRƯƠC KHI XUẤT HÀNG </t>
    </r>
  </si>
  <si>
    <r>
      <rPr>
        <sz val="14"/>
        <color rgb="FF000000"/>
        <rFont val="Times New Roman"/>
        <family val="1"/>
      </rPr>
      <t xml:space="preserve">2200001877 - 1877.T03.2025/HPDQ-THP đi Hải Phòng 2128TAN HRC1
</t>
    </r>
    <r>
      <rPr>
        <sz val="14"/>
        <color rgb="FFFF0000"/>
        <rFont val="Times New Roman"/>
        <family val="1"/>
      </rPr>
      <t>GIAO THẲNG</t>
    </r>
  </si>
  <si>
    <t>Chốt mapping - hụt 2 cuộn</t>
  </si>
  <si>
    <r>
      <rPr>
        <sz val="14"/>
        <color rgb="FF000000"/>
        <rFont val="Times New Roman"/>
        <family val="1"/>
      </rPr>
      <t xml:space="preserve">2200001884 - 1884.T03.2025/HPDQ-THP đi Hải Phòng 1735TAN HRC2
</t>
    </r>
    <r>
      <rPr>
        <sz val="14"/>
        <color rgb="FFFF0000"/>
        <rFont val="Times New Roman"/>
        <family val="1"/>
      </rPr>
      <t>GIAO THẲNG</t>
    </r>
  </si>
  <si>
    <t>HRC 2 - Đơn spot đã map 1124 tấn hết hàng tồn kho</t>
  </si>
  <si>
    <r>
      <rPr>
        <sz val="14"/>
        <color rgb="FF081B3A"/>
        <rFont val="Times New Roman"/>
        <family val="1"/>
      </rPr>
      <t xml:space="preserve">2200001880 - 1880.T03.2025/HPDQ-OTHY đi Hải Phòng 353TAN HRC1
</t>
    </r>
    <r>
      <rPr>
        <sz val="14"/>
        <color rgb="FFFF0000"/>
        <rFont val="Times New Roman"/>
        <family val="1"/>
      </rPr>
      <t>HẠ BÃI -&gt; GIAO THẮNG</t>
    </r>
  </si>
  <si>
    <r>
      <rPr>
        <sz val="14"/>
        <color rgb="FF000000"/>
        <rFont val="Times New Roman"/>
        <family val="1"/>
      </rPr>
      <t xml:space="preserve">2000002632 - 306.T02.2025/HPDQ-PVX - 2.000T (LỆNH OK)
</t>
    </r>
    <r>
      <rPr>
        <sz val="14"/>
        <color rgb="FFFF0000"/>
        <rFont val="Times New Roman"/>
        <family val="1"/>
      </rPr>
      <t>GIAO THẲNG</t>
    </r>
  </si>
  <si>
    <t>LỆNH OK</t>
  </si>
  <si>
    <r>
      <rPr>
        <sz val="14"/>
        <color rgb="FF000000"/>
        <rFont val="Times New Roman"/>
        <family val="1"/>
      </rPr>
      <t xml:space="preserve">2000002685 - 327B.T03.2025/HPDQ-CTC(HP) - 300 tấn
</t>
    </r>
    <r>
      <rPr>
        <sz val="14"/>
        <color rgb="FFFF0000"/>
        <rFont val="Times New Roman"/>
        <family val="1"/>
      </rPr>
      <t>GIAO THẲNG</t>
    </r>
  </si>
  <si>
    <r>
      <rPr>
        <sz val="14"/>
        <color rgb="FF000000"/>
        <rFont val="Times New Roman"/>
        <family val="1"/>
      </rPr>
      <t xml:space="preserve">2000002707 - 333.T02.2025/HPDQ-TMPHD đi Hải Phòng 10K TAN
</t>
    </r>
    <r>
      <rPr>
        <b/>
        <sz val="14"/>
        <color rgb="FFFF0000"/>
        <rFont val="Times New Roman"/>
        <family val="1"/>
      </rPr>
      <t>GIAO THẲNG - CÂN TẢI</t>
    </r>
  </si>
  <si>
    <t>Đã mapping 5k2 (ngày 11 nk thêm 800t)
Lượng còn lại ~4k: 19-20/03 nk</t>
  </si>
  <si>
    <t>08-09.03.2025
NEO</t>
  </si>
  <si>
    <t>10/03 Bến 6</t>
  </si>
  <si>
    <r>
      <rPr>
        <sz val="14"/>
        <color rgb="FF000000"/>
        <rFont val="Times New Roman"/>
        <family val="1"/>
      </rPr>
      <t xml:space="preserve">2200001870 - 1870.T03.2025/HPDQ-OTBD-KH 11KTAN HRC2 đi Bình Dương
</t>
    </r>
    <r>
      <rPr>
        <sz val="14"/>
        <color rgb="FFFF0000"/>
        <rFont val="Times New Roman"/>
        <family val="1"/>
      </rPr>
      <t>GIAO THẲNG</t>
    </r>
  </si>
  <si>
    <t>10.03.2025
NEO</t>
  </si>
  <si>
    <t>10h00 12/03 Bến 2</t>
  </si>
  <si>
    <t>12/3 cần vào làm hàng</t>
  </si>
  <si>
    <r>
      <rPr>
        <b/>
        <sz val="14"/>
        <color rgb="FF000000"/>
        <rFont val="Times New Roman"/>
        <family val="1"/>
      </rPr>
      <t xml:space="preserve">2000002692  - 350.T03.2025/HPDQ-JFE (TDA)  (LOT 1) - 2.000T
</t>
    </r>
    <r>
      <rPr>
        <b/>
        <sz val="14"/>
        <color rgb="FFFF0000"/>
        <rFont val="Times New Roman"/>
        <family val="1"/>
      </rPr>
      <t>GIAO THẲNG</t>
    </r>
  </si>
  <si>
    <t>dự kiến 11/03 duyệt lệnh,</t>
  </si>
  <si>
    <t>12/03 Bến 2</t>
  </si>
  <si>
    <r>
      <rPr>
        <sz val="14"/>
        <color rgb="FF000000"/>
        <rFont val="Times New Roman"/>
        <family val="1"/>
      </rPr>
      <t xml:space="preserve">2000002713  - 350.T03.2025/HPDQ-JFE (TDA) (LOT 2) - 1.700T
</t>
    </r>
    <r>
      <rPr>
        <sz val="14"/>
        <color rgb="FFFF0000"/>
        <rFont val="Times New Roman"/>
        <family val="1"/>
      </rPr>
      <t>GIAO THẲNG
DỠ POSCO -&gt; PHÚ MỸ</t>
    </r>
  </si>
  <si>
    <t xml:space="preserve">HRC 1 Hàng hóa ok </t>
  </si>
  <si>
    <t>dự kiến 11/03 duyệt lệnh</t>
  </si>
  <si>
    <t>11.03.2025
NEO</t>
  </si>
  <si>
    <t>13h00 13/03 Bến Tàu 2</t>
  </si>
  <si>
    <r>
      <rPr>
        <b/>
        <sz val="14"/>
        <color rgb="FF000000"/>
        <rFont val="Times New Roman"/>
        <family val="1"/>
      </rPr>
      <t xml:space="preserve">2000002637 - 297.T01.2025/HPDQ-KKNH (lot 3)
</t>
    </r>
    <r>
      <rPr>
        <b/>
        <sz val="14"/>
        <color rgb="FFFF0000"/>
        <rFont val="Times New Roman"/>
        <family val="1"/>
      </rPr>
      <t>GIAO THẲNG</t>
    </r>
    <r>
      <rPr>
        <b/>
        <sz val="14"/>
        <color rgb="FF000000"/>
        <rFont val="Times New Roman"/>
        <family val="1"/>
      </rPr>
      <t xml:space="preserve"> (TT ĐỢT 2 LSD 15/03)</t>
    </r>
  </si>
  <si>
    <r>
      <rPr>
        <sz val="14"/>
        <color rgb="FF000000"/>
        <rFont val="Times New Roman"/>
        <family val="1"/>
      </rPr>
      <t xml:space="preserve">2000002638 - 297.T01.2025/HPDQ-KKNH (lot 4)
</t>
    </r>
    <r>
      <rPr>
        <b/>
        <sz val="14"/>
        <color rgb="FFFF0000"/>
        <rFont val="Times New Roman"/>
        <family val="1"/>
      </rPr>
      <t>HẠ BÃI</t>
    </r>
    <r>
      <rPr>
        <sz val="14"/>
        <color rgb="FF000000"/>
        <rFont val="Times New Roman"/>
        <family val="1"/>
      </rPr>
      <t xml:space="preserve"> (TT ĐỢT 2 LSD 15/03)</t>
    </r>
  </si>
  <si>
    <r>
      <rPr>
        <sz val="14"/>
        <color rgb="FF000000"/>
        <rFont val="Times New Roman"/>
        <family val="1"/>
      </rPr>
      <t xml:space="preserve">2000002657 - 222A1 MOV(VNO) - Cẩm Nguyên (hàng sx tháng 3) (Giao cuối nhịp 1 đầu nhịp 2, LSD 15/03) 
</t>
    </r>
    <r>
      <rPr>
        <sz val="14"/>
        <color rgb="FFFF0000"/>
        <rFont val="Times New Roman"/>
        <family val="1"/>
      </rPr>
      <t>GIAO THẲNG</t>
    </r>
  </si>
  <si>
    <t>Nếu rớt cơ tính thì chỉ map đc 739 tấn</t>
  </si>
  <si>
    <r>
      <rPr>
        <sz val="14"/>
        <color rgb="FF000000"/>
        <rFont val="Times New Roman"/>
        <family val="1"/>
      </rPr>
      <t xml:space="preserve">2000002669 - 222B1 MOV(VNO) - Cẩm Nguyên (Giao cuối nhịp 1 đầu nhịp 2, LSD 15/03)
</t>
    </r>
    <r>
      <rPr>
        <sz val="14"/>
        <color rgb="FFFF0000"/>
        <rFont val="Times New Roman"/>
        <family val="1"/>
      </rPr>
      <t>GIAO THẲNG</t>
    </r>
  </si>
  <si>
    <r>
      <rPr>
        <sz val="14"/>
        <color rgb="FF000000"/>
        <rFont val="Times New Roman"/>
        <family val="1"/>
      </rPr>
      <t xml:space="preserve">2000002640 - 309.T01.2025/HPDQ-TMP-TM 25.900T
</t>
    </r>
    <r>
      <rPr>
        <sz val="14"/>
        <color rgb="FFFF0000"/>
        <rFont val="Times New Roman"/>
        <family val="1"/>
      </rPr>
      <t>KHÁCH YC HẠ BÃI</t>
    </r>
  </si>
  <si>
    <t>Lượng này là mapping dương, cho xuất nốt</t>
  </si>
  <si>
    <r>
      <rPr>
        <sz val="14"/>
        <color rgb="FF000000"/>
        <rFont val="Times New Roman"/>
        <family val="1"/>
      </rPr>
      <t xml:space="preserve">2000002607 - 383.T02.2025/HPDQ-TMP-BBC đi QT LA 182TAN
</t>
    </r>
    <r>
      <rPr>
        <sz val="14"/>
        <color rgb="FFFF0000"/>
        <rFont val="Times New Roman"/>
        <family val="1"/>
      </rPr>
      <t>KHÁCH YC HẠ BÃI</t>
    </r>
  </si>
  <si>
    <r>
      <rPr>
        <sz val="14"/>
        <color rgb="FF000000"/>
        <rFont val="Times New Roman"/>
        <family val="1"/>
      </rPr>
      <t xml:space="preserve">2000002608 - 384.T02.2025/HPDQ-TMP-BBC đi QT LA 395TAN
</t>
    </r>
    <r>
      <rPr>
        <sz val="14"/>
        <color rgb="FFFF0000"/>
        <rFont val="Times New Roman"/>
        <family val="1"/>
      </rPr>
      <t>KHÁCH YC HẠ BÃI</t>
    </r>
  </si>
  <si>
    <t>11-12.03.2025
NEO</t>
  </si>
  <si>
    <t>13/03 Bến 3</t>
  </si>
  <si>
    <t>13/3 mới có hết lệnh</t>
  </si>
  <si>
    <r>
      <rPr>
        <b/>
        <sz val="14"/>
        <color rgb="FF000000"/>
        <rFont val="Times New Roman"/>
        <family val="1"/>
      </rPr>
      <t xml:space="preserve">2000002684 - Tiến Lên T02- 100T - Tân Thuận (giao nhịp 2- giao thẳng)
</t>
    </r>
    <r>
      <rPr>
        <b/>
        <sz val="14"/>
        <color rgb="FFFF0000"/>
        <rFont val="Times New Roman"/>
        <family val="1"/>
      </rPr>
      <t>GIAO THẲNG</t>
    </r>
  </si>
  <si>
    <t>HRC 2 - Hàng hóa ok, đã map 106 tấn</t>
  </si>
  <si>
    <r>
      <rPr>
        <sz val="14"/>
        <color rgb="FF000000"/>
        <rFont val="Times New Roman"/>
        <family val="1"/>
      </rPr>
      <t xml:space="preserve">2000002593 - 291A.T01.2025/HPDQ-CNQHP (hạ bãi- giao nhịp 2)
</t>
    </r>
    <r>
      <rPr>
        <sz val="14"/>
        <color rgb="FFFF0000"/>
        <rFont val="Times New Roman"/>
        <family val="1"/>
      </rPr>
      <t>HẠ BÃI</t>
    </r>
  </si>
  <si>
    <r>
      <rPr>
        <sz val="14"/>
        <color rgb="FF000000"/>
        <rFont val="Times New Roman"/>
        <family val="1"/>
      </rPr>
      <t xml:space="preserve">2000002594 - 291B.T01.2025/HPDQ-CNQHP (hạ bãi- giao nhịp 2)
</t>
    </r>
    <r>
      <rPr>
        <sz val="14"/>
        <color rgb="FFFF0000"/>
        <rFont val="Times New Roman"/>
        <family val="1"/>
      </rPr>
      <t>HẠ BÃI</t>
    </r>
  </si>
  <si>
    <r>
      <rPr>
        <sz val="14"/>
        <color rgb="FF000000"/>
        <rFont val="Times New Roman"/>
        <family val="1"/>
      </rPr>
      <t xml:space="preserve">2200001882 - 1882.T03.2025/HPDQ-OTBD - Tân Thuận 48TAN HRC1
</t>
    </r>
    <r>
      <rPr>
        <sz val="14"/>
        <color rgb="FFFF0000"/>
        <rFont val="Times New Roman"/>
        <family val="1"/>
      </rPr>
      <t>GIAO THẲNG</t>
    </r>
  </si>
  <si>
    <r>
      <rPr>
        <sz val="14"/>
        <color rgb="FF000000"/>
        <rFont val="Times New Roman"/>
        <family val="1"/>
      </rPr>
      <t xml:space="preserve">2000002686 - 327A.T03.2025/HPDQ-CTC(TT) - 500 tấn 
</t>
    </r>
    <r>
      <rPr>
        <sz val="14"/>
        <color rgb="FFFF0000"/>
        <rFont val="Times New Roman"/>
        <family val="1"/>
      </rPr>
      <t>GIAO THẲNG</t>
    </r>
  </si>
  <si>
    <r>
      <rPr>
        <sz val="14"/>
        <color rgb="FF000000"/>
        <rFont val="Times New Roman"/>
        <family val="1"/>
      </rPr>
      <t xml:space="preserve">2200001888 - 1888.T03.2025/HPDQ-OTBD-Tân Thuận 43TAN HRC2
</t>
    </r>
    <r>
      <rPr>
        <sz val="14"/>
        <color rgb="FFFF0000"/>
        <rFont val="Times New Roman"/>
        <family val="1"/>
      </rPr>
      <t>GIAO THẲNG</t>
    </r>
  </si>
  <si>
    <r>
      <rPr>
        <sz val="14"/>
        <color rgb="FF000000"/>
        <rFont val="Times New Roman"/>
        <family val="1"/>
      </rPr>
      <t xml:space="preserve">2200001871 - 1871.T03.2025/HPDQ-OTBD-TÂN THUẬN 45TAN HRC2 đi Tân Thuận
</t>
    </r>
    <r>
      <rPr>
        <sz val="14"/>
        <color rgb="FFFF0000"/>
        <rFont val="Times New Roman"/>
        <family val="1"/>
      </rPr>
      <t>GIAO THẲNG</t>
    </r>
  </si>
  <si>
    <t>HRC 2 - Hàng hóa ok, đã map đủ</t>
  </si>
  <si>
    <r>
      <rPr>
        <sz val="14"/>
        <color rgb="FF000000"/>
        <rFont val="Times New Roman"/>
        <family val="1"/>
      </rPr>
      <t xml:space="preserve">2000002708 - 335.T2.2025/HPDQ-TMPHD - 9.000T 
</t>
    </r>
    <r>
      <rPr>
        <b/>
        <sz val="14"/>
        <color rgb="FFFF0000"/>
        <rFont val="Times New Roman"/>
        <family val="1"/>
      </rPr>
      <t>HẠ BÃI - CÂN TẢI</t>
    </r>
  </si>
  <si>
    <t>Đã mapping 7k  (ngày 11 nk thêm 500t)
2k còn lại  19-20/03 NK</t>
  </si>
  <si>
    <t>12.03.2025
NEO</t>
  </si>
  <si>
    <t>14h00 14/03 Bến 1</t>
  </si>
  <si>
    <r>
      <rPr>
        <b/>
        <sz val="14"/>
        <color rgb="FF000000"/>
        <rFont val="Times New Roman"/>
        <family val="1"/>
      </rPr>
      <t xml:space="preserve">2200001870 - 1870.T03.2025/HPDQ-OTBD-KH 11KTAN HRC2 đi Bình Dương
</t>
    </r>
    <r>
      <rPr>
        <b/>
        <sz val="14"/>
        <color rgb="FFFF0000"/>
        <rFont val="Times New Roman"/>
        <family val="1"/>
      </rPr>
      <t>GIAO THẲNG</t>
    </r>
  </si>
  <si>
    <r>
      <rPr>
        <sz val="14"/>
        <color rgb="FF000000"/>
        <rFont val="Times New Roman"/>
        <family val="1"/>
      </rPr>
      <t xml:space="preserve">2200001876 - 1876.T03.2025/HPDQ-SPTLA-KH đi Cẩm Nguyên 2600TAN HRC2
</t>
    </r>
    <r>
      <rPr>
        <sz val="14"/>
        <color rgb="FFFF0000"/>
        <rFont val="Times New Roman"/>
        <family val="1"/>
      </rPr>
      <t>GIAO THẲNG</t>
    </r>
  </si>
  <si>
    <t xml:space="preserve">HRC 2 - Hàng hóa ok, đã map 2660 t và chốt SO </t>
  </si>
  <si>
    <t>12-13.03.2025
NEO</t>
  </si>
  <si>
    <t>13/03 Bến Tàu lai</t>
  </si>
  <si>
    <r>
      <rPr>
        <b/>
        <sz val="14"/>
        <color rgb="FF000000"/>
        <rFont val="Times New Roman"/>
        <family val="1"/>
      </rPr>
      <t xml:space="preserve">2200001856 - 1856.T02.2025/HPDQ-OTBD 2059TAN HRC1
</t>
    </r>
    <r>
      <rPr>
        <b/>
        <sz val="14"/>
        <color rgb="FFFF0000"/>
        <rFont val="Times New Roman"/>
        <family val="1"/>
      </rPr>
      <t>GIAO THẲNG</t>
    </r>
  </si>
  <si>
    <r>
      <rPr>
        <sz val="14"/>
        <color rgb="FF000000"/>
        <rFont val="Times New Roman"/>
        <family val="1"/>
      </rPr>
      <t xml:space="preserve">2200001879 - 1879.T03.2025/HPDQ-OTBD đi Long Bình 967TAN HRC1
</t>
    </r>
    <r>
      <rPr>
        <sz val="14"/>
        <color rgb="FFFF0000"/>
        <rFont val="Times New Roman"/>
        <family val="1"/>
      </rPr>
      <t>GIAO THẲNG</t>
    </r>
  </si>
  <si>
    <t>Hụt 6 cuộn spot - chốt mapping 840t</t>
  </si>
  <si>
    <r>
      <rPr>
        <sz val="14"/>
        <color rgb="FF000000"/>
        <rFont val="Times New Roman"/>
        <family val="1"/>
      </rPr>
      <t xml:space="preserve">2200001891 - 1891.T03.2025/HPDQ-OTBD đi Long Bình 825TAN HRC2
</t>
    </r>
    <r>
      <rPr>
        <sz val="14"/>
        <color rgb="FFFF0000"/>
        <rFont val="Times New Roman"/>
        <family val="1"/>
      </rPr>
      <t>GIAO THẲNG</t>
    </r>
  </si>
  <si>
    <t xml:space="preserve">HRC 2 - Đơn spot đã map 786 tấn và chốt SO. </t>
  </si>
  <si>
    <r>
      <rPr>
        <sz val="14"/>
        <color rgb="FF000000"/>
        <rFont val="Times New Roman"/>
        <family val="1"/>
      </rPr>
      <t xml:space="preserve">2200001886 - 1886.T03.2025/HPDQ-OTBD đi Long Bình 1349TAN HRC2
</t>
    </r>
    <r>
      <rPr>
        <sz val="14"/>
        <color rgb="FFFF0000"/>
        <rFont val="Times New Roman"/>
        <family val="1"/>
      </rPr>
      <t>GIAO THẲNG</t>
    </r>
  </si>
  <si>
    <t>HRC 2 - Hàng hóa ok, đã map 1368 tấn</t>
  </si>
  <si>
    <r>
      <rPr>
        <sz val="14"/>
        <color rgb="FF000000"/>
        <rFont val="Times New Roman"/>
        <family val="1"/>
      </rPr>
      <t xml:space="preserve">2200001870 - 1870.T03.2025/HPDQ-OTBD-KH 11KTAN HRC2 đi Bình Dương
</t>
    </r>
    <r>
      <rPr>
        <sz val="14"/>
        <color rgb="FFFF0000"/>
        <rFont val="Times New Roman"/>
        <family val="1"/>
      </rPr>
      <t>GIAO THẲNG - CÂN TẢI</t>
    </r>
  </si>
  <si>
    <t>TRIỆU PHÚ 256</t>
  </si>
  <si>
    <t>14.03.2025
NEO</t>
  </si>
  <si>
    <t>11h00 15/03 Bến 3/5</t>
  </si>
  <si>
    <r>
      <rPr>
        <b/>
        <sz val="14"/>
        <color rgb="FF000000"/>
        <rFont val="Times New Roman"/>
        <family val="1"/>
      </rPr>
      <t xml:space="preserve">2200001869 - 1869.T03.2025/HPDQ-OTĐN-KH 12K3TAN HRC2 
</t>
    </r>
    <r>
      <rPr>
        <b/>
        <sz val="14"/>
        <color rgb="FFFF0000"/>
        <rFont val="Times New Roman"/>
        <family val="1"/>
      </rPr>
      <t>GIAO THẲNG</t>
    </r>
  </si>
  <si>
    <t>HRC 2 - Hàng hóa ok, SO đã map 12,432 tấn. Chốt SO</t>
  </si>
  <si>
    <t>Xuất những size sau:
2.95x1250 - 200T
3.45x1250 - 300T
2.35x1260 - 1.500T
2.95x1260 - 1.270T</t>
  </si>
  <si>
    <t>15-16.03.2025
Dỡ đá -&gt; nhận HRC</t>
  </si>
  <si>
    <t>12h00 15/03 Bến 2</t>
  </si>
  <si>
    <r>
      <rPr>
        <b/>
        <sz val="14"/>
        <color rgb="FF000000"/>
        <rFont val="Times New Roman"/>
        <family val="1"/>
      </rPr>
      <t xml:space="preserve">2000002697 -  318B.T02.2025/HPDQ-KKNH - 10.000T - 2.500T
</t>
    </r>
    <r>
      <rPr>
        <b/>
        <sz val="14"/>
        <color rgb="FFFF0000"/>
        <rFont val="Times New Roman"/>
        <family val="1"/>
      </rPr>
      <t>HẠ BÃI - XUẤT HẾT MAPPING</t>
    </r>
  </si>
  <si>
    <r>
      <rPr>
        <sz val="14"/>
        <color rgb="FF000000"/>
        <rFont val="Times New Roman"/>
        <family val="1"/>
      </rPr>
      <t xml:space="preserve">2000002698 -  318B.T02.2025/HPDQ-KKNH - 10.000T - 2.500T
</t>
    </r>
    <r>
      <rPr>
        <b/>
        <sz val="14"/>
        <color rgb="FFFF0000"/>
        <rFont val="Times New Roman"/>
        <family val="1"/>
      </rPr>
      <t>HẠ BÃI - CÂN TẢI (XUẤT HẾT SIZE 2.3 + THÊM SIZE 2.75)</t>
    </r>
  </si>
  <si>
    <t>13-14.03.2025
Dỡ phế -&gt; nhận HRC</t>
  </si>
  <si>
    <t>13h00 15/03 Bến 1</t>
  </si>
  <si>
    <t>Vật Cách</t>
  </si>
  <si>
    <r>
      <rPr>
        <b/>
        <sz val="14"/>
        <color rgb="FF000000"/>
        <rFont val="Times New Roman"/>
        <family val="1"/>
      </rPr>
      <t xml:space="preserve">2000002691 - 323B.T03.2025/HPDQ-VINAS - 6055 tấn 
</t>
    </r>
    <r>
      <rPr>
        <b/>
        <sz val="14"/>
        <color rgb="FFFF0000"/>
        <rFont val="Times New Roman"/>
        <family val="1"/>
      </rPr>
      <t>GIAO THẲNG</t>
    </r>
  </si>
  <si>
    <t>15.03.2025
Dỡ đá -&gt; nhận HRC</t>
  </si>
  <si>
    <t>22h00 15/03 Bến Tàu lai</t>
  </si>
  <si>
    <r>
      <rPr>
        <b/>
        <sz val="14"/>
        <color rgb="FF000000"/>
        <rFont val="Times New Roman"/>
        <family val="1"/>
      </rPr>
      <t xml:space="preserve">2200001892 - 1892.T03.2025/HPDQ-THP đi Hải Phòng 2970TAN HRC1
</t>
    </r>
    <r>
      <rPr>
        <b/>
        <sz val="14"/>
        <color rgb="FFFF0000"/>
        <rFont val="Times New Roman"/>
        <family val="1"/>
      </rPr>
      <t>GIAO THẲNG</t>
    </r>
  </si>
  <si>
    <t>HRC 1 - Hàng hóa ok
Hang spot</t>
  </si>
  <si>
    <r>
      <rPr>
        <sz val="14"/>
        <color rgb="FF000000"/>
        <rFont val="Times New Roman"/>
        <family val="1"/>
      </rPr>
      <t xml:space="preserve">2200001894 - 1894.T03.2025/HPDQ-OTHY đi Hải Phòng 874TAN HRC1
</t>
    </r>
    <r>
      <rPr>
        <sz val="14"/>
        <color rgb="FFFF0000"/>
        <rFont val="Times New Roman"/>
        <family val="1"/>
      </rPr>
      <t>GIAO THẲNG</t>
    </r>
  </si>
  <si>
    <t>Chỉ map được ~650t (đã báo Mr.Huy)</t>
  </si>
  <si>
    <t>14-15/03 Bến 3/5</t>
  </si>
  <si>
    <r>
      <rPr>
        <b/>
        <sz val="14"/>
        <color rgb="FF000000"/>
        <rFont val="Times New Roman"/>
        <family val="1"/>
      </rPr>
      <t xml:space="preserve">2000002668 - 320A.T02.2025/HPDQ-HSNS - lệnh ok
HSNS - 14.700T
</t>
    </r>
    <r>
      <rPr>
        <b/>
        <sz val="14"/>
        <color rgb="FFFF0000"/>
        <rFont val="Times New Roman"/>
        <family val="1"/>
      </rPr>
      <t>GIAO THẲNG</t>
    </r>
  </si>
  <si>
    <t>HRC 2  - Tồn kho 4k5. Còn 1k5 đã có hàng còn làm thủ tục SAP chuyển từ kho 1519 plant 1000 về kho 1506 plant 1600 xuất bán, dự kiến ngày 17/3 xong</t>
  </si>
  <si>
    <t>14-15.03.2025</t>
  </si>
  <si>
    <t>16/03 Bến 2</t>
  </si>
  <si>
    <r>
      <rPr>
        <b/>
        <sz val="14"/>
        <color rgb="FF000000"/>
        <rFont val="Times New Roman"/>
        <family val="1"/>
      </rPr>
      <t xml:space="preserve">2200001870 - 1870.T03.2025/HPDQ-OTBD-KH 11KTAN HRC2 đi Bình Dương
</t>
    </r>
    <r>
      <rPr>
        <b/>
        <sz val="14"/>
        <color rgb="FFFF0000"/>
        <rFont val="Times New Roman"/>
        <family val="1"/>
      </rPr>
      <t>GIAO THẲNG - CÂN TẢI</t>
    </r>
  </si>
  <si>
    <r>
      <rPr>
        <sz val="14"/>
        <color rgb="FF000000"/>
        <rFont val="Times New Roman"/>
        <family val="1"/>
      </rPr>
      <t xml:space="preserve">2000002612 - 289.T01/HPDQ-SMC - 500T - </t>
    </r>
    <r>
      <rPr>
        <sz val="14"/>
        <color rgb="FFFF0000"/>
        <rFont val="Times New Roman"/>
        <family val="1"/>
      </rPr>
      <t>lệnh ok
GIAO THẲNG</t>
    </r>
  </si>
  <si>
    <t>17.03.2025
Dỡ hàng Quy Nhơn -&gt; nhận HRC</t>
  </si>
  <si>
    <t>18/03 Bến 1</t>
  </si>
  <si>
    <r>
      <rPr>
        <b/>
        <sz val="14"/>
        <color rgb="FF000000"/>
        <rFont val="Times New Roman"/>
        <family val="1"/>
      </rPr>
      <t xml:space="preserve">2000002691 - 323B.T03.2025/HPDQ-VINAS - 6055 tấn
</t>
    </r>
    <r>
      <rPr>
        <b/>
        <sz val="14"/>
        <color rgb="FFFF0000"/>
        <rFont val="Times New Roman"/>
        <family val="1"/>
      </rPr>
      <t>GIAO THẲNG</t>
    </r>
  </si>
  <si>
    <r>
      <rPr>
        <sz val="14"/>
        <color rgb="FF000000"/>
        <rFont val="Times New Roman"/>
        <family val="1"/>
      </rPr>
      <t xml:space="preserve">2000002707 - 333.T02.2025/HPDQ-TMPHD đi Hải Phòng 10K TAN
</t>
    </r>
    <r>
      <rPr>
        <b/>
        <sz val="14"/>
        <color rgb="FFFF0000"/>
        <rFont val="Times New Roman"/>
        <family val="1"/>
      </rPr>
      <t>GIAO THẲNG</t>
    </r>
  </si>
  <si>
    <t xml:space="preserve">HRC 1 - Hàng hóa ok, Đã mapping 10k </t>
  </si>
  <si>
    <t>VALENTE VENUS</t>
  </si>
  <si>
    <t>17.03.2025</t>
  </si>
  <si>
    <t>20-21/03 C.TH</t>
  </si>
  <si>
    <t>2400001041 - 29.T03-25/HPDQ-GS (SPHC SKINPASS) - GIANG</t>
  </si>
  <si>
    <t>2400001042 - 29.T03-25/HPDQ-GS (S275JR SKINPASS)</t>
  </si>
  <si>
    <t>Size 2.45 đạt 89%</t>
  </si>
  <si>
    <t>2400001043 - 29.T03-25/HPDQ-GS (S275JR NON-SKINPASS)</t>
  </si>
  <si>
    <t>2400001085 - 30.T03-25/HPDQ-GS - HẰNG
hàng hóa ok</t>
  </si>
  <si>
    <t>2400001086 - 30.T03-25/HPDQ-GS - HẰNG
hàng hóa ok</t>
  </si>
  <si>
    <t>2400001087 - 30.T03-25/HPDQ-GS - HẰNG
hàng hóa ok - 1 cuộn hụt CW</t>
  </si>
  <si>
    <t>2400001062 - 31.T03-25/HPDQ-GS - HẰNG</t>
  </si>
  <si>
    <t>(size 2.43 đạt 79%)</t>
  </si>
  <si>
    <t>2400001063 - 31.T03-25/HPDQ-GS - HẰNG</t>
  </si>
  <si>
    <t>2400001032 - 32.T03-25/HPDQ-GS - GIANG</t>
  </si>
  <si>
    <t>2400001030 - 33.T03-25/HPDQ-GS - LINH 
SX đủ rồi chờ skin và nk</t>
  </si>
  <si>
    <t>2400001031 - 33.T03-25/HPDQ-GS (HSPM) - LINH 
SX đủ rồi chờ skin và nk</t>
  </si>
  <si>
    <t>2400001064 - 34.T03-25/HPDQ-GS - LINH - s275jr non-skin
SX đủ rồi chờ skin và nk</t>
  </si>
  <si>
    <t>2400001065 - 34.T03-25/HPDQ-GS - LINH - S275JR SKIN</t>
  </si>
  <si>
    <t>(size 2.40 đạt 79%)</t>
  </si>
  <si>
    <t>2400001066 -34.T03-25/HPDQ-GS - LINH - SPHC SKIN</t>
  </si>
  <si>
    <t>17.03.2025
NEO</t>
  </si>
  <si>
    <t>18/03 Bến 5</t>
  </si>
  <si>
    <t>Tàu ưu tiên</t>
  </si>
  <si>
    <r>
      <rPr>
        <b/>
        <sz val="14"/>
        <color rgb="FF000000"/>
        <rFont val="Times New Roman"/>
        <family val="1"/>
      </rPr>
      <t xml:space="preserve">2000002698 - 318B.T02.2025/HPDQ-KKNH - 10.000T - 2.500T
</t>
    </r>
    <r>
      <rPr>
        <b/>
        <sz val="14"/>
        <color rgb="FFFF0000"/>
        <rFont val="Times New Roman"/>
        <family val="1"/>
      </rPr>
      <t xml:space="preserve">HẠ BÃI - XUẤT HẾT MAPPING </t>
    </r>
  </si>
  <si>
    <r>
      <rPr>
        <sz val="14"/>
        <color rgb="FF000000"/>
        <rFont val="Times New Roman"/>
        <family val="1"/>
      </rPr>
      <t xml:space="preserve">2000002693  - 350.T03.2025/HPDQ-JFE (TDA) (LOT 3) - 3.700T 
</t>
    </r>
    <r>
      <rPr>
        <sz val="14"/>
        <color rgb="FFFF0000"/>
        <rFont val="Times New Roman"/>
        <family val="1"/>
      </rPr>
      <t>GIAO THẲNG
DỠ PHÚ MỸ -&gt; CẨM NGUYÊN</t>
    </r>
  </si>
  <si>
    <t>21-22.03.2025
Đang chạy rỗng về</t>
  </si>
  <si>
    <t>21/03 Bến 3</t>
  </si>
  <si>
    <r>
      <rPr>
        <b/>
        <sz val="14"/>
        <color rgb="FF000000"/>
        <rFont val="Times New Roman"/>
        <family val="1"/>
      </rPr>
      <t xml:space="preserve">2000002718 - 298A1.T01.2025/HPDQ-OTSG - 5.000T </t>
    </r>
    <r>
      <rPr>
        <b/>
        <sz val="14"/>
        <color rgb="FFFF0000"/>
        <rFont val="Times New Roman"/>
        <family val="1"/>
      </rPr>
      <t>Dự kiến 21/3 có LC
GIAO THẲNG</t>
    </r>
  </si>
  <si>
    <t>HRC 2 - Hàng hóa đã có 4935 t, chia làm 2 SO 2000002718 đã map 2470 t, 2000002719 đã map 2465. Chốt đơn hàng.</t>
  </si>
  <si>
    <r>
      <rPr>
        <sz val="14"/>
        <color rgb="FF000000"/>
        <rFont val="Times New Roman"/>
        <family val="1"/>
      </rPr>
      <t xml:space="preserve">2000002719 - 298A2.T01.2025/HPDQ-OTSG - 5.000T </t>
    </r>
    <r>
      <rPr>
        <sz val="14"/>
        <color rgb="FFFF0000"/>
        <rFont val="Times New Roman"/>
        <family val="1"/>
      </rPr>
      <t>Dự kiến 21/3 có LC
GIAO THẲNG</t>
    </r>
  </si>
  <si>
    <r>
      <rPr>
        <sz val="14"/>
        <color rgb="FF000000"/>
        <rFont val="Times New Roman"/>
        <family val="1"/>
      </rPr>
      <t xml:space="preserve">2000002724 - 352.T3.2025/HPDQ-TMN - 6.000T </t>
    </r>
    <r>
      <rPr>
        <sz val="14"/>
        <color rgb="FFFF0000"/>
        <rFont val="Times New Roman"/>
        <family val="1"/>
      </rPr>
      <t>dự kiến 20-21/03 duyệt lệnh
GIAO THẲNG</t>
    </r>
  </si>
  <si>
    <t>HRC 2 - SO đã map 5933 t, chốt SO</t>
  </si>
  <si>
    <r>
      <rPr>
        <sz val="14"/>
        <color rgb="FF000000"/>
        <rFont val="Times New Roman"/>
        <family val="1"/>
      </rPr>
      <t xml:space="preserve">2000002714 - 385.T03.2025/HPDQ-TMP-BBC 710TAN đi Hải Phòng - lệnh ok
</t>
    </r>
    <r>
      <rPr>
        <sz val="14"/>
        <color rgb="FFFF0000"/>
        <rFont val="Times New Roman"/>
        <family val="1"/>
      </rPr>
      <t>GIAO THẲNG</t>
    </r>
  </si>
  <si>
    <t>HRC 1 - Hàng hóa ok 
Hàng BBC</t>
  </si>
  <si>
    <t>20-21.03.2025
Dỡ đá -&gt; nhận HRC</t>
  </si>
  <si>
    <t>22/03 Bến 3/5</t>
  </si>
  <si>
    <r>
      <rPr>
        <b/>
        <sz val="14"/>
        <color rgb="FF000000"/>
        <rFont val="Times New Roman"/>
        <family val="1"/>
      </rPr>
      <t xml:space="preserve">2000002700 - 318B.T02.2025/HPDQ-KKNH - 10.000T - 2.500T
</t>
    </r>
    <r>
      <rPr>
        <b/>
        <sz val="14"/>
        <color rgb="FFFF0000"/>
        <rFont val="Times New Roman"/>
        <family val="1"/>
      </rPr>
      <t xml:space="preserve">HẠ BÃI - </t>
    </r>
  </si>
  <si>
    <r>
      <rPr>
        <b/>
        <sz val="14"/>
        <color rgb="FF000000"/>
        <rFont val="Times New Roman"/>
        <family val="1"/>
      </rPr>
      <t xml:space="preserve">2200001895 - 1895.T03.2025/HPDQ-OTBD đi Long Bình 2952TAN HRC1
</t>
    </r>
    <r>
      <rPr>
        <b/>
        <sz val="14"/>
        <color rgb="FFFF0000"/>
        <rFont val="Times New Roman"/>
        <family val="1"/>
      </rPr>
      <t>GIAO THẲNG - xuất hết</t>
    </r>
  </si>
  <si>
    <t>Chốt mapping - thiếu 3 cuộn</t>
  </si>
  <si>
    <t>MT HÀ NỘI</t>
  </si>
  <si>
    <t>22-23/03 Bến Tàu 2</t>
  </si>
  <si>
    <r>
      <rPr>
        <b/>
        <sz val="14"/>
        <color rgb="FF000000"/>
        <rFont val="Times New Roman"/>
        <family val="1"/>
      </rPr>
      <t xml:space="preserve">2000002699 - 318B.T02.2025/HPDQ-KKNH - 10.000T - 2.500T
</t>
    </r>
    <r>
      <rPr>
        <b/>
        <sz val="14"/>
        <color rgb="FFFF0000"/>
        <rFont val="Times New Roman"/>
        <family val="1"/>
      </rPr>
      <t>HẠ BÃI - XUẤT HẾT MAPPING</t>
    </r>
  </si>
  <si>
    <r>
      <rPr>
        <sz val="14"/>
        <color rgb="FF000000"/>
        <rFont val="Times New Roman"/>
        <family val="1"/>
      </rPr>
      <t xml:space="preserve">2000002700 - 318B.T02.2025/HPDQ-KKNH - 10.000T - 2.500T
</t>
    </r>
    <r>
      <rPr>
        <sz val="14"/>
        <color rgb="FFFF0000"/>
        <rFont val="Times New Roman"/>
        <family val="1"/>
      </rPr>
      <t>HẠ BÃI - CÂN TẢI (XUẤT HẾT SIZE 2.5)</t>
    </r>
  </si>
  <si>
    <r>
      <rPr>
        <sz val="14"/>
        <color rgb="FF000000"/>
        <rFont val="Times New Roman"/>
        <family val="1"/>
      </rPr>
      <t xml:space="preserve">2000002732 - 339.T03.2025/HPDQ-TL - Tân Thuận (giao nhịp 3) - DK 21/3 có lệnh
</t>
    </r>
    <r>
      <rPr>
        <sz val="14"/>
        <color rgb="FFFF0000"/>
        <rFont val="Times New Roman"/>
        <family val="1"/>
      </rPr>
      <t>GIAO THẲNG</t>
    </r>
  </si>
  <si>
    <r>
      <rPr>
        <sz val="14"/>
        <color rgb="FF000000"/>
        <rFont val="Times New Roman"/>
        <family val="1"/>
      </rPr>
      <t xml:space="preserve">2000002696 - 341.T03.2025/HPDQ-SEAH - 500T
</t>
    </r>
    <r>
      <rPr>
        <sz val="14"/>
        <color rgb="FFFF0000"/>
        <rFont val="Times New Roman"/>
        <family val="1"/>
      </rPr>
      <t>GIAO THẲNG</t>
    </r>
    <r>
      <rPr>
        <sz val="14"/>
        <color rgb="FF000000"/>
        <rFont val="Times New Roman"/>
        <family val="1"/>
      </rPr>
      <t xml:space="preserve"> (lệnh ok)</t>
    </r>
  </si>
  <si>
    <t>HRC 2 - Hàng hóa ok, 505 tấn</t>
  </si>
  <si>
    <t>23-24.03.2025</t>
  </si>
  <si>
    <t>23/03 Bến 3</t>
  </si>
  <si>
    <r>
      <rPr>
        <b/>
        <sz val="14"/>
        <color rgb="FF000000"/>
        <rFont val="Times New Roman"/>
        <family val="1"/>
      </rPr>
      <t xml:space="preserve">2200001897 - 1897.T03.2025/HPDQ-OTBD 3180TAN HRC1 đi Long Bình
</t>
    </r>
    <r>
      <rPr>
        <b/>
        <sz val="14"/>
        <color rgb="FFFF0000"/>
        <rFont val="Times New Roman"/>
        <family val="1"/>
      </rPr>
      <t>GIAO THẲNG</t>
    </r>
  </si>
  <si>
    <t>Thiếu 3 cuộn ok</t>
  </si>
  <si>
    <r>
      <rPr>
        <sz val="14"/>
        <color rgb="FF000000"/>
        <rFont val="Times New Roman"/>
        <family val="1"/>
      </rPr>
      <t xml:space="preserve">2200001901 - 1901.T03.2025/HPDQ-OTBD 2584TAN HRC2 đi Long Bình - </t>
    </r>
    <r>
      <rPr>
        <sz val="14"/>
        <color rgb="FFFF0000"/>
        <rFont val="Times New Roman"/>
        <family val="1"/>
      </rPr>
      <t>CÂN TẢI
GIAO THẲNG</t>
    </r>
  </si>
  <si>
    <t>HRC 2 - SO đã map 2268t, đơn spot chốt SO</t>
  </si>
  <si>
    <t>22-23.03.2025
Dỡ hàng Quy Nhơn -&gt; nhận HRC</t>
  </si>
  <si>
    <t>8H00 25/03 Bến 3</t>
  </si>
  <si>
    <r>
      <rPr>
        <b/>
        <sz val="14"/>
        <color rgb="FF000000"/>
        <rFont val="Times New Roman"/>
        <family val="1"/>
      </rPr>
      <t xml:space="preserve">2200001869 - 1869.T03.2025/HPDQ-OTĐN-KH 12K3TAN HRC2 Đà Nẵng 
</t>
    </r>
    <r>
      <rPr>
        <b/>
        <sz val="14"/>
        <color rgb="FFFF0000"/>
        <rFont val="Times New Roman"/>
        <family val="1"/>
      </rPr>
      <t>GIAO THẲNG</t>
    </r>
  </si>
  <si>
    <t>23.03.2025
Quay đầu từ Đà Nẵng về nhận hàng</t>
  </si>
  <si>
    <t>16H00 24/03 C.TH</t>
  </si>
  <si>
    <t>Tàu về cho vào nhận luôn</t>
  </si>
  <si>
    <r>
      <rPr>
        <sz val="14"/>
        <color rgb="FF000000"/>
        <rFont val="Times New Roman"/>
        <family val="1"/>
      </rPr>
      <t xml:space="preserve">2200001885 - 1885.T03.2025/HPDQ-OTĐN  Đà Nẵng 2643TAN HRC2 
</t>
    </r>
    <r>
      <rPr>
        <sz val="14"/>
        <color rgb="FFFF0000"/>
        <rFont val="Times New Roman"/>
        <family val="1"/>
      </rPr>
      <t>GIAO THẲNG</t>
    </r>
  </si>
  <si>
    <t>HRC 2 - Hàng hóa ok, đã map 2689 tấn</t>
  </si>
  <si>
    <t>24-25.03.2025</t>
  </si>
  <si>
    <t>23/03 Bến 3/5</t>
  </si>
  <si>
    <t>Phải xong trong tháng 3</t>
  </si>
  <si>
    <r>
      <rPr>
        <b/>
        <sz val="14"/>
        <color rgb="FF000000"/>
        <rFont val="Times New Roman"/>
        <family val="1"/>
      </rPr>
      <t xml:space="preserve">2000002707 - 333.T2.2025/HPDQ-TMPHD - 10.000T 
</t>
    </r>
    <r>
      <rPr>
        <b/>
        <sz val="14"/>
        <color rgb="FFFF0000"/>
        <rFont val="Times New Roman"/>
        <family val="1"/>
      </rPr>
      <t>GIAO THẲNG</t>
    </r>
  </si>
  <si>
    <r>
      <rPr>
        <b/>
        <sz val="14"/>
        <color rgb="FF000000"/>
        <rFont val="Times New Roman"/>
        <family val="1"/>
      </rPr>
      <t xml:space="preserve">2200001896 - 1896.T03.2025/HPDQ-THP 2923TAN HRC1 đi Hải Phòng
</t>
    </r>
    <r>
      <rPr>
        <b/>
        <sz val="14"/>
        <color rgb="FFFF0000"/>
        <rFont val="Times New Roman"/>
        <family val="1"/>
      </rPr>
      <t>GIAO THẲNG</t>
    </r>
  </si>
  <si>
    <r>
      <rPr>
        <b/>
        <sz val="14"/>
        <color rgb="FF000000"/>
        <rFont val="Times New Roman"/>
        <family val="1"/>
      </rPr>
      <t xml:space="preserve">2200001900 - 1900.T03.2025/HPDQ-THP 1900TAN HRC2 đi Hải Phòng  Hàng spot
</t>
    </r>
    <r>
      <rPr>
        <b/>
        <sz val="14"/>
        <color rgb="FFFF0000"/>
        <rFont val="Times New Roman"/>
        <family val="1"/>
      </rPr>
      <t>GIAO THẲNG</t>
    </r>
  </si>
  <si>
    <t>HRC 2 - SO đã map 1899t, đơn spot chốt SO</t>
  </si>
  <si>
    <r>
      <rPr>
        <sz val="14"/>
        <color rgb="FF000000"/>
        <rFont val="Times New Roman"/>
        <family val="1"/>
      </rPr>
      <t xml:space="preserve">2000002728 - 330.T2.2025/HPDQ-TCĐ 
</t>
    </r>
    <r>
      <rPr>
        <sz val="14"/>
        <color rgb="FFFF0000"/>
        <rFont val="Times New Roman"/>
        <family val="1"/>
      </rPr>
      <t>GIAO THẲNG</t>
    </r>
  </si>
  <si>
    <t>HRC 2 - Đã map 1963t. Chốt SO</t>
  </si>
  <si>
    <r>
      <rPr>
        <b/>
        <sz val="14"/>
        <color rgb="FFFF0000"/>
        <rFont val="Times New Roman"/>
        <family val="1"/>
      </rPr>
      <t xml:space="preserve">LSD 31/03/2025
</t>
    </r>
    <r>
      <rPr>
        <sz val="14"/>
        <color rgb="FFFF0000"/>
        <rFont val="Times New Roman"/>
        <family val="1"/>
      </rPr>
      <t>dự kiến 20-21/03 duyệt lệnh</t>
    </r>
  </si>
  <si>
    <r>
      <rPr>
        <sz val="14"/>
        <color rgb="FF000000"/>
        <rFont val="Times New Roman"/>
        <family val="1"/>
      </rPr>
      <t xml:space="preserve">2000002739 - 331.T03.2025/HPDQ-HN - 300 tấn (khách muốn nhận cuối tháng 3)
</t>
    </r>
    <r>
      <rPr>
        <sz val="14"/>
        <color rgb="FFFF0000"/>
        <rFont val="Times New Roman"/>
        <family val="1"/>
      </rPr>
      <t>Hóa Đơn xuất trc 31/3
GIAO THẲNG</t>
    </r>
  </si>
  <si>
    <t>HRC 2 - Đã map 276 tấn</t>
  </si>
  <si>
    <r>
      <rPr>
        <sz val="14"/>
        <color rgb="FF000000"/>
        <rFont val="Times New Roman"/>
        <family val="1"/>
      </rPr>
      <t xml:space="preserve">2000002726 - 348B.T03.2025/HPDQ-HSNS - 5000 tấn
</t>
    </r>
    <r>
      <rPr>
        <sz val="14"/>
        <color rgb="FFFF0000"/>
        <rFont val="Times New Roman"/>
        <family val="1"/>
      </rPr>
      <t>Xuất hết hàng lệnh này nhé mn, xuất đủ dung sai ạ 
GIAO THẲNG</t>
    </r>
  </si>
  <si>
    <r>
      <rPr>
        <sz val="14"/>
        <color rgb="FF000000"/>
        <rFont val="Times New Roman"/>
        <family val="1"/>
      </rPr>
      <t xml:space="preserve">2000002668 - 320A.T02.2025/HPDQ-HSNS - lệnh ok
</t>
    </r>
    <r>
      <rPr>
        <b/>
        <sz val="14"/>
        <color rgb="FFFF0000"/>
        <rFont val="Times New Roman"/>
        <family val="1"/>
      </rPr>
      <t>Giao nốt những size chưa giao đủ dung sai
GIAO THẲNG</t>
    </r>
  </si>
  <si>
    <r>
      <rPr>
        <sz val="14"/>
        <color rgb="FF000000"/>
        <rFont val="Times New Roman"/>
        <family val="1"/>
      </rPr>
      <t xml:space="preserve">2000002725 - 348A.T03.2025/HPDQ-HSNS - 15.000 tấn
</t>
    </r>
    <r>
      <rPr>
        <sz val="14"/>
        <color rgb="FFFF0000"/>
        <rFont val="Times New Roman"/>
        <family val="1"/>
      </rPr>
      <t>GIAO THẲNG</t>
    </r>
  </si>
  <si>
    <t>25.03.2025
NEO</t>
  </si>
  <si>
    <t>25/03 C.TH</t>
  </si>
  <si>
    <r>
      <rPr>
        <b/>
        <sz val="14"/>
        <color rgb="FF000000"/>
        <rFont val="Times New Roman"/>
        <family val="1"/>
      </rPr>
      <t xml:space="preserve">2000002748 - 298B1.T01.2025/HPDQ-OTSG - 5.000T 
</t>
    </r>
    <r>
      <rPr>
        <b/>
        <sz val="14"/>
        <color rgb="FFFF0000"/>
        <rFont val="Times New Roman"/>
        <family val="1"/>
      </rPr>
      <t>GIAO THẲNG - LỆNH OK XUẤT HẾT MAPPING</t>
    </r>
  </si>
  <si>
    <r>
      <rPr>
        <sz val="14"/>
        <color rgb="FF000000"/>
        <rFont val="Times New Roman"/>
        <family val="1"/>
      </rPr>
      <t xml:space="preserve">2000002749 - 298B2.T01.2025/HPDQ-OTSG - 5.000T 
</t>
    </r>
    <r>
      <rPr>
        <sz val="14"/>
        <color rgb="FFFF0000"/>
        <rFont val="Times New Roman"/>
        <family val="1"/>
      </rPr>
      <t>GIAO THẲNG - LỆNH OK XUẤT HẾT MAPPING</t>
    </r>
  </si>
  <si>
    <r>
      <rPr>
        <sz val="14"/>
        <color rgb="FF000000"/>
        <rFont val="Times New Roman"/>
        <family val="1"/>
      </rPr>
      <t xml:space="preserve">2000002679 - 351.T3.2025/HPDQ-HPL 500TAN đi Miền Nam
</t>
    </r>
    <r>
      <rPr>
        <sz val="14"/>
        <color rgb="FFFF0000"/>
        <rFont val="Times New Roman"/>
        <family val="1"/>
      </rPr>
      <t>GIAO THẰNG</t>
    </r>
  </si>
  <si>
    <r>
      <rPr>
        <sz val="14"/>
        <color rgb="FF000000"/>
        <rFont val="Times New Roman"/>
        <family val="1"/>
      </rPr>
      <t xml:space="preserve">2000002703 - 318A.T02.2025/HPDQ-TVN - lot 2 - Lệnh ok
</t>
    </r>
    <r>
      <rPr>
        <sz val="14"/>
        <color rgb="FFFF0000"/>
        <rFont val="Times New Roman"/>
        <family val="1"/>
      </rPr>
      <t xml:space="preserve">HẠ BÃI - XUẤT HẾT MAPPING </t>
    </r>
  </si>
  <si>
    <t>HRC 2 - Đã map 1960t, chốt SO</t>
  </si>
  <si>
    <r>
      <rPr>
        <sz val="14"/>
        <color rgb="FF000000"/>
        <rFont val="Times New Roman"/>
        <family val="1"/>
      </rPr>
      <t xml:space="preserve">2000002704 - 318A.T02.2025/HPDQ-TVN - lot 3 - Lệnh ok
</t>
    </r>
    <r>
      <rPr>
        <sz val="14"/>
        <color rgb="FFFF0000"/>
        <rFont val="Times New Roman"/>
        <family val="1"/>
      </rPr>
      <t>HẠ BÃI XUẤT HẾT MAPPING</t>
    </r>
  </si>
  <si>
    <t>HRC 2 - Đã map 2531t, chốt SO</t>
  </si>
  <si>
    <r>
      <rPr>
        <sz val="14"/>
        <color rgb="FF000000"/>
        <rFont val="Times New Roman"/>
        <family val="1"/>
      </rPr>
      <t xml:space="preserve">2000002706 - 318A.T02.2025/HPDQ-TVN - lot 4 - Lệnh ok
</t>
    </r>
    <r>
      <rPr>
        <sz val="14"/>
        <color rgb="FFFF0000"/>
        <rFont val="Times New Roman"/>
        <family val="1"/>
      </rPr>
      <t>HẠ BÃI XUẤT HẾT MAPPING</t>
    </r>
  </si>
  <si>
    <t>HRC 2 - Đã map 1915t, chốt SO</t>
  </si>
  <si>
    <r>
      <rPr>
        <sz val="14"/>
        <color rgb="FF000000"/>
        <rFont val="Times New Roman"/>
        <family val="1"/>
      </rPr>
      <t xml:space="preserve">2000002744 - 360.T3.2025/HPDQ-TMPHD đi QT Long An 11.100TAN HRC1    
</t>
    </r>
    <r>
      <rPr>
        <sz val="14"/>
        <color rgb="FFFF0000"/>
        <rFont val="Times New Roman"/>
        <family val="1"/>
      </rPr>
      <t>KHÁCH YC HẠ BÃI
Lệnh này xuất lên tàu này lượng này thôi để còn xuất cho Việt Thuận QN-02 nữa</t>
    </r>
  </si>
  <si>
    <r>
      <rPr>
        <sz val="14"/>
        <color rgb="FF000000"/>
        <rFont val="Times New Roman"/>
        <family val="1"/>
      </rPr>
      <t xml:space="preserve">2000002708 - 335.T2.2025/HPDQ-TMPHD - 9.000T - LỆNH OK
</t>
    </r>
    <r>
      <rPr>
        <sz val="14"/>
        <color rgb="FFFF0000"/>
        <rFont val="Times New Roman"/>
        <family val="1"/>
      </rPr>
      <t>KHÁCH YC HẠ BÃI</t>
    </r>
  </si>
  <si>
    <r>
      <rPr>
        <sz val="14"/>
        <color rgb="FF000000"/>
        <rFont val="Times New Roman"/>
        <family val="1"/>
      </rPr>
      <t xml:space="preserve">2000002695 - 342.T03.2025/HPDQ-PVN - 5000T (giao sớm 15-20/3)
(lệnh ok)
</t>
    </r>
    <r>
      <rPr>
        <b/>
        <sz val="14"/>
        <color rgb="FFFF0000"/>
        <rFont val="Times New Roman"/>
        <family val="1"/>
      </rPr>
      <t>GIAO THẲNG
DỠ QUỐC TẾ LONG AN -&gt; PHÚ MỸ -&gt; POSCO</t>
    </r>
  </si>
  <si>
    <t>26.03.2025</t>
  </si>
  <si>
    <t>26/03 Bến 3</t>
  </si>
  <si>
    <t>2000002709 - 325B.T03.2025/HPDQ-TVĐ - 10.100T - Lệnh ok
HẠ BÃI /xếp tàu khác với đơn 325A để có thể nhận luôn nếu được</t>
  </si>
  <si>
    <r>
      <rPr>
        <sz val="14"/>
        <color rgb="FF000000"/>
        <rFont val="Times New Roman"/>
        <family val="1"/>
      </rPr>
      <t xml:space="preserve">2000002678 - 303.T02.2025/HPDQ-TP (NĐ) - 1000T - Hải Phòng - 13/3 duyệt lệnh
</t>
    </r>
    <r>
      <rPr>
        <sz val="14"/>
        <color rgb="FFFF0000"/>
        <rFont val="Times New Roman"/>
        <family val="1"/>
      </rPr>
      <t>HẠ BÃI</t>
    </r>
  </si>
  <si>
    <r>
      <rPr>
        <sz val="14"/>
        <color rgb="FF000000"/>
        <rFont val="Times New Roman"/>
        <family val="1"/>
      </rPr>
      <t xml:space="preserve">2000002738 - 329.T03.2025/HPDQ-PN - 500 tấn (check file sx là nhịp 3)   </t>
    </r>
    <r>
      <rPr>
        <sz val="14"/>
        <color rgb="FFFF0000"/>
        <rFont val="Times New Roman"/>
        <family val="1"/>
      </rPr>
      <t>26/3 có lệnh. Xuất Hóa Đơn trc ngày 31/3
GIAO THẲNG</t>
    </r>
  </si>
  <si>
    <t>HRC 2 - Đã map 491t, chốt SO</t>
  </si>
  <si>
    <t xml:space="preserve">STARGAZER </t>
  </si>
  <si>
    <t>23.03.2025</t>
  </si>
  <si>
    <t>26/03 Bến 5/10</t>
  </si>
  <si>
    <t>LSD 30/03</t>
  </si>
  <si>
    <t>Houston</t>
  </si>
  <si>
    <t xml:space="preserve">2400001067 - 42.T04-25/HPDQ-MI </t>
  </si>
  <si>
    <t>Hạn xếp hàng lên tàu: 30/03</t>
  </si>
  <si>
    <t>2400001088 - 63.T04-25 HPDQ-SST</t>
  </si>
  <si>
    <t>HRC 2 - Hàng hóa ok. SO đã map 342t</t>
  </si>
  <si>
    <t>27/03 C.TH</t>
  </si>
  <si>
    <r>
      <rPr>
        <sz val="14"/>
        <color rgb="FF000000"/>
        <rFont val="Times New Roman"/>
        <family val="1"/>
      </rPr>
      <t xml:space="preserve">2200001901 - 1901.T03.2025/HPDQ-OTBD 2584TAN HRC2 đi Long Bình
</t>
    </r>
    <r>
      <rPr>
        <sz val="14"/>
        <color rgb="FFFF0000"/>
        <rFont val="Times New Roman"/>
        <family val="1"/>
      </rPr>
      <t>GIAO THẲNG - CÂN TẢI</t>
    </r>
  </si>
  <si>
    <t>25-26.03.2025
NEO</t>
  </si>
  <si>
    <t>27/03 Bến 1</t>
  </si>
  <si>
    <t>Theo lịch cầu bến, phải xong trong tháng 3</t>
  </si>
  <si>
    <r>
      <rPr>
        <b/>
        <sz val="14"/>
        <color rgb="FF000000"/>
        <rFont val="Times New Roman"/>
        <family val="1"/>
      </rPr>
      <t xml:space="preserve">2000002701 - 318A.T02.2025/HPDQ-TVN - 2.000T - Lệnh ok
</t>
    </r>
    <r>
      <rPr>
        <b/>
        <sz val="14"/>
        <color rgb="FFFF0000"/>
        <rFont val="Times New Roman"/>
        <family val="1"/>
      </rPr>
      <t>HẠ BÃI -&gt; GIAO THẲNG (</t>
    </r>
    <r>
      <rPr>
        <sz val="14"/>
        <color rgb="FFFF0000"/>
        <rFont val="Times New Roman"/>
        <family val="1"/>
      </rPr>
      <t>CHỜ Ở TÂN THUẬN ĐẾN ĐẦU THÁNG 4 ĐỂ GIAO THẲNG) - XUẤT HẾT MAPPING</t>
    </r>
  </si>
  <si>
    <t>HRC 2 - Hàng hóa ok. SO đã map 2064 tấn</t>
  </si>
  <si>
    <t>đã mapping đủ? --&gt; YES</t>
  </si>
  <si>
    <r>
      <rPr>
        <sz val="14"/>
        <color rgb="FF000000"/>
        <rFont val="Times New Roman"/>
        <family val="1"/>
      </rPr>
      <t xml:space="preserve">2200001893 - 1893.T03.2025/HPDQ-OTBD - Tân Thuận 211TAN HRC1
</t>
    </r>
    <r>
      <rPr>
        <sz val="14"/>
        <color rgb="FFFF0000"/>
        <rFont val="Times New Roman"/>
        <family val="1"/>
      </rPr>
      <t xml:space="preserve">GIAO THẲNG </t>
    </r>
  </si>
  <si>
    <r>
      <rPr>
        <sz val="14"/>
        <color rgb="FF000000"/>
        <rFont val="Times New Roman"/>
        <family val="1"/>
      </rPr>
      <t xml:space="preserve">2200001870 - 1870.T03.2025/HPDQ-OTBD-KH 11KTAN HRC2 đi Bình Dương
</t>
    </r>
    <r>
      <rPr>
        <sz val="14"/>
        <color rgb="FFFF0000"/>
        <rFont val="Times New Roman"/>
        <family val="1"/>
      </rPr>
      <t>GIAO THẲNG
DỠ LONG BÌNH -&gt; TÂN THUẬN</t>
    </r>
  </si>
  <si>
    <t>HRC 2 - Hàng hóa ok. SO đã map 10900t, chốt SO</t>
  </si>
  <si>
    <t>GIA LĨNH 368</t>
  </si>
  <si>
    <t>27.03.2025
NEO</t>
  </si>
  <si>
    <t>27-28/03 Bến 3/5</t>
  </si>
  <si>
    <r>
      <rPr>
        <b/>
        <sz val="14"/>
        <color rgb="FF000000"/>
        <rFont val="Times New Roman"/>
        <family val="1"/>
      </rPr>
      <t xml:space="preserve">2000002753 - 328A.T03.2025/HPDQ-MISVN(NP) - 600 tấn
</t>
    </r>
    <r>
      <rPr>
        <b/>
        <sz val="14"/>
        <color rgb="FFFF0000"/>
        <rFont val="Times New Roman"/>
        <family val="1"/>
      </rPr>
      <t>GIAO THẲNG</t>
    </r>
  </si>
  <si>
    <t xml:space="preserve">HRC 2 - Đã map 589t, chốt SO
</t>
  </si>
  <si>
    <r>
      <rPr>
        <sz val="14"/>
        <color rgb="FF000000"/>
        <rFont val="Times New Roman"/>
        <family val="1"/>
      </rPr>
      <t xml:space="preserve">2000002742 - 358.T3.2025/HPDQ-TMPHD đi Hải Phòng 5000TAN HRC1
</t>
    </r>
    <r>
      <rPr>
        <sz val="14"/>
        <color rgb="FFFF0000"/>
        <rFont val="Times New Roman"/>
        <family val="1"/>
      </rPr>
      <t>GIAO THẲNG</t>
    </r>
  </si>
  <si>
    <r>
      <rPr>
        <sz val="14"/>
        <color rgb="FF000000"/>
        <rFont val="Times New Roman"/>
        <family val="1"/>
      </rPr>
      <t xml:space="preserve">2000002725 - 348A.T03.2025/HPDQ-HSNS - 15.000 tấn
</t>
    </r>
    <r>
      <rPr>
        <sz val="14"/>
        <color rgb="FFFF0000"/>
        <rFont val="Times New Roman"/>
        <family val="1"/>
      </rPr>
      <t>GIAO THẲNG - xuất hết mapping</t>
    </r>
  </si>
  <si>
    <t>ATLANTIC TSUBAKI</t>
  </si>
  <si>
    <t>27.03.2025</t>
  </si>
  <si>
    <t>28/03 C.TH</t>
  </si>
  <si>
    <t>LSD 31/03</t>
  </si>
  <si>
    <t>2400001045 - 19.T03-25/HPDQ-AMI - 10,000MT - chốt mapping</t>
  </si>
  <si>
    <t>Chốt mapping
Nhãn màu: RED</t>
  </si>
  <si>
    <t>2400001044 - 19.T03-25/HPDQ-AMI - 10,000MT - chốt mapping</t>
  </si>
  <si>
    <t>Phải ra hàng trong tháng 3</t>
  </si>
  <si>
    <t>2400001089 - 37.T03-25/HPDQ-SI - LINH</t>
  </si>
  <si>
    <t>2400001090 - 37.T03-25/HPDQ-SI - LINH</t>
  </si>
  <si>
    <t>HRC 2 - Đã map 769 tấn, còn size 3.10x1300 1 cuộn loại 2 thiếu hàng chờ PKD trao đổi KH hướng xử lý</t>
  </si>
  <si>
    <r>
      <rPr>
        <sz val="14"/>
        <color rgb="FFFF0000"/>
        <rFont val="Times New Roman"/>
        <family val="1"/>
      </rPr>
      <t xml:space="preserve">800t HRC2
</t>
    </r>
    <r>
      <rPr>
        <b/>
        <sz val="14"/>
        <color rgb="FFFF0000"/>
        <rFont val="Times New Roman"/>
        <family val="1"/>
      </rPr>
      <t>Nhãn màu: RED</t>
    </r>
  </si>
  <si>
    <r>
      <rPr>
        <sz val="14"/>
        <color rgb="FF000000"/>
        <rFont val="Times New Roman"/>
        <family val="1"/>
      </rPr>
      <t xml:space="preserve">2400001050 - 20.T03-25/HPDQ-MI - Hương (LOT 1) </t>
    </r>
    <r>
      <rPr>
        <sz val="14"/>
        <color rgb="FFFF0000"/>
        <rFont val="Times New Roman"/>
        <family val="1"/>
      </rPr>
      <t>- chốt list theo mapping hiện tại, không được phép thay đổi dù là nguyên nhân gì</t>
    </r>
  </si>
  <si>
    <t>Chốt mapping
Nhãn màu: BLUE</t>
  </si>
  <si>
    <r>
      <rPr>
        <sz val="14"/>
        <color rgb="FF000000"/>
        <rFont val="Times New Roman"/>
        <family val="1"/>
      </rPr>
      <t xml:space="preserve">2400001051 - 20.T03-25/HPDQ-MI - Hương (LOT 2) </t>
    </r>
    <r>
      <rPr>
        <sz val="14"/>
        <color rgb="FFFF0000"/>
        <rFont val="Times New Roman"/>
        <family val="1"/>
      </rPr>
      <t xml:space="preserve"> - chốt list theo mapping hiện tại, không được phép thay đổi dù là nguyên nhân gì</t>
    </r>
  </si>
  <si>
    <t>27.03.2025
Quay đầu từ Đà Nẵng về nhận hàng</t>
  </si>
  <si>
    <t>28/03 Bến 1</t>
  </si>
  <si>
    <r>
      <rPr>
        <b/>
        <sz val="14"/>
        <color rgb="FF000000"/>
        <rFont val="Times New Roman"/>
        <family val="1"/>
      </rPr>
      <t xml:space="preserve">2200001885 - 1885.T03.2025/HPDQ-OTĐN  Đà Nẵng 2643TAN HRC2 
</t>
    </r>
    <r>
      <rPr>
        <b/>
        <sz val="14"/>
        <color rgb="FFFF0000"/>
        <rFont val="Times New Roman"/>
        <family val="1"/>
      </rPr>
      <t>GIAO THẲNG</t>
    </r>
  </si>
  <si>
    <r>
      <t xml:space="preserve">2200001874 - 1874.T02.2025/HPDQ-OTĐN 5823TAN HRC2  Đà Nẵng 
</t>
    </r>
    <r>
      <rPr>
        <sz val="14"/>
        <color rgb="FFFF0000"/>
        <rFont val="Times New Roman"/>
        <family val="1"/>
      </rPr>
      <t>GIAO THẲNG</t>
    </r>
  </si>
  <si>
    <t>HRC 2 - Đơn spot đã map 5113 tấn, lượng còn lại đã phân bổ cho các đơn hàng có sau nên chốt khối lượng SO này</t>
  </si>
  <si>
    <t>27.03.2025
Đang chạy rỗng về</t>
  </si>
  <si>
    <t>2200001908 - 1908.T03.2025/HPDQ-OTHY đi Hải Phòng 141TAN HRC1
GIAO THẲNG</t>
  </si>
  <si>
    <r>
      <rPr>
        <sz val="14"/>
        <color rgb="FF000000"/>
        <rFont val="Times New Roman"/>
        <family val="1"/>
      </rPr>
      <t xml:space="preserve">2200001909 - 1909.T03.2025/HPDQ-THP đi Hải Phòng 273TAN HRC1
</t>
    </r>
    <r>
      <rPr>
        <sz val="14"/>
        <color rgb="FFFF0000"/>
        <rFont val="Times New Roman"/>
        <family val="1"/>
      </rPr>
      <t>GIAO THẲNG</t>
    </r>
  </si>
  <si>
    <r>
      <rPr>
        <sz val="14"/>
        <color rgb="FF000000"/>
        <rFont val="Times New Roman"/>
        <family val="1"/>
      </rPr>
      <t xml:space="preserve">2200001910 - 1910.T03.2025/HPDQ-OTHY đi Hải Phòng 467TAN HRC1
</t>
    </r>
    <r>
      <rPr>
        <sz val="14"/>
        <color rgb="FFFF0000"/>
        <rFont val="Times New Roman"/>
        <family val="1"/>
      </rPr>
      <t>GIAO THẲNG</t>
    </r>
  </si>
  <si>
    <t>Chốt mapping 3577 tấn</t>
  </si>
  <si>
    <r>
      <rPr>
        <sz val="14"/>
        <color rgb="FF000000"/>
        <rFont val="Times New Roman"/>
        <family val="1"/>
      </rPr>
      <t xml:space="preserve">2000002743 - 359.T3.2025/HPDQ-TMPHD đi Hải Phòng 4910TAN HRC1
</t>
    </r>
    <r>
      <rPr>
        <sz val="14"/>
        <color rgb="FFFF0000"/>
        <rFont val="Times New Roman"/>
        <family val="1"/>
      </rPr>
      <t>GIAO THẮNG</t>
    </r>
  </si>
  <si>
    <r>
      <rPr>
        <sz val="14"/>
        <color rgb="FF000000"/>
        <rFont val="Times New Roman"/>
        <family val="1"/>
      </rPr>
      <t xml:space="preserve">2200001903 - 1903.T03.2025/HPDQ-OTHY 610TAN HRC2 đi Hải Phòng  Hàng spot
</t>
    </r>
    <r>
      <rPr>
        <sz val="14"/>
        <color rgb="FFFF0000"/>
        <rFont val="Times New Roman"/>
        <family val="1"/>
      </rPr>
      <t>GIAO THẲNG</t>
    </r>
  </si>
  <si>
    <t>HRC 2 - Hàng hóa ok, SO đã map 614t</t>
  </si>
  <si>
    <t>27-28.03.2025
Dỡ đá -&gt; nhận HRC</t>
  </si>
  <si>
    <t>29/03 Bến 1</t>
  </si>
  <si>
    <r>
      <rPr>
        <b/>
        <sz val="14"/>
        <color rgb="FF000000"/>
        <rFont val="Times New Roman"/>
        <family val="1"/>
      </rPr>
      <t xml:space="preserve">2000002754 - 328B.T03.2025/HPDQ-MISVN(NP) - 400 tấn
</t>
    </r>
    <r>
      <rPr>
        <b/>
        <sz val="14"/>
        <color rgb="FFFF0000"/>
        <rFont val="Times New Roman"/>
        <family val="1"/>
      </rPr>
      <t>GIAO THẲNG</t>
    </r>
  </si>
  <si>
    <t>HRC 2 - Hàng hóa ok,  428 t</t>
  </si>
  <si>
    <r>
      <rPr>
        <sz val="14"/>
        <color rgb="FF000000"/>
        <rFont val="Times New Roman"/>
        <family val="1"/>
      </rPr>
      <t xml:space="preserve">2000002750 - 336D.T03 HWA (VNO) (dự kiến 28/03 có lệnh) - giao thẳng
</t>
    </r>
    <r>
      <rPr>
        <sz val="14"/>
        <color rgb="FFFF0000"/>
        <rFont val="Times New Roman"/>
        <family val="1"/>
      </rPr>
      <t xml:space="preserve">Cần ưu tiên xuất những size này ạ:
 2.80x1209 
 2.85x1209 
 3.30x1209 
 4.35X1209 
 2.30X1265 
 3.00x1265 
 3.20X1265 
 3.55x1265 </t>
    </r>
  </si>
  <si>
    <r>
      <rPr>
        <sz val="14"/>
        <color rgb="FF000000"/>
        <rFont val="Times New Roman"/>
        <family val="1"/>
      </rPr>
      <t xml:space="preserve">2200001915 - 1915.T03.2025/HPDQ-OTBD đi Bình Dương 657TAN HRC2
</t>
    </r>
    <r>
      <rPr>
        <sz val="14"/>
        <color rgb="FFFF0000"/>
        <rFont val="Times New Roman"/>
        <family val="1"/>
      </rPr>
      <t>GIAO THẲNG - cân tải</t>
    </r>
  </si>
  <si>
    <t>HRC 2 - Hàng spot: Đã map 647t, chốt SO</t>
  </si>
  <si>
    <t>29-30/03 Bến 5</t>
  </si>
  <si>
    <r>
      <rPr>
        <b/>
        <sz val="14"/>
        <color rgb="FF000000"/>
        <rFont val="Times New Roman"/>
        <family val="1"/>
      </rPr>
      <t xml:space="preserve">2000002733 -340.T03.2025/HPDQ-HP - Tân Thuận (giao nhịp 3) - 1.000T
</t>
    </r>
    <r>
      <rPr>
        <b/>
        <sz val="14"/>
        <color rgb="FFFF0000"/>
        <rFont val="Times New Roman"/>
        <family val="1"/>
      </rPr>
      <t>GIAO THẲNG</t>
    </r>
  </si>
  <si>
    <t>HRC 2 - Đã map 937 tấn, chốt SO</t>
  </si>
  <si>
    <r>
      <rPr>
        <sz val="14"/>
        <color rgb="FF000000"/>
        <rFont val="Times New Roman"/>
        <family val="1"/>
      </rPr>
      <t xml:space="preserve">2200001898 - 1898.T03.2025/HPDQ-OTBD - Tân Thuận 258TAN HRC1
</t>
    </r>
    <r>
      <rPr>
        <sz val="14"/>
        <color rgb="FFFF0000"/>
        <rFont val="Times New Roman"/>
        <family val="1"/>
      </rPr>
      <t>GIAO THẲNG</t>
    </r>
  </si>
  <si>
    <r>
      <rPr>
        <sz val="14"/>
        <color rgb="FF000000"/>
        <rFont val="Times New Roman"/>
        <family val="1"/>
      </rPr>
      <t xml:space="preserve">2200001907 - 1907.T03.2025/HPDQ-OTBD-Tân Thuận 46TAN HRC1
</t>
    </r>
    <r>
      <rPr>
        <sz val="14"/>
        <color rgb="FFFF0000"/>
        <rFont val="Times New Roman"/>
        <family val="1"/>
      </rPr>
      <t>GIAO THẲNG</t>
    </r>
  </si>
  <si>
    <r>
      <rPr>
        <sz val="14"/>
        <color rgb="FF000000"/>
        <rFont val="Times New Roman"/>
        <family val="1"/>
      </rPr>
      <t xml:space="preserve">2200001912 - 1912.T03.2025/HPDQ-OTBD- Tân Thuận 65TAN HRC2
</t>
    </r>
    <r>
      <rPr>
        <sz val="14"/>
        <color rgb="FFFF0000"/>
        <rFont val="Times New Roman"/>
        <family val="1"/>
      </rPr>
      <t>GIAO THẲNG</t>
    </r>
  </si>
  <si>
    <t>HRC 2 - Hàng spot: Hàng hóa ok, đã map 66t</t>
  </si>
  <si>
    <r>
      <rPr>
        <sz val="14"/>
        <color rgb="FF000000"/>
        <rFont val="Times New Roman"/>
        <family val="1"/>
      </rPr>
      <t xml:space="preserve">2000002705 - 318A.T02.2025/HPDQ-TVN - lot 1 - Lệnh ok
</t>
    </r>
    <r>
      <rPr>
        <sz val="14"/>
        <color rgb="FFFF0000"/>
        <rFont val="Times New Roman"/>
        <family val="1"/>
      </rPr>
      <t>GIAO THẲNG</t>
    </r>
  </si>
  <si>
    <t>HRC 2 - SO đã map 1467 t, chốt SO</t>
  </si>
  <si>
    <r>
      <rPr>
        <sz val="14"/>
        <color rgb="FF000000"/>
        <rFont val="Times New Roman"/>
        <family val="1"/>
      </rPr>
      <t xml:space="preserve">2000002744 - 360.T3.2025/HPDQ-TMPHD đi QT Long An 11.100TAN HRC1    
</t>
    </r>
    <r>
      <rPr>
        <sz val="14"/>
        <color rgb="FFFF0000"/>
        <rFont val="Times New Roman"/>
        <family val="1"/>
      </rPr>
      <t>KHÁCH YC HẠ BÃI
DỠ PHÚ MỸ CUỐI CÙNG, 2 CẢNG CÒN LẠI ĐẠI LÝ TỰ CÂN ĐỐI</t>
    </r>
  </si>
  <si>
    <t>VIMC MIGHTY</t>
  </si>
  <si>
    <t>30/03 C.TH</t>
  </si>
  <si>
    <t>Prachuap</t>
  </si>
  <si>
    <t>2400001095 - 64.T04-25/HPDQ-MI - lệnh ok</t>
  </si>
  <si>
    <t>29.03.2025</t>
  </si>
  <si>
    <t>30/03 Bến 1</t>
  </si>
  <si>
    <t>Tàu sẵn, hàng sẵn, có cầu bến cho vào làm hàng tháng 3 luôn</t>
  </si>
  <si>
    <r>
      <rPr>
        <b/>
        <sz val="14"/>
        <color rgb="FF000000"/>
        <rFont val="Times New Roman"/>
        <family val="1"/>
      </rPr>
      <t xml:space="preserve">2200001911 - 1911.T03.2025/HPDQ-THP đi Hải Phòng 3633TAN HRC2
</t>
    </r>
    <r>
      <rPr>
        <b/>
        <sz val="14"/>
        <color rgb="FFFF0000"/>
        <rFont val="Times New Roman"/>
        <family val="1"/>
      </rPr>
      <t>GIAO THẲNG</t>
    </r>
  </si>
  <si>
    <t>HRC 2 - Hàng spot: Đã map 3010 tấn. Chốt SO</t>
  </si>
  <si>
    <r>
      <rPr>
        <sz val="14"/>
        <color rgb="FF000000"/>
        <rFont val="Times New Roman"/>
        <family val="1"/>
      </rPr>
      <t xml:space="preserve">2200001913 - 1913.T03.2025/HPDQ-OTHY đi Hải Phòng 605TAN HRC2
</t>
    </r>
    <r>
      <rPr>
        <sz val="14"/>
        <color rgb="FFFF0000"/>
        <rFont val="Times New Roman"/>
        <family val="1"/>
      </rPr>
      <t>GIAO THẲNG</t>
    </r>
  </si>
  <si>
    <t>HRC 2 - Hàng spot: Đã map 535t, chốt SO</t>
  </si>
  <si>
    <r>
      <rPr>
        <sz val="14"/>
        <color rgb="FF000000"/>
        <rFont val="Times New Roman"/>
        <family val="1"/>
      </rPr>
      <t xml:space="preserve">2200001917 - 1917.T03.2025/HPDQ-OTHY đi Hải Phòng 665TAN HRC2
</t>
    </r>
    <r>
      <rPr>
        <sz val="14"/>
        <color rgb="FFFF0000"/>
        <rFont val="Times New Roman"/>
        <family val="1"/>
      </rPr>
      <t>GIAO THẲNG - cân tải</t>
    </r>
  </si>
  <si>
    <t>HRC 2 - Hàng spot: Đã map 622t, chốt SO</t>
  </si>
  <si>
    <t>n</t>
  </si>
  <si>
    <r>
      <rPr>
        <b/>
        <sz val="14"/>
        <color rgb="FF000000"/>
        <rFont val="Times New Roman"/>
        <family val="1"/>
      </rPr>
      <t xml:space="preserve">28.03.2025
</t>
    </r>
    <r>
      <rPr>
        <b/>
        <sz val="14"/>
        <color rgb="FFFF0000"/>
        <rFont val="Times New Roman"/>
        <family val="1"/>
      </rPr>
      <t>NEO</t>
    </r>
  </si>
  <si>
    <t>30/03 Bến C.TH</t>
  </si>
  <si>
    <t>LÀM VẮT THÁNG 3 + THÁNG 4</t>
  </si>
  <si>
    <r>
      <rPr>
        <b/>
        <sz val="14"/>
        <color rgb="FF000000"/>
        <rFont val="Times New Roman"/>
        <family val="1"/>
      </rPr>
      <t xml:space="preserve">2000002756  - 325A.T03.2025/HPDQ-TVĐ - 3560t - Lệnh ok
</t>
    </r>
    <r>
      <rPr>
        <b/>
        <sz val="14"/>
        <color rgb="FFFF0000"/>
        <rFont val="Times New Roman"/>
        <family val="1"/>
      </rPr>
      <t>GIAO THẲNG</t>
    </r>
  </si>
  <si>
    <t>HRC 2 - Đã map 3571 tấn cho SO 20*2756. Lượng còn lại ở HRC1</t>
  </si>
  <si>
    <r>
      <rPr>
        <sz val="14"/>
        <color rgb="FF000000"/>
        <rFont val="Times New Roman"/>
        <family val="1"/>
      </rPr>
      <t xml:space="preserve">2000002759 - 325A.T03.2025/HPDQ-TVĐ - </t>
    </r>
    <r>
      <rPr>
        <b/>
        <sz val="14"/>
        <color rgb="FF000000"/>
        <rFont val="Times New Roman"/>
        <family val="1"/>
      </rPr>
      <t>680T</t>
    </r>
    <r>
      <rPr>
        <sz val="14"/>
        <color rgb="FF000000"/>
        <rFont val="Times New Roman"/>
        <family val="1"/>
      </rPr>
      <t xml:space="preserve"> - Lệnh ok
</t>
    </r>
    <r>
      <rPr>
        <sz val="14"/>
        <color rgb="FFFF0000"/>
        <rFont val="Times New Roman"/>
        <family val="1"/>
      </rPr>
      <t>GIAO THẲNG</t>
    </r>
  </si>
  <si>
    <t>2000002727 - 326.T03.TP - 1000T HẠ BÃI</t>
  </si>
  <si>
    <t>HRC 2 - Hàng hóa ok, đã map 1012t chốt SO</t>
  </si>
  <si>
    <r>
      <rPr>
        <sz val="14"/>
        <color rgb="FF000000"/>
        <rFont val="Times New Roman"/>
        <family val="1"/>
      </rPr>
      <t xml:space="preserve">2000002715 - 330.T03.2025/HPDQ-PVX - 2.000T
</t>
    </r>
    <r>
      <rPr>
        <sz val="14"/>
        <color rgb="FFFF0000"/>
        <rFont val="Times New Roman"/>
        <family val="1"/>
      </rPr>
      <t>GIAO LUÔN - CUỐI THÁNG 3 - KHÁCH YC HẠ BÃI - KHÁCH CHỊU PHÍ</t>
    </r>
  </si>
  <si>
    <t>HRC 2 - Hàng hóa ok. Đã map 1967 tấn, chốt SO</t>
  </si>
  <si>
    <r>
      <rPr>
        <sz val="14"/>
        <color rgb="FF000000"/>
        <rFont val="Times New Roman"/>
        <family val="1"/>
      </rPr>
      <t xml:space="preserve">2200001899 - 1899.T03.2025/HPDQ-OTHY 72TAN HRC1 đi Hải Phòng
</t>
    </r>
    <r>
      <rPr>
        <sz val="14"/>
        <color rgb="FFFF0000"/>
        <rFont val="Times New Roman"/>
        <family val="1"/>
      </rPr>
      <t>GIAO THẲNG</t>
    </r>
  </si>
  <si>
    <r>
      <rPr>
        <sz val="14"/>
        <color rgb="FF000000"/>
        <rFont val="Times New Roman"/>
        <family val="1"/>
      </rPr>
      <t xml:space="preserve">2000002724 - 352.T3.2025/HPDQ-TMN - 6.000T
</t>
    </r>
    <r>
      <rPr>
        <sz val="14"/>
        <color rgb="FFFF0000"/>
        <rFont val="Times New Roman"/>
        <family val="1"/>
      </rPr>
      <t>GIAO THẲNG</t>
    </r>
  </si>
  <si>
    <t>lệnh đã duyệt
còn bao nhiêu xuất hết</t>
  </si>
  <si>
    <t>Xuất hàng 28.03.2025</t>
  </si>
  <si>
    <t>2200001914 - 1914.T03.2025/HPDQ-OTĐN đi Đà Nẵng 591TAN HRC2</t>
  </si>
  <si>
    <t>Xuất hàng 20-25.03.2025</t>
  </si>
  <si>
    <r>
      <rPr>
        <b/>
        <sz val="14"/>
        <color rgb="FF000000"/>
        <rFont val="Times New Roman"/>
        <family val="1"/>
      </rPr>
      <t xml:space="preserve">2200001874 - 1874.T02.2025/HPDQ-OTĐN 5823TAN HRC2  Đà Nẵng 
</t>
    </r>
    <r>
      <rPr>
        <b/>
        <sz val="14"/>
        <color rgb="FFFF0000"/>
        <rFont val="Times New Roman"/>
        <family val="1"/>
      </rPr>
      <t>GIAO THẲNG</t>
    </r>
  </si>
  <si>
    <t>Xuất hàng 17-20.03.2025</t>
  </si>
  <si>
    <t>2200001869 - 1869.T03.2025/HPDQ-OTĐN-KH 12K3TAN HRC2 Đà Nẵng GIAO THẲNG</t>
  </si>
  <si>
    <t>Xuất hết nốt size 2.95x1260 + hàng khác</t>
  </si>
  <si>
    <t>Xuất hàng từ 10-12.03.2025</t>
  </si>
  <si>
    <r>
      <rPr>
        <sz val="14"/>
        <color rgb="FF000000"/>
        <rFont val="Times New Roman"/>
        <family val="1"/>
      </rPr>
      <t xml:space="preserve">2200001878 - 1878.T03.2025/HPDQ-OTĐN đường bộ Đà Nẵng 1208TAN HRC1 </t>
    </r>
    <r>
      <rPr>
        <sz val="14"/>
        <color rgb="FFFF0000"/>
        <rFont val="Times New Roman"/>
        <family val="1"/>
      </rPr>
      <t>GIAO THẲNG</t>
    </r>
  </si>
  <si>
    <t>Hụt 1 cuộn spot - chốt mapping</t>
  </si>
  <si>
    <t>Xuất hàng từ 8-9.03.2025</t>
  </si>
  <si>
    <r>
      <rPr>
        <sz val="14"/>
        <color rgb="FF000000"/>
        <rFont val="Times New Roman"/>
        <family val="1"/>
      </rPr>
      <t xml:space="preserve">2000002694 - 334.T2.2025/HPDQ-TMPHD đi Đà Nẵng 1K TAN HRC1
</t>
    </r>
    <r>
      <rPr>
        <sz val="14"/>
        <color rgb="FFFF0000"/>
        <rFont val="Times New Roman"/>
        <family val="1"/>
      </rPr>
      <t>GIAO THẲNG</t>
    </r>
  </si>
  <si>
    <t>17-20.03.2025</t>
  </si>
  <si>
    <t>Xử lý han gỉ xong cho xuất</t>
  </si>
  <si>
    <r>
      <rPr>
        <sz val="14"/>
        <color rgb="FF000000"/>
        <rFont val="Times New Roman"/>
        <family val="1"/>
      </rPr>
      <t xml:space="preserve">2000002625 - 1000T - THANH PHÚ 
</t>
    </r>
    <r>
      <rPr>
        <sz val="14"/>
        <color rgb="FFFF0000"/>
        <rFont val="Times New Roman"/>
        <family val="1"/>
      </rPr>
      <t>GIAO THẲNG</t>
    </r>
  </si>
  <si>
    <t>20-30.03.2025</t>
  </si>
  <si>
    <r>
      <rPr>
        <sz val="14"/>
        <color rgb="FF000000"/>
        <rFont val="Times New Roman"/>
        <family val="1"/>
      </rPr>
      <t xml:space="preserve">2000002626 - 1000T - THANH PHÚ 
</t>
    </r>
    <r>
      <rPr>
        <sz val="14"/>
        <color rgb="FFFF0000"/>
        <rFont val="Times New Roman"/>
        <family val="1"/>
      </rPr>
      <t>GIAO THẲNG</t>
    </r>
  </si>
  <si>
    <t>30-31.03.2025</t>
  </si>
  <si>
    <t>2000002676 - 1500T - 281.T01.2025/HPDQ-TPH
GIAO THẲNG</t>
  </si>
  <si>
    <r>
      <t xml:space="preserve">SẢN XUẤT 
</t>
    </r>
    <r>
      <rPr>
        <b/>
        <sz val="13"/>
        <color rgb="FFFF0000"/>
        <rFont val="Times New Roman"/>
        <family val="1"/>
      </rPr>
      <t>(HRC 1/2-TÌNH TRẠNG)</t>
    </r>
  </si>
  <si>
    <t>2200001829 - 1829.T01.2025/HPDQ-THP</t>
  </si>
  <si>
    <t>HRC 1-Hàng hóa ok hàng spot</t>
  </si>
  <si>
    <t>TÀU NÀY KHÔNG HẠ BÃI NHƯ HÀNG TRƯỚC TẾT, TRẢ HÀNG LUÔN</t>
  </si>
  <si>
    <t xml:space="preserve">2200001831 - 1831.T01.2025/HPDQ-OTHY	</t>
  </si>
  <si>
    <t>2000002556 - HSNS T01</t>
  </si>
  <si>
    <t>HRC 1-Hàng hóa ok</t>
  </si>
  <si>
    <t>Xem tình hình LC của Hoa Sen thế nào mới biết có hạ bãi hay không</t>
  </si>
  <si>
    <t>2000002559 - HSNS T01</t>
  </si>
  <si>
    <t>2000002585 - 275.T01.TVĐ</t>
  </si>
  <si>
    <t>HRC1-Hàng hóa ok</t>
  </si>
  <si>
    <t>2200001830 - 1830.T01.2025/HPDQ-THP</t>
  </si>
  <si>
    <r>
      <rPr>
        <sz val="14"/>
        <color rgb="FF000000"/>
        <rFont val="Times New Roman"/>
        <family val="1"/>
      </rPr>
      <t>2000002588 - Tây Nam - 4.600T</t>
    </r>
    <r>
      <rPr>
        <b/>
        <sz val="14"/>
        <color rgb="FF7030A0"/>
        <rFont val="Times New Roman"/>
        <family val="1"/>
      </rPr>
      <t xml:space="preserve"> - lệnh ok</t>
    </r>
  </si>
  <si>
    <t>2200001818 - 1818.T01.2025/OTHP-KH</t>
  </si>
  <si>
    <t>2200001834 - 1834.T01.2025/HPDQ-THP</t>
  </si>
  <si>
    <t>2000002589 - 322.T02.2025/HPDQ-TMPHN</t>
  </si>
  <si>
    <t>2200001837 - 1837.T02.2025/HPDQ-OTHY</t>
  </si>
  <si>
    <t>2200001838 - 1838.T02.2025/HPDQ-OTHY</t>
  </si>
  <si>
    <t>2200001839 - 1839.T02.2025/HPDQ-OTHY</t>
  </si>
  <si>
    <t>2200001836 - 1836.T02.2025/HPDQ-THP</t>
  </si>
  <si>
    <t>10.02.2025
Chiều 10.2 từ ĐN về</t>
  </si>
  <si>
    <t>0h00 11/02 Bến 2</t>
  </si>
  <si>
    <t>2000002588 - Tây Nam - 1.400T - lệnh ok</t>
  </si>
  <si>
    <t>Dỡ Long Bình -&gt; Thiên Lộc Thành</t>
  </si>
  <si>
    <t>2200001840 - 1840.T02.2025/HPDQ-OTBD</t>
  </si>
  <si>
    <t>12.02.2025
Dỡ đá -&gt; nhận HRC</t>
  </si>
  <si>
    <t>22h00 12/02 Bến 1</t>
  </si>
  <si>
    <t>Ghép thép thành phẩm - cân tải</t>
  </si>
  <si>
    <t>2200001835 - 1835.T02.2025/HPDQ-HPC</t>
  </si>
  <si>
    <t>2000002601 - 257.T12.2024/HPDQ-MISVN(SMC) - lệnh ok</t>
  </si>
  <si>
    <t>2586 cũ (2601 mới): Xử lý hen gỉ trước khi xuất bán</t>
  </si>
  <si>
    <t xml:space="preserve">2000002550 - 302.T01.2025/HPDQ-THEONE </t>
  </si>
  <si>
    <t>11.02.2025
Dỡ đá -&gt; nhận HRC</t>
  </si>
  <si>
    <t>17h00 11/02 Bến 3</t>
  </si>
  <si>
    <t>2000002621 - HNS -    10/2 duyệt lệnh (LSD 20/2)</t>
  </si>
  <si>
    <t xml:space="preserve">KHÁCH TỪ CHỐI NHẬN HÀNG GỈ
TÀU XUẤT NHỮNG SIZE NÀY NHÉ Ạ - có gì mn nhớ nhắn NGA
Thép cuộn cán nóng 2.25 x 1250 SS400	Kg	 100,000 
Thép cuộn cán nóng 3.75 x 1410 SS400	Kg	 800,000 
Thép cuộn cán nóng 7.90 x 1500 SS400	Kg	 400,000 
Thép cuộn cán nóng 9.90 x 1500 SS400	Kg	 300,000 
Thép cuộn cán nóng 2.00 x 1250 SAE1006	Kg	 2,050,000 
Thép cuộn cán nóng 2.30 x 1250 SAE1006	Kg	 650,000 
Thép cuộn cán nóng 2.75 x 1250 SAE1006	Kg	 1,000,000 
Thép cuộn cán nóng 3.00 x 1230 SAE1006	Kg	 500,000 </t>
  </si>
  <si>
    <t>11.02.2025</t>
  </si>
  <si>
    <t>16h00 11/02 Bến 3/5</t>
  </si>
  <si>
    <t>2200001841 - 1841.T02.2025/HPDQ-OTHY - đi hết</t>
  </si>
  <si>
    <t>HRC 2-Hàng hóa ok</t>
  </si>
  <si>
    <t>Hàng spot</t>
  </si>
  <si>
    <t>2200001842 - 1842.T02.2025/HPDQ-OTHY - đi hết</t>
  </si>
  <si>
    <t>2200001843 - 1843.T02.2025/HPDQ-OTHY- đi hết</t>
  </si>
  <si>
    <t>2200001844 - 1844.T02.2025/HPDQ-THP - đi hết</t>
  </si>
  <si>
    <t>ưu tiên 2.3x1265: 832 tấn và 2.45x1250: 180 tấn đi hết, hàng khác cân tải</t>
  </si>
  <si>
    <t>13.02.2025</t>
  </si>
  <si>
    <t>12h00 15/02 Bến 1</t>
  </si>
  <si>
    <t>2000002587 - 296.T01.2025/HPDQ-TYTS - lệnh ok</t>
  </si>
  <si>
    <r>
      <rPr>
        <b/>
        <sz val="14"/>
        <color rgb="FFFF0000"/>
        <rFont val="Times New Roman"/>
        <family val="1"/>
      </rPr>
      <t xml:space="preserve">Ghép thép thành phẩm - cân tải 
</t>
    </r>
    <r>
      <rPr>
        <b/>
        <sz val="14"/>
        <color rgb="FF7030A0"/>
        <rFont val="Times New Roman"/>
        <family val="1"/>
      </rPr>
      <t>Lệnh này chỉ xuất 1 hóa đơn và trước 16h giúp em</t>
    </r>
  </si>
  <si>
    <t>2000002590 - 286.T01.2025/HPDQ-JFE (TDA) (lot 1)</t>
  </si>
  <si>
    <t>2200001848 - 1848.T02.2025/HPDQ-OTBD</t>
  </si>
  <si>
    <t>14.02.2025
Dỡ đá -&gt; nhận HRC</t>
  </si>
  <si>
    <t>17h00 15/02 Bến 3</t>
  </si>
  <si>
    <t>2200001846 - 1846.T02.2025/HPDQ-OTHY</t>
  </si>
  <si>
    <t>Cân tải</t>
  </si>
  <si>
    <t>THAY THẾ TÀU VIỆT THUẬN 045-03</t>
  </si>
  <si>
    <t>2200001847 - 1847.T02.2025/HPDQ-OTHY</t>
  </si>
  <si>
    <t>CƯỜNG THỊNH 68</t>
  </si>
  <si>
    <t>15/02 C.TH</t>
  </si>
  <si>
    <t>2000002602 - VNO 222E -3000T</t>
  </si>
  <si>
    <t>2000002603 - VNO 222F - 1150T</t>
  </si>
  <si>
    <t>20H00 15/02 C.TH</t>
  </si>
  <si>
    <t>2200001836 - 1836.T02.2025/HPDQ-THP - 1800T</t>
  </si>
  <si>
    <t xml:space="preserve">2200001846 - 1846.T02.2025/HPDQ-OTHY - 1000T </t>
  </si>
  <si>
    <t>2200001850 - 1850.T02.2025/HPDQ-OTHY 330T</t>
  </si>
  <si>
    <t>7H00 16/02</t>
  </si>
  <si>
    <t xml:space="preserve">15h00 16/02 Bến 3 </t>
  </si>
  <si>
    <t>2200001851 - 1851.T02.2025/HPDQ-THP</t>
  </si>
  <si>
    <t>2000002603 - VNO 222F - 1850T</t>
  </si>
  <si>
    <t>Dỡ Posco -&gt; Phú Mỹ</t>
  </si>
  <si>
    <t>2000002628- 311.T02.2025/HPDQ-JFE (lot 2)</t>
  </si>
  <si>
    <t>đủ mapping - đã duyệt lệnh</t>
  </si>
  <si>
    <t>2000002627 - 311.T02.2025/HPDQ-JFE (lot 1)</t>
  </si>
  <si>
    <t>19-20.02.2025
NEO</t>
  </si>
  <si>
    <t>15h30 20/02 Bến 1</t>
  </si>
  <si>
    <r>
      <rPr>
        <b/>
        <sz val="14"/>
        <color rgb="FF000000"/>
        <rFont val="Times New Roman"/>
        <family val="1"/>
      </rPr>
      <t xml:space="preserve">2000002636 - 297.T01.2025/HPDQ-KKNH (lot 2)
</t>
    </r>
    <r>
      <rPr>
        <b/>
        <sz val="14"/>
        <color rgb="FFFF0000"/>
        <rFont val="Times New Roman"/>
        <family val="1"/>
      </rPr>
      <t>HẠ BÃI</t>
    </r>
  </si>
  <si>
    <r>
      <rPr>
        <sz val="14"/>
        <color rgb="FF000000"/>
        <rFont val="Times New Roman"/>
        <family val="1"/>
      </rPr>
      <t xml:space="preserve">2000002637 - 297.T01.2025/HPDQ-KKNH (lot 3) 2.250T
</t>
    </r>
    <r>
      <rPr>
        <sz val="14"/>
        <color rgb="FFFF0000"/>
        <rFont val="Times New Roman"/>
        <family val="1"/>
      </rPr>
      <t>HẠ BÃI</t>
    </r>
  </si>
  <si>
    <t>18-19.02.2025
NEO</t>
  </si>
  <si>
    <t>20/02 Bến 3</t>
  </si>
  <si>
    <t xml:space="preserve">2000002635 - 297.T01.2025/HPDQ-KKNH </t>
  </si>
  <si>
    <t xml:space="preserve">giao trước (2000T SIZE 2X1265 + 600T SIZE 2.3 X 1300 + 400T 2.4 X 1300) - 20 duyệt lệnh </t>
  </si>
  <si>
    <t>ASP HOPE</t>
  </si>
  <si>
    <t>16.02.2025</t>
  </si>
  <si>
    <t>20/02 Bến 6</t>
  </si>
  <si>
    <t xml:space="preserve">2400001009 - 07.T02-25/HPDQ-AMI - LINH </t>
  </si>
  <si>
    <t>7h 21.02.2025</t>
  </si>
  <si>
    <t>11h00 21/02 Bến 3/5</t>
  </si>
  <si>
    <r>
      <rPr>
        <b/>
        <sz val="14"/>
        <color rgb="FF000000"/>
        <rFont val="Times New Roman"/>
        <family val="1"/>
      </rPr>
      <t xml:space="preserve">2000002609 - Kỳ Đồng - 290.T01.2025/HPDQ-KD - 10.000T
</t>
    </r>
    <r>
      <rPr>
        <b/>
        <sz val="14"/>
        <color rgb="FFFF0000"/>
        <rFont val="Times New Roman"/>
        <family val="1"/>
      </rPr>
      <t>HẠ BÃI - lệnh ok</t>
    </r>
  </si>
  <si>
    <t>Giao trước 7450T (size 2.75, size 3.75, size 5.75, size 7.75) để lại size 4.75 và 9.75</t>
  </si>
  <si>
    <r>
      <rPr>
        <sz val="14"/>
        <color rgb="FF000000"/>
        <rFont val="Times New Roman"/>
        <family val="1"/>
      </rPr>
      <t xml:space="preserve">2000002611 - Nam Kim - 287.T01.2025/HPDQ-NK - 14.000T
</t>
    </r>
    <r>
      <rPr>
        <sz val="14"/>
        <color rgb="FFFF0000"/>
        <rFont val="Times New Roman"/>
        <family val="1"/>
      </rPr>
      <t>HẠ BÃI - lệnh ok</t>
    </r>
  </si>
  <si>
    <r>
      <rPr>
        <b/>
        <sz val="14"/>
        <color rgb="FF0070C0"/>
        <rFont val="Times New Roman"/>
        <family val="1"/>
      </rPr>
      <t xml:space="preserve">Xuất hết 500T size 2.40x1219 và thêm 250T size 2.20x1219
</t>
    </r>
    <r>
      <rPr>
        <sz val="14"/>
        <color rgb="FFFF0000"/>
        <rFont val="Times New Roman"/>
        <family val="1"/>
      </rPr>
      <t>6k còn lại khổ 126x SX đợt 20-27.02 - lượng này t3 có hàng thì cho đi sau, còn hiện tại Nam Kim đã mao 14.754kt rồi thì cho đi hết đợt này</t>
    </r>
  </si>
  <si>
    <r>
      <rPr>
        <sz val="14"/>
        <color rgb="FF000000"/>
        <rFont val="Times New Roman"/>
        <family val="1"/>
      </rPr>
      <t xml:space="preserve">2000002644 - 292.T01.2025/HPDQ-TL (dự kiến 21/02 có lệnh)
</t>
    </r>
    <r>
      <rPr>
        <sz val="14"/>
        <color rgb="FFFF0000"/>
        <rFont val="Times New Roman"/>
        <family val="1"/>
      </rPr>
      <t>HÀNG GIAO LUÔN TẠI TÀU</t>
    </r>
  </si>
  <si>
    <r>
      <rPr>
        <sz val="14"/>
        <color rgb="FF000000"/>
        <rFont val="Times New Roman"/>
        <family val="1"/>
      </rPr>
      <t xml:space="preserve">2000002647-297A.T01.2025/HPDQ-TVN
</t>
    </r>
    <r>
      <rPr>
        <sz val="14"/>
        <color rgb="FFFF0000"/>
        <rFont val="Times New Roman"/>
        <family val="1"/>
      </rPr>
      <t xml:space="preserve">HẠ BÃI </t>
    </r>
  </si>
  <si>
    <t>Tổng maping 10,290 - lệnh ok</t>
  </si>
  <si>
    <r>
      <rPr>
        <sz val="14"/>
        <color rgb="FF000000"/>
        <rFont val="Times New Roman"/>
        <family val="1"/>
      </rPr>
      <t xml:space="preserve">2000002648-297A.T01.2025/HPDQ-TVN
</t>
    </r>
    <r>
      <rPr>
        <sz val="14"/>
        <color rgb="FFFF0000"/>
        <rFont val="Times New Roman"/>
        <family val="1"/>
      </rPr>
      <t>HẠ BÃI</t>
    </r>
  </si>
  <si>
    <r>
      <rPr>
        <sz val="14"/>
        <color rgb="FF000000"/>
        <rFont val="Times New Roman"/>
        <family val="1"/>
      </rPr>
      <t xml:space="preserve">2000002649-297A.T01.2025/HPDQ-TVN
</t>
    </r>
    <r>
      <rPr>
        <sz val="14"/>
        <color rgb="FFFF0000"/>
        <rFont val="Times New Roman"/>
        <family val="1"/>
      </rPr>
      <t>HẠ BÃI</t>
    </r>
  </si>
  <si>
    <r>
      <rPr>
        <sz val="14"/>
        <color rgb="FF000000"/>
        <rFont val="Times New Roman"/>
        <family val="1"/>
      </rPr>
      <t xml:space="preserve">2000002650- 297A.T01.2025/HPDQ-TVN
</t>
    </r>
    <r>
      <rPr>
        <sz val="14"/>
        <color rgb="FFFF0000"/>
        <rFont val="Times New Roman"/>
        <family val="1"/>
      </rPr>
      <t>HẠ BÃI</t>
    </r>
  </si>
  <si>
    <t>8h 21.02.2025</t>
  </si>
  <si>
    <t>20h00 21/02 Bến 1</t>
  </si>
  <si>
    <r>
      <rPr>
        <b/>
        <sz val="14"/>
        <color rgb="FF000000"/>
        <rFont val="Times New Roman"/>
        <family val="1"/>
      </rPr>
      <t xml:space="preserve">2000002660 - 268A.T12.2024/HPDQ-OTSG - 5.266T
</t>
    </r>
    <r>
      <rPr>
        <b/>
        <sz val="14"/>
        <color rgb="FFFF0000"/>
        <rFont val="Times New Roman"/>
        <family val="1"/>
      </rPr>
      <t>HẠ BÃI</t>
    </r>
  </si>
  <si>
    <r>
      <rPr>
        <sz val="14"/>
        <color rgb="FF000000"/>
        <rFont val="Times New Roman"/>
        <family val="1"/>
      </rPr>
      <t xml:space="preserve">2000002661 - 268A.T12.2024/HPDQ-OTSG - 5.266T
</t>
    </r>
    <r>
      <rPr>
        <sz val="14"/>
        <color rgb="FFFF0000"/>
        <rFont val="Times New Roman"/>
        <family val="1"/>
      </rPr>
      <t>HẠ BÃI</t>
    </r>
  </si>
  <si>
    <t>20-21.02.2025</t>
  </si>
  <si>
    <t>13H30 21/02 Bến 3</t>
  </si>
  <si>
    <t xml:space="preserve">2200001858 - 1858.T03.2025/HPDQ-THP-KH 10K HRC2 </t>
  </si>
  <si>
    <t>HRC 2 - Hàng hóa OK (SO đã map 7k7)</t>
  </si>
  <si>
    <t>21-22.02.2025</t>
  </si>
  <si>
    <t>18h00 22/02 Bến 2</t>
  </si>
  <si>
    <r>
      <rPr>
        <b/>
        <sz val="14"/>
        <color rgb="FF000000"/>
        <rFont val="Times New Roman"/>
        <family val="1"/>
      </rPr>
      <t xml:space="preserve">2000002659 - 268B.T12.QTVN - 5.500T
</t>
    </r>
    <r>
      <rPr>
        <b/>
        <sz val="14"/>
        <color rgb="FFFF0000"/>
        <rFont val="Times New Roman"/>
        <family val="1"/>
      </rPr>
      <t>GIAO LUÔN</t>
    </r>
  </si>
  <si>
    <r>
      <rPr>
        <b/>
        <sz val="14"/>
        <color rgb="FF000000"/>
        <rFont val="Times New Roman"/>
        <family val="1"/>
      </rPr>
      <t xml:space="preserve">2200001858 - 1858.T01.2025/HPDQ-THP-KH
</t>
    </r>
    <r>
      <rPr>
        <b/>
        <sz val="14"/>
        <color rgb="FFFF0000"/>
        <rFont val="Times New Roman"/>
        <family val="1"/>
      </rPr>
      <t xml:space="preserve">GIAO LUÔN </t>
    </r>
  </si>
  <si>
    <t>JERSEY SPIRIT</t>
  </si>
  <si>
    <t>10h00 21/02 C.TH</t>
  </si>
  <si>
    <t>2400001018 - 09.T02-25/HPDQ-SI (lot 1) - HƯƠNG - lệnh ok</t>
  </si>
  <si>
    <t>1018+1017 =9k tấn</t>
  </si>
  <si>
    <t>2400001017 - 09.T02-25/HPDQ-SI (lot 2) - HƯƠNG - lệnh ok</t>
  </si>
  <si>
    <t>Đang xin vớt 1 cuộn hụt CW &gt;&gt; chốt mapping</t>
  </si>
  <si>
    <t>22-23.02.2025
Dỡ đá -&gt; nhận HRC</t>
  </si>
  <si>
    <t>15h00 22/02 Bến 3</t>
  </si>
  <si>
    <t>2200001854 - 1854.T02.2025/HPDQ-OTHY 526TAN HRC1</t>
  </si>
  <si>
    <t>HRC 1 - Hàng spot</t>
  </si>
  <si>
    <t>2200001855 - 1855.T02.2025/HPDQ-THP 3225TAN HRC1</t>
  </si>
  <si>
    <t>Ưu tiên: 
3.15x1260 sae1006: 135 t
2.95x1260 sae1006: 167 t
3.45x1260 sae1006: 92 t
Tổng gấp: 395T
Còn lại ra hàng khác</t>
  </si>
  <si>
    <t>2000002631 - 302.T02.2025/HPDQ-TVĐ - lệnh ok</t>
  </si>
  <si>
    <t xml:space="preserve">HRC1 - Hàng hóa ok </t>
  </si>
  <si>
    <t>2200001858 - 1858.T03.2025/HPDQ-THP-KH 10K HRC2</t>
  </si>
  <si>
    <t>22-23/02 Bến 1</t>
  </si>
  <si>
    <r>
      <rPr>
        <b/>
        <sz val="14"/>
        <color rgb="FF000000"/>
        <rFont val="Times New Roman"/>
        <family val="1"/>
      </rPr>
      <t xml:space="preserve">2000002637 - 297.T01.2025/HPDQ-KKNH (lot 3) 2.250T
</t>
    </r>
    <r>
      <rPr>
        <b/>
        <sz val="14"/>
        <color rgb="FFFF0000"/>
        <rFont val="Times New Roman"/>
        <family val="1"/>
      </rPr>
      <t>HẠ BÃI</t>
    </r>
  </si>
  <si>
    <r>
      <rPr>
        <sz val="14"/>
        <color rgb="FF000000"/>
        <rFont val="Times New Roman"/>
        <family val="1"/>
      </rPr>
      <t xml:space="preserve">2000002638 - 297.T01.2025/HPDQ-KKNH (lot 4)  1.850T
</t>
    </r>
    <r>
      <rPr>
        <sz val="14"/>
        <color rgb="FFFF0000"/>
        <rFont val="Times New Roman"/>
        <family val="1"/>
      </rPr>
      <t>HẠ BÃI</t>
    </r>
  </si>
  <si>
    <r>
      <rPr>
        <sz val="14"/>
        <color rgb="FF000000"/>
        <rFont val="Times New Roman"/>
        <family val="1"/>
      </rPr>
      <t xml:space="preserve">2200001856 - 1856.T02.2025/HPDQ-OTBD 2059TAN HRC1
</t>
    </r>
    <r>
      <rPr>
        <sz val="14"/>
        <color rgb="FFFF0000"/>
        <rFont val="Times New Roman"/>
        <family val="1"/>
      </rPr>
      <t xml:space="preserve">HÀNG GIAO LUÔN </t>
    </r>
  </si>
  <si>
    <t>22-23.02.2025</t>
  </si>
  <si>
    <t>23/02 Bến 1</t>
  </si>
  <si>
    <r>
      <rPr>
        <b/>
        <sz val="14"/>
        <color rgb="FF000000"/>
        <rFont val="Times New Roman"/>
        <family val="1"/>
      </rPr>
      <t xml:space="preserve">2200001855 - 1855.T02.2025/HPDQ-THP 3225TAN HRC1
</t>
    </r>
    <r>
      <rPr>
        <b/>
        <sz val="14"/>
        <color rgb="FFFF0000"/>
        <rFont val="Times New Roman"/>
        <family val="1"/>
      </rPr>
      <t xml:space="preserve">HÀNG GIAO LUÔN </t>
    </r>
  </si>
  <si>
    <r>
      <rPr>
        <sz val="14"/>
        <color rgb="FF000000"/>
        <rFont val="Times New Roman"/>
        <family val="1"/>
      </rPr>
      <t xml:space="preserve">2200001857 - 1857.T02.2025/HPDQ-OTHY 2058TAN HRC1
</t>
    </r>
    <r>
      <rPr>
        <sz val="14"/>
        <color rgb="FFFF0000"/>
        <rFont val="Times New Roman"/>
        <family val="1"/>
      </rPr>
      <t xml:space="preserve">HÀNG GIAO LUÔN </t>
    </r>
  </si>
  <si>
    <t>23.02.2025
NEO</t>
  </si>
  <si>
    <t>24/02 Bến 3</t>
  </si>
  <si>
    <t xml:space="preserve">2000002610 - 286.T01.2025/HPDQ-JFE (lot 2) - 2500T </t>
  </si>
  <si>
    <t xml:space="preserve">
Dỡ Phú Mỹ - Tân Thuận</t>
  </si>
  <si>
    <t xml:space="preserve">2000002629 - 311.T02.2025/HPDQ-JFE (lot 3) - 740T </t>
  </si>
  <si>
    <t>LUCKY RIVER</t>
  </si>
  <si>
    <t>22.02.2025</t>
  </si>
  <si>
    <t>24/02 Bến 5/10</t>
  </si>
  <si>
    <t>2400001007 - 08.T02-25/HPDQ-JFE - GIANG</t>
  </si>
  <si>
    <t>Dán nhãn màu chia cảng dỡ: Jakarta - nhãn xanh</t>
  </si>
  <si>
    <t xml:space="preserve">2400001016- 06.T02-25/HPDQ-MI - LINH </t>
  </si>
  <si>
    <t>Dán nhãn màu chia cảng dỡ: Semarang - nhãn vàng</t>
  </si>
  <si>
    <t>23-24.02.2025
NEO</t>
  </si>
  <si>
    <t>24/02 Bến tàu lai</t>
  </si>
  <si>
    <t>2000002652 - 308.T01.2025/HPDQ-TMP-SX 10KTAN đi Hải Phòng</t>
  </si>
  <si>
    <t>25.02.2025</t>
  </si>
  <si>
    <t>5h00 26/02 Bến 3/5</t>
  </si>
  <si>
    <r>
      <rPr>
        <b/>
        <sz val="14"/>
        <color rgb="FF000000"/>
        <rFont val="Times New Roman"/>
        <family val="1"/>
      </rPr>
      <t xml:space="preserve">2000002570 - 259B.T12.2024/HPDQ-CNQHP
</t>
    </r>
    <r>
      <rPr>
        <b/>
        <sz val="14"/>
        <color rgb="FFFF0000"/>
        <rFont val="Times New Roman"/>
        <family val="1"/>
      </rPr>
      <t>HẠ BÃI</t>
    </r>
  </si>
  <si>
    <t>Vượt 80t</t>
  </si>
  <si>
    <r>
      <rPr>
        <sz val="14"/>
        <color rgb="FF000000"/>
        <rFont val="Times New Roman"/>
        <family val="1"/>
      </rPr>
      <t xml:space="preserve">2000002571 - 259C.T12.2024/HPDQ-CNQHP
</t>
    </r>
    <r>
      <rPr>
        <sz val="14"/>
        <color rgb="FFFF0000"/>
        <rFont val="Times New Roman"/>
        <family val="1"/>
      </rPr>
      <t>HẠ BÃI</t>
    </r>
  </si>
  <si>
    <t>Vượt 60t</t>
  </si>
  <si>
    <t>2000002633 - 259D.T12.2024/HPDQ-CNQHP
HẠ BÃI</t>
  </si>
  <si>
    <t>2000002634 - 259E.T12.2024/HPDQ-CNQHP
HẠ BÃI</t>
  </si>
  <si>
    <r>
      <rPr>
        <sz val="14"/>
        <color rgb="FF000000"/>
        <rFont val="Times New Roman"/>
        <family val="1"/>
      </rPr>
      <t xml:space="preserve">2000002611 - Nam Kim - 287.T01.2025/HPDQ-NK - 14.000T
</t>
    </r>
    <r>
      <rPr>
        <sz val="14"/>
        <color rgb="FFFF0000"/>
        <rFont val="Times New Roman"/>
        <family val="1"/>
      </rPr>
      <t>HẠ BÃI</t>
    </r>
  </si>
  <si>
    <t>Đã map được 14k tấn</t>
  </si>
  <si>
    <r>
      <rPr>
        <sz val="14"/>
        <color rgb="FF000000"/>
        <rFont val="Times New Roman"/>
        <family val="1"/>
      </rPr>
      <t xml:space="preserve">2000002609 - Kỳ Đồng - 290.T01.2025/HPDQ-KD - 10.000T
</t>
    </r>
    <r>
      <rPr>
        <sz val="14"/>
        <color rgb="FFFF0000"/>
        <rFont val="Times New Roman"/>
        <family val="1"/>
      </rPr>
      <t>HẠ BÃI - lệnh ok</t>
    </r>
  </si>
  <si>
    <t>Giao size 4.75 và size 9.75</t>
  </si>
  <si>
    <t>OCEAN GOLD</t>
  </si>
  <si>
    <t>24.02.2025</t>
  </si>
  <si>
    <t>13h 25.02
HÀO HƯNG PORT</t>
  </si>
  <si>
    <t>2400001013 - 10.T02-25/HPDQ-CSC - LINH  (đủ mapping) - 500t (LỆNH OK)</t>
  </si>
  <si>
    <t>Chốt maping</t>
  </si>
  <si>
    <t>2400001000 - 11.T02-25/HPDQ-GS - HẰNG</t>
  </si>
  <si>
    <r>
      <rPr>
        <sz val="14"/>
        <color rgb="FF000000"/>
        <rFont val="Times New Roman"/>
        <family val="1"/>
      </rPr>
      <t>2400001001 - 11.T02-25/HPDQ-GS - HẰNG</t>
    </r>
    <r>
      <rPr>
        <b/>
        <sz val="14"/>
        <color rgb="FF7030A0"/>
        <rFont val="Times New Roman"/>
        <family val="1"/>
      </rPr>
      <t xml:space="preserve"> </t>
    </r>
  </si>
  <si>
    <t>2400001002- 11.T02-25/HPDQ-GS - HẰNG</t>
  </si>
  <si>
    <r>
      <rPr>
        <sz val="14"/>
        <color rgb="FF000000"/>
        <rFont val="Times New Roman"/>
        <family val="1"/>
      </rPr>
      <t>2400001019 -</t>
    </r>
    <r>
      <rPr>
        <sz val="14"/>
        <color rgb="FF7030A0"/>
        <rFont val="Times New Roman"/>
        <family val="1"/>
      </rPr>
      <t xml:space="preserve"> </t>
    </r>
    <r>
      <rPr>
        <sz val="14"/>
        <color rgb="FF000000"/>
        <rFont val="Times New Roman"/>
        <family val="1"/>
      </rPr>
      <t>12.T02-25/HPDQ-GS - Hương - lệnh ok</t>
    </r>
  </si>
  <si>
    <t>2400001020 - 12.T02-25/HPDQ-GS - Hương - lệnh ok</t>
  </si>
  <si>
    <t>2400001008 - 13.T02-25/HPDQ-GS - GIANG</t>
  </si>
  <si>
    <t>2400001010 - 13.T02-25/HPDQ-GS - GIANG</t>
  </si>
  <si>
    <t>2400001011 - 13.T02-25/HPDQ-GS - GIANG</t>
  </si>
  <si>
    <t xml:space="preserve">2400001004 - 14.T02-25/HPDQ-GS -  NGỌC </t>
  </si>
  <si>
    <t>2400001021 - 15.T02-25/HPDQ-GS - Hương - lệnh ok</t>
  </si>
  <si>
    <t>2400001022 - 15.T02-25/HPDQ-GS - Hương - lệnh ok</t>
  </si>
  <si>
    <t>2400001023 - 15.T02-25/HPDQ-GS - Hương - lệnh ok</t>
  </si>
  <si>
    <t xml:space="preserve">2400001024 - 16.T02-25/HPDQ-GS - NGỌC </t>
  </si>
  <si>
    <t xml:space="preserve">2400001005  - 16.T02-25/HPDQ-GS - NGỌC </t>
  </si>
  <si>
    <t>23-24.02.2025</t>
  </si>
  <si>
    <t>26/02 Bến 1</t>
  </si>
  <si>
    <t>2000002656 - 312.T02.2025/HPDQ-TN (NĐ) - 6.000T (dk 21-22/02 duyệt)</t>
  </si>
  <si>
    <t>HRC2 - Hàng hóa ok (5952 tấn)</t>
  </si>
  <si>
    <t>26.02.2025</t>
  </si>
  <si>
    <t>2000002618 - 222B2 MOV(VNO) - Cẩm Nguyên (lệnh ok)</t>
  </si>
  <si>
    <t>2000002616 - 222A2 MOV(VNO) - Cẩm Nguyên (lệnh ok)</t>
  </si>
  <si>
    <t>2000002646 -  222A3 HWA(VNO) - Cẩm Nguyên (lệnh ok)</t>
  </si>
  <si>
    <t>25-26.02.2025</t>
  </si>
  <si>
    <t>26-27/02 Bến 3</t>
  </si>
  <si>
    <t>CHỐT TRONG THÁNG 2</t>
  </si>
  <si>
    <t>2200001859 - 1859.T02.2025/HPDQ-OTHY 2935TAN đi Hải Phòng HRC2</t>
  </si>
  <si>
    <r>
      <rPr>
        <sz val="14"/>
        <color rgb="FF000000"/>
        <rFont val="Times New Roman"/>
        <family val="1"/>
      </rPr>
      <t xml:space="preserve">2200001862 - 1862.T02.2025/HPDQ-THP 5216TAN đi Hải Phòng HRC2 - </t>
    </r>
    <r>
      <rPr>
        <sz val="14"/>
        <color rgb="FFFF0000"/>
        <rFont val="Times New Roman"/>
        <family val="1"/>
      </rPr>
      <t>CÂN TẢI</t>
    </r>
  </si>
  <si>
    <t>HRC 2 - Hàng hóa ok ( đã map 5364)</t>
  </si>
  <si>
    <t>3h00 28/02 Bến Tàu lai</t>
  </si>
  <si>
    <t>2000002656 - 312.T02.2025/HPDQ-TN (NĐ) - 6.000T - lệnh ok</t>
  </si>
  <si>
    <t>27.02.2025
Dỡ đá -&gt; nhận HRC</t>
  </si>
  <si>
    <t>2h00 28/02 Bến 2</t>
  </si>
  <si>
    <r>
      <rPr>
        <b/>
        <sz val="14"/>
        <color rgb="FF000000"/>
        <rFont val="Times New Roman"/>
        <family val="1"/>
      </rPr>
      <t xml:space="preserve">2000002623 - 316.T02.2025/HPDQ-PVN - Posco (lệnh ok)
</t>
    </r>
    <r>
      <rPr>
        <b/>
        <sz val="14"/>
        <color rgb="FFFF0000"/>
        <rFont val="Times New Roman"/>
        <family val="1"/>
      </rPr>
      <t>GIAO HÀNG LUÔN, 4/3 POSCO MỚI CÓ CẦU (RA HẾT HÓA ĐƠN TRONG THÁNG 2)</t>
    </r>
  </si>
  <si>
    <r>
      <rPr>
        <sz val="14"/>
        <color rgb="FF000000"/>
        <rFont val="Times New Roman"/>
        <family val="1"/>
      </rPr>
      <t xml:space="preserve">2000002661 - 268A.T12.2024/HPDQ-OTSG - 5.266T
</t>
    </r>
    <r>
      <rPr>
        <sz val="14"/>
        <color rgb="FFFF0000"/>
        <rFont val="Times New Roman"/>
        <family val="1"/>
      </rPr>
      <t>GIAO LUÔN</t>
    </r>
  </si>
  <si>
    <t>NHỮNG TÀU ĐẨY SANG THÁNG 3</t>
  </si>
  <si>
    <t>2000002643 - 305.T01.2025/HPDQ-TMN 10KTAN đi Hải Phòng</t>
  </si>
  <si>
    <r>
      <rPr>
        <sz val="14"/>
        <color rgb="FF000000"/>
        <rFont val="Times New Roman"/>
        <family val="1"/>
      </rPr>
      <t xml:space="preserve">2000002624 - 276.T01.2025/HPDQ-TP - 2kt </t>
    </r>
    <r>
      <rPr>
        <b/>
        <sz val="14"/>
        <color rgb="FF000000"/>
        <rFont val="Times New Roman"/>
        <family val="1"/>
      </rPr>
      <t>(lệnh ok)</t>
    </r>
  </si>
  <si>
    <t>HRC 2 - Dự kiến 25/2 đủ hàng</t>
  </si>
  <si>
    <t>26-27.02.2025
ĐANG CHẠY VỀ</t>
  </si>
  <si>
    <t>01-02/03 C.TH</t>
  </si>
  <si>
    <t>2000002641 - 320.T2.2025/HPDQ-HPL 300TAN đi Phú Mỹ</t>
  </si>
  <si>
    <t>2000002642 - 321.T2.2025/HPDQ-HPL 250TAN đi Phú Mỹ</t>
  </si>
  <si>
    <t>2200001856 - 1856.T02.2025/HPDQ-OTBD 2059TAN HRC1</t>
  </si>
  <si>
    <t>2000002665 - 324.T03.2025/HPDQ-TDA</t>
  </si>
  <si>
    <t>2000002622 - 315.T02.2025/HPDQ-SEAH LSD 30/03 (lệnh ok)</t>
  </si>
  <si>
    <t>26.02.2025
ĐANG CHẠY VỀ</t>
  </si>
  <si>
    <t>27-28/02 Bến 3</t>
  </si>
  <si>
    <r>
      <rPr>
        <b/>
        <sz val="14"/>
        <color rgb="FF000000"/>
        <rFont val="Times New Roman"/>
        <family val="1"/>
      </rPr>
      <t xml:space="preserve">2000002599 - 280.T01.2025/HPDQ-NSTV (20/2 có lệnh)
</t>
    </r>
    <r>
      <rPr>
        <b/>
        <sz val="14"/>
        <color rgb="FFFF0000"/>
        <rFont val="Times New Roman"/>
        <family val="1"/>
      </rPr>
      <t xml:space="preserve">GIAO LUÔN </t>
    </r>
  </si>
  <si>
    <r>
      <rPr>
        <sz val="14"/>
        <color rgb="FF000000"/>
        <rFont val="Times New Roman"/>
        <family val="1"/>
      </rPr>
      <t xml:space="preserve">2200001851 - 1851.T02.2025/HPDQ-THP 1.140TAN - HRC 2            </t>
    </r>
    <r>
      <rPr>
        <sz val="14"/>
        <color rgb="FFFF0000"/>
        <rFont val="Times New Roman"/>
        <family val="1"/>
      </rPr>
      <t xml:space="preserve">GIAO LUÔN </t>
    </r>
  </si>
  <si>
    <r>
      <t xml:space="preserve">2000002658 - 268B.T12.QTVN - 5.500T
</t>
    </r>
    <r>
      <rPr>
        <sz val="14"/>
        <color rgb="FFFF0000"/>
        <rFont val="Times New Roman"/>
        <family val="1"/>
      </rPr>
      <t>HẠ BÃI</t>
    </r>
  </si>
  <si>
    <t>01/03 Bến tàu lai</t>
  </si>
  <si>
    <r>
      <rPr>
        <b/>
        <sz val="14"/>
        <color rgb="FF000000"/>
        <rFont val="Times New Roman"/>
        <family val="1"/>
      </rPr>
      <t xml:space="preserve">2000002645 - 222B1 MOV(VNO) - Cẩm Nguyên (lệnh ok)
</t>
    </r>
    <r>
      <rPr>
        <b/>
        <sz val="14"/>
        <color rgb="FFFF0000"/>
        <rFont val="Times New Roman"/>
        <family val="1"/>
      </rPr>
      <t>HÀNG GIAO LUÔN TẠI TÀU</t>
    </r>
  </si>
  <si>
    <r>
      <rPr>
        <sz val="14"/>
        <color rgb="FF000000"/>
        <rFont val="Times New Roman"/>
        <family val="1"/>
      </rPr>
      <t xml:space="preserve">2000002636 - 297.T01.2025/HPDQ-KKNH (lot 2)
</t>
    </r>
    <r>
      <rPr>
        <sz val="14"/>
        <color rgb="FFFF0000"/>
        <rFont val="Times New Roman"/>
        <family val="1"/>
      </rPr>
      <t>HẠ BÃI</t>
    </r>
  </si>
  <si>
    <r>
      <rPr>
        <sz val="14"/>
        <color rgb="FF000000"/>
        <rFont val="Times New Roman"/>
        <family val="1"/>
      </rPr>
      <t xml:space="preserve">2200001861 - 1861.T02.2025/HPDQ-OTBD 3275TAN  HRC2
</t>
    </r>
    <r>
      <rPr>
        <sz val="14"/>
        <color rgb="FFFF0000"/>
        <rFont val="Times New Roman"/>
        <family val="1"/>
      </rPr>
      <t>HÀNG GIAO LUÔN</t>
    </r>
  </si>
  <si>
    <t>27/02 Bến Tàu lai</t>
  </si>
  <si>
    <t>2000002655 - 222D3 HWA(VNO) - Cẩm Nguyên (DK 26/02 duyệt)</t>
  </si>
  <si>
    <t>2000002653 - 222D1 MOV(VNO) - Cẩm Nguyên (DK 26/02 duyệt)</t>
  </si>
  <si>
    <t>2000002654 - 222D2 HWA(VNO) - Cẩm Nguyên (DK 26/02 duyệt)</t>
  </si>
  <si>
    <t>2000002645 - 222B1 MOV(VNO) - Cẩm Nguyên (DK 26/02 duyệt)</t>
  </si>
  <si>
    <t>LỊCH TÀU XUẤT HRC THÁNG 01/2025</t>
  </si>
  <si>
    <t>02-03.01.2025</t>
  </si>
  <si>
    <t>02/01 Bến 3/5</t>
  </si>
  <si>
    <t>2000002506 - HSNS T12  - Nghi Sơn - 860 tấn</t>
  </si>
  <si>
    <t>2493: ok
2506: ok
1811: spot ok
1812: spot ok
1813: spot ok</t>
  </si>
  <si>
    <t>2000002493 -  237.T11 - Nghi Sơn Hoa Sen  Hàng hóa ok - 13kt - LSD 5/1
(Em cần lệnh 2000002493 load xong muộn nhất ngày 5/1)</t>
  </si>
  <si>
    <t>2200001811 - 1811.T12.2024/HPDQ-OTHY - 4.791T</t>
  </si>
  <si>
    <t>2200001812 - 1812.T12.2024/HPDQ-OTHY - 5.017T</t>
  </si>
  <si>
    <t>2200001813 - 1813.T12.2024/HPDQ-OTHY - 645T cân tải</t>
  </si>
  <si>
    <t>TRAWIND VISION</t>
  </si>
  <si>
    <t>02.01.2025</t>
  </si>
  <si>
    <t>13h00 03/01 Bến 6/11</t>
  </si>
  <si>
    <r>
      <rPr>
        <sz val="14"/>
        <color rgb="FF000000"/>
        <rFont val="Times New Roman"/>
        <family val="1"/>
      </rPr>
      <t xml:space="preserve">2400000989 - 01.T01-25 HPDQ-GS (SPHC) - LINH  </t>
    </r>
    <r>
      <rPr>
        <b/>
        <sz val="14"/>
        <color rgb="FF7030A0"/>
        <rFont val="Times New Roman"/>
        <family val="1"/>
      </rPr>
      <t xml:space="preserve">Hàng hóa ok
</t>
    </r>
    <r>
      <rPr>
        <sz val="14"/>
        <color rgb="FF000000"/>
        <rFont val="Times New Roman"/>
        <family val="1"/>
      </rPr>
      <t>2400000987 -</t>
    </r>
    <r>
      <rPr>
        <sz val="14"/>
        <color rgb="FF002060"/>
        <rFont val="Times New Roman"/>
        <family val="1"/>
      </rPr>
      <t xml:space="preserve"> 01.T01-25 HPDQ-GS (S275JR Skin) - LINH </t>
    </r>
    <r>
      <rPr>
        <b/>
        <sz val="14"/>
        <color rgb="FF7030A0"/>
        <rFont val="Times New Roman"/>
        <family val="1"/>
      </rPr>
      <t xml:space="preserve">Hàng hóa ok
</t>
    </r>
    <r>
      <rPr>
        <sz val="14"/>
        <color rgb="FF002060"/>
        <rFont val="Times New Roman"/>
        <family val="1"/>
      </rPr>
      <t xml:space="preserve">2400000988 </t>
    </r>
    <r>
      <rPr>
        <sz val="14"/>
        <color rgb="FF000000"/>
        <rFont val="Times New Roman"/>
        <family val="1"/>
      </rPr>
      <t xml:space="preserve">- 01.T01-25 HPDQ-GS (S275JR non -Skin) - LINH  - </t>
    </r>
    <r>
      <rPr>
        <b/>
        <sz val="14"/>
        <color rgb="FF7030A0"/>
        <rFont val="Times New Roman"/>
        <family val="1"/>
      </rPr>
      <t xml:space="preserve">Hàng hóa ok
</t>
    </r>
    <r>
      <rPr>
        <sz val="14"/>
        <color rgb="FF000000"/>
        <rFont val="Times New Roman"/>
        <family val="1"/>
      </rPr>
      <t xml:space="preserve">2400000974 - 02.T01-25 HPDQ-GS - NGỌC </t>
    </r>
    <r>
      <rPr>
        <b/>
        <sz val="14"/>
        <color rgb="FF7030A0"/>
        <rFont val="Times New Roman"/>
        <family val="1"/>
      </rPr>
      <t xml:space="preserve">Hàng hóa ok
</t>
    </r>
    <r>
      <rPr>
        <sz val="14"/>
        <color rgb="FF000000"/>
        <rFont val="Times New Roman"/>
        <family val="1"/>
      </rPr>
      <t>2400000982</t>
    </r>
    <r>
      <rPr>
        <sz val="14"/>
        <color rgb="FFFF0000"/>
        <rFont val="Times New Roman"/>
        <family val="1"/>
      </rPr>
      <t xml:space="preserve"> </t>
    </r>
    <r>
      <rPr>
        <sz val="14"/>
        <color rgb="FF000000"/>
        <rFont val="Times New Roman"/>
        <family val="1"/>
      </rPr>
      <t>- 03.T01-25 HPDQ-GS (SPHC) - HẰNG</t>
    </r>
    <r>
      <rPr>
        <sz val="14"/>
        <color rgb="FFFF0000"/>
        <rFont val="Times New Roman"/>
        <family val="1"/>
      </rPr>
      <t xml:space="preserve"> </t>
    </r>
    <r>
      <rPr>
        <b/>
        <sz val="14"/>
        <color rgb="FF7030A0"/>
        <rFont val="Times New Roman"/>
        <family val="1"/>
      </rPr>
      <t xml:space="preserve">/Hàng hóa ok
</t>
    </r>
    <r>
      <rPr>
        <sz val="14"/>
        <color rgb="FFFF0000"/>
        <rFont val="Times New Roman"/>
        <family val="1"/>
      </rPr>
      <t xml:space="preserve">2400000983 </t>
    </r>
    <r>
      <rPr>
        <sz val="14"/>
        <color rgb="FF000000"/>
        <rFont val="Times New Roman"/>
        <family val="1"/>
      </rPr>
      <t xml:space="preserve">- 03.T01-25 HPDQ-GS (S275JR skin) - HẰNG </t>
    </r>
    <r>
      <rPr>
        <sz val="14"/>
        <color rgb="FFFF0000"/>
        <rFont val="Times New Roman"/>
        <family val="1"/>
      </rPr>
      <t xml:space="preserve">   (Không láy đủ size 4.7 79% và 2.92 45%)
</t>
    </r>
    <r>
      <rPr>
        <sz val="14"/>
        <color rgb="FF000000"/>
        <rFont val="Times New Roman"/>
        <family val="1"/>
      </rPr>
      <t xml:space="preserve">2400000984 - 03.T01-25 HPDQ-GS (S275JR non skin) - HẰNG </t>
    </r>
    <r>
      <rPr>
        <b/>
        <sz val="14"/>
        <color rgb="FF7030A0"/>
        <rFont val="Times New Roman"/>
        <family val="1"/>
      </rPr>
      <t xml:space="preserve">Hàng hóa ok
</t>
    </r>
    <r>
      <rPr>
        <sz val="14"/>
        <color rgb="FF000000"/>
        <rFont val="Times New Roman"/>
        <family val="1"/>
      </rPr>
      <t xml:space="preserve">2400000985 - 03.T01-25 HPDQ-GS (S275JR skin 151x) - HẰNG </t>
    </r>
    <r>
      <rPr>
        <b/>
        <sz val="14"/>
        <color rgb="FF7030A0"/>
        <rFont val="Times New Roman"/>
        <family val="1"/>
      </rPr>
      <t xml:space="preserve">Hàng hóa ok
</t>
    </r>
    <r>
      <rPr>
        <sz val="14"/>
        <color rgb="FF000000"/>
        <rFont val="Times New Roman"/>
        <family val="1"/>
      </rPr>
      <t xml:space="preserve">2400000986 - 03.T01-25 HPDQ-GS (S275JR non skin 151x) - HẰNG </t>
    </r>
    <r>
      <rPr>
        <b/>
        <sz val="14"/>
        <color rgb="FF7030A0"/>
        <rFont val="Times New Roman"/>
        <family val="1"/>
      </rPr>
      <t xml:space="preserve">Hàng hóa ok
</t>
    </r>
    <r>
      <rPr>
        <sz val="14"/>
        <color rgb="FF000000"/>
        <rFont val="Times New Roman"/>
        <family val="1"/>
      </rPr>
      <t xml:space="preserve">2400000975 (skinpassed) 04.T01-25 HPDQ-GS - NGỌC </t>
    </r>
    <r>
      <rPr>
        <b/>
        <sz val="14"/>
        <color rgb="FF7030A0"/>
        <rFont val="Times New Roman"/>
        <family val="1"/>
      </rPr>
      <t xml:space="preserve">Hàng hóa ok
</t>
    </r>
    <r>
      <rPr>
        <sz val="14"/>
        <color rgb="FF000000"/>
        <rFont val="Times New Roman"/>
        <family val="1"/>
      </rPr>
      <t xml:space="preserve">2400000976 (skinpassed) 04.T01-25 HPDQ-GS - NGỌC  </t>
    </r>
    <r>
      <rPr>
        <b/>
        <sz val="14"/>
        <color rgb="FF7030A0"/>
        <rFont val="Times New Roman"/>
        <family val="1"/>
      </rPr>
      <t>Hàng hóa ok</t>
    </r>
  </si>
  <si>
    <t>Không map thêm nữa</t>
  </si>
  <si>
    <t>06.01.2025</t>
  </si>
  <si>
    <t>18h00 06/01 Bến 5/10</t>
  </si>
  <si>
    <r>
      <t xml:space="preserve">2000002507 - Nam Kim - 500T  - Tân Thuận </t>
    </r>
    <r>
      <rPr>
        <b/>
        <sz val="14"/>
        <color rgb="FF7030A0"/>
        <rFont val="Times New Roman"/>
        <family val="1"/>
      </rPr>
      <t xml:space="preserve">Hàng hóa ok </t>
    </r>
  </si>
  <si>
    <t>2000002508 - Nam Kim -  3000T</t>
  </si>
  <si>
    <t>2000002509 - Nam Kim - 640T</t>
  </si>
  <si>
    <t>2000002510 - Nam Kim - 1000T</t>
  </si>
  <si>
    <t>2000002511 - Nam Kim - 860T</t>
  </si>
  <si>
    <t xml:space="preserve">2000002528 - 254.TDA - 2.000T - Tân Thuận  Hàng hóa ok </t>
  </si>
  <si>
    <t>2000002529 - 270B.TDA - 2.000T - Tân Thuận Hàng hóa ok</t>
  </si>
  <si>
    <t xml:space="preserve">2000002530 - 270C.TDA - 3.000T - Tân Thuận Hàng hóa ok </t>
  </si>
  <si>
    <t xml:space="preserve">2000002513 - 5.000T - Kỳ Đồng 224 - Tân Thuận (LSD: 20/1) Đã có LC - mỗi size xuất 1 nửa khối lượng đơn - lệnh okHàng hóa ok </t>
  </si>
  <si>
    <t>07-08.01.2025
Từ Quy Nhơn về nhận hàng</t>
  </si>
  <si>
    <t>12H00 7/1 Bến 5</t>
  </si>
  <si>
    <t>2200001806 - 1806.T12.2024/HPDQ-OTHY - 3.200 cân tải                   Hàng hóa ok</t>
  </si>
  <si>
    <t>1806: spot ok
22*1799:  đang tồn map 6k tấn, size 2.05 2.55 skin 4-5/1 đủ, lượng 2.00x121x chờ PKD báo lại lịch SX (1k8 tấn)</t>
  </si>
  <si>
    <t>2000002472 - 700T  - LSD 10/01/2025 - THÉP HÌNH - Lệnh ok xuất hết  Hàng hóa ok (ra hóa đơn trước 10/1)</t>
  </si>
  <si>
    <t>06-07.01.2025
Dỡ đá -&gt; nhận HRC</t>
  </si>
  <si>
    <t>07/01 Bến 3/5</t>
  </si>
  <si>
    <r>
      <t xml:space="preserve">2200001815 - 1815.T12.2024/HPDQ-OTHY - 3.553T </t>
    </r>
    <r>
      <rPr>
        <b/>
        <sz val="14"/>
        <color rgb="FF7030A0"/>
        <rFont val="Times New Roman"/>
        <family val="1"/>
      </rPr>
      <t>Hàng hóa ok - hàng spot (thiếu 3 cuộn ok)</t>
    </r>
  </si>
  <si>
    <t>08-09.01.2025
Từ Quy Nhơn về nhận hàng</t>
  </si>
  <si>
    <t>09/1 Bến 3</t>
  </si>
  <si>
    <r>
      <t xml:space="preserve">2000002531 - HSQN T12 - 4.000T    Dự kiến 8/1 NK hết </t>
    </r>
    <r>
      <rPr>
        <b/>
        <sz val="14"/>
        <color rgb="FF7030A0"/>
        <rFont val="Times New Roman"/>
        <family val="1"/>
      </rPr>
      <t xml:space="preserve">Hàng hóa ok
</t>
    </r>
    <r>
      <rPr>
        <b/>
        <sz val="14"/>
        <color rgb="FFFF0000"/>
        <rFont val="Times New Roman"/>
        <family val="1"/>
      </rPr>
      <t xml:space="preserve">ưu tiên xuất hết các size còn lại , chỉ xuất 900 tấn hàng 2.00x121x. </t>
    </r>
  </si>
  <si>
    <t>09.01.2025
Dỡ đá -&gt; nhận HRC</t>
  </si>
  <si>
    <r>
      <t xml:space="preserve">
2200001799 - 493T hàng ưu tiên của THP - </t>
    </r>
    <r>
      <rPr>
        <b/>
        <sz val="14"/>
        <color rgb="FFFF0000"/>
        <rFont val="Times New Roman"/>
        <family val="1"/>
      </rPr>
      <t xml:space="preserve">2.05x1260 SAE1006 323 TAN - 2.55x1260 SAE1006 44 TAN - 2.45x1262 SAE1006 126 TAN </t>
    </r>
    <r>
      <rPr>
        <b/>
        <sz val="14"/>
        <color rgb="FF7030A0"/>
        <rFont val="Times New Roman"/>
        <family val="1"/>
      </rPr>
      <t>Hàng hóa ok</t>
    </r>
  </si>
  <si>
    <r>
      <rPr>
        <b/>
        <sz val="14"/>
        <color rgb="FF000000"/>
        <rFont val="Times New Roman"/>
        <family val="1"/>
      </rPr>
      <t xml:space="preserve">2.45x1262 SAE1006 222 TAN ĐÚNG PHẢI LÀ MAC SAE1017- </t>
    </r>
    <r>
      <rPr>
        <b/>
        <sz val="14"/>
        <color rgb="FFFF0000"/>
        <rFont val="Times New Roman"/>
        <family val="1"/>
      </rPr>
      <t>NHƯNG SIZE NÀY CHỈ CÒN 129T</t>
    </r>
  </si>
  <si>
    <t>2200001813 - 1813.T12.2024/HPDQ-OTHY - 385T   Hàng hóa ok - Đi hết Hàng hóa ok</t>
  </si>
  <si>
    <t>2200001816 - 1816.T12.2024/HPDQ-OTHY - 3.300T Hàng hóa ok - CÂN TẢI Hàng hóa ok</t>
  </si>
  <si>
    <t>09.01.2025
NEO</t>
  </si>
  <si>
    <t>10/01 Bến 3</t>
  </si>
  <si>
    <t>2000002539 - 95E1 VNO - 2.300T - Cẩm Nguyên (LSD: 30/12/2024)</t>
  </si>
  <si>
    <t>2000002540 - 95E2 MOV(VNO) - 1.000T - Cẩm Nguyên</t>
  </si>
  <si>
    <t>2000002525 - SMC - Phú Mỹ</t>
  </si>
  <si>
    <t>13.01.2025</t>
  </si>
  <si>
    <t>23h00 13/01 Bến 3</t>
  </si>
  <si>
    <t>2200001799 - THP - 3.000T                                                          
Hàng hóa ok</t>
  </si>
  <si>
    <t>2200001806 - OTHP - 434T</t>
  </si>
  <si>
    <t>2200001818 - 1818.T01.2025/HPDQ-OTHY-KH - 2.500T - CÂN TẢI  Hàng hóa ok (cần mở thêm dung sai các size &lt;100T)</t>
  </si>
  <si>
    <t>15.01.2025</t>
  </si>
  <si>
    <t>07h00 15/01 Bến 2</t>
  </si>
  <si>
    <t>2000002546 - TN 256.T12- 4.300T - Thiên Lộc Thành       LSD 10/2           Hàng hóa ok  lệnh ok</t>
  </si>
  <si>
    <t>12h00 16/01 Bến 2</t>
  </si>
  <si>
    <t>2000002531 - HSQN T12 - 840T    Hàng hóa ok
Đi thiếu tải</t>
  </si>
  <si>
    <t>2000002557 - HSQN T01 - 2.800T     Hàng hóa ok</t>
  </si>
  <si>
    <r>
      <rPr>
        <b/>
        <sz val="14"/>
        <color rgb="FF000000"/>
        <rFont val="Times New Roman"/>
        <family val="1"/>
      </rPr>
      <t xml:space="preserve">15.01.2025
</t>
    </r>
    <r>
      <rPr>
        <b/>
        <sz val="14"/>
        <color rgb="FFFF0000"/>
        <rFont val="Times New Roman"/>
        <family val="1"/>
      </rPr>
      <t>NEO</t>
    </r>
  </si>
  <si>
    <t>23h00 15/01 C.TH</t>
  </si>
  <si>
    <r>
      <t xml:space="preserve">2000002527 - 3.000T - Tân Phước Khanh 231B - Posco (LSD: 10/1)   đã có LC, lệnh ok </t>
    </r>
    <r>
      <rPr>
        <b/>
        <sz val="14"/>
        <color rgb="FF7030A0"/>
        <rFont val="Times New Roman"/>
        <family val="1"/>
      </rPr>
      <t xml:space="preserve">Hàng hóa ok - xuất hóa đơn ngày 10/1
</t>
    </r>
    <r>
      <rPr>
        <b/>
        <sz val="14"/>
        <color rgb="FFFF0000"/>
        <rFont val="Times New Roman"/>
        <family val="1"/>
      </rPr>
      <t>DỠ PHÚ MỸ -&gt; POSCO</t>
    </r>
  </si>
  <si>
    <t xml:space="preserve">2000002497 - POSCO T12 - 5.000T - Posco     (lệnh ok)                                          Hàng hóa ok </t>
  </si>
  <si>
    <t>2000002522 - 270.T12.2024/HPDQ-THEONE - 250T - Phú Mỹ             Hàng hóa ok</t>
  </si>
  <si>
    <t xml:space="preserve">2000002523 - 300.T01.2025/HPDQ-THEONE - 150T - Phú Mỹ       Hàng hóa ok </t>
  </si>
  <si>
    <t xml:space="preserve">2000002537 - 301.T01.2025/HPDQ-THEONE - 100T - Phú Mỹ           Hàng hóa ok </t>
  </si>
  <si>
    <t>2000002535 - 266C TVN - 200T SPHC - Phú Mỹ (SX 2-9/1 - NK 15/1) - LSD 20/1  Hàng hóa ok lệnh ok chốt maping</t>
  </si>
  <si>
    <t xml:space="preserve">2000002532  - HSPM - 7.750T - Phú Mỹ     Dự kiến 10/1 có hàng (load khổ 111x cuối để đc dỡ đầu đơn Hoa Sen) Hàng hóa ok </t>
  </si>
  <si>
    <t>15/01 Bến 3</t>
  </si>
  <si>
    <r>
      <t xml:space="preserve">2000002552 - OTSG/QTVN 233A - 2.500T - Phú Mỹ      lệnh ok        Hàng hóa ok
</t>
    </r>
    <r>
      <rPr>
        <b/>
        <sz val="14"/>
        <color rgb="FFFF0000"/>
        <rFont val="Times New Roman"/>
        <family val="1"/>
      </rPr>
      <t>DỠ HÀNG TÂN THUẬN -&gt; PHÚ MỸ</t>
    </r>
  </si>
  <si>
    <t>2000002553 - OTSG/QTVN 233B - 2.500T - Phú Mỹ       lệnh ok        Hàng hóa ok</t>
  </si>
  <si>
    <t>2200001820 - 1820.T01.2025/HPDQ-OTBD-KH - 2.000T  - Tân Thuận          Hàng hóa ok</t>
  </si>
  <si>
    <t>2200001821 - 1821.T01.2025/HPDQ-OTBD - 1.300T - Tân Thuận                   Hàng hóa ok spot</t>
  </si>
  <si>
    <t>2200001817 - 1817.T12.2024/HPDQ-OTBD - 400TAN - Tân Thuận - CÂN TẢI               Hàng hóa ok</t>
  </si>
  <si>
    <t>15h00 15/01 
Bến Tàu lai</t>
  </si>
  <si>
    <t>2200001818 - 1818.T01.2025/HPDQ-OTHY-KH - 3.370T  - CÂN TẢI           Hàng hóa ok</t>
  </si>
  <si>
    <t>2000002549 - 1.000 tấn HNS - HP Hàng hóa ok  ĐI HẾT</t>
  </si>
  <si>
    <t>2000002547 - 250 tấn NSTV - HP Hàng hóa ok - ĐI HẾT</t>
  </si>
  <si>
    <t>17.01.2025</t>
  </si>
  <si>
    <t>12H00 17/01 Bến 3/5</t>
  </si>
  <si>
    <t>Jakarta &amp; Semarang, Indonesia</t>
  </si>
  <si>
    <r>
      <rPr>
        <sz val="14"/>
        <color rgb="FF000000"/>
        <rFont val="Times New Roman"/>
        <family val="1"/>
      </rPr>
      <t xml:space="preserve">2400000995 - 05.T01-25/HPDQ-JFE - Jakarta / Nhãn đỏ - GIANG </t>
    </r>
    <r>
      <rPr>
        <b/>
        <sz val="14"/>
        <color rgb="FF7030A0"/>
        <rFont val="Times New Roman"/>
        <family val="1"/>
      </rPr>
      <t xml:space="preserve">Hàng hóa ok ko map thêm
</t>
    </r>
    <r>
      <rPr>
        <sz val="14"/>
        <color rgb="FF000000"/>
        <rFont val="Times New Roman"/>
        <family val="1"/>
      </rPr>
      <t xml:space="preserve">2400000996 - 228.T11-24/HPDQ-MI - Semarang / Nhãn xanh - HẰNG </t>
    </r>
    <r>
      <rPr>
        <b/>
        <sz val="14"/>
        <color rgb="FF7030A0"/>
        <rFont val="Times New Roman"/>
        <family val="1"/>
      </rPr>
      <t>Hàng hóa ok ko map thêm lệnh ok</t>
    </r>
  </si>
  <si>
    <t>Tàu đi 2 cảng, cần dán nhãn màu</t>
  </si>
  <si>
    <r>
      <rPr>
        <b/>
        <sz val="14"/>
        <color rgb="FF000000"/>
        <rFont val="Times New Roman"/>
        <family val="1"/>
      </rPr>
      <t xml:space="preserve">18.01.2025
</t>
    </r>
    <r>
      <rPr>
        <b/>
        <sz val="14"/>
        <color rgb="FFFF0000"/>
        <rFont val="Times New Roman"/>
        <family val="1"/>
      </rPr>
      <t>Neo ở Đà Nẵng chờ giảm gió về</t>
    </r>
  </si>
  <si>
    <t>8H00 18/01 Bến Tàu lai</t>
  </si>
  <si>
    <r>
      <rPr>
        <b/>
        <sz val="14"/>
        <color rgb="FF000000"/>
        <rFont val="Times New Roman"/>
        <family val="1"/>
      </rPr>
      <t xml:space="preserve">2000002557 - HSQN T01 - 4.200T     Dự kiến 14/1 NK hết Đã SX đủ - </t>
    </r>
    <r>
      <rPr>
        <b/>
        <sz val="14"/>
        <color rgb="FF7030A0"/>
        <rFont val="Times New Roman"/>
        <family val="1"/>
      </rPr>
      <t xml:space="preserve">Hàng hóa ok/ </t>
    </r>
    <r>
      <rPr>
        <b/>
        <sz val="14"/>
        <color rgb="FF000000"/>
        <rFont val="Times New Roman"/>
        <family val="1"/>
      </rPr>
      <t>Đi thiếu tải</t>
    </r>
  </si>
  <si>
    <t>18.01.2025</t>
  </si>
  <si>
    <t>14h00 18/01 Bến 2</t>
  </si>
  <si>
    <r>
      <t xml:space="preserve">2200001799 - THP - 1.720T - CÂN TẢI - </t>
    </r>
    <r>
      <rPr>
        <b/>
        <sz val="14"/>
        <color rgb="FFFF0000"/>
        <rFont val="Times New Roman"/>
        <family val="1"/>
      </rPr>
      <t>TRẢ HÀNG ĐƯỢC LUÔN</t>
    </r>
  </si>
  <si>
    <t>2000002536 - 241.T11.2024/HPDQ-TCĐ- 2.000T     Hàng hóa ok - ĐI HẾT - TRẢ HÀNG ĐƯỢC LUÔN</t>
  </si>
  <si>
    <r>
      <rPr>
        <b/>
        <sz val="14"/>
        <color rgb="FF000000"/>
        <rFont val="Times New Roman"/>
        <family val="1"/>
      </rPr>
      <t xml:space="preserve">19.01.2025
</t>
    </r>
    <r>
      <rPr>
        <b/>
        <sz val="14"/>
        <color rgb="FFFF0000"/>
        <rFont val="Times New Roman"/>
        <family val="1"/>
      </rPr>
      <t>Neo ở Quy Nhơn chờ giảm gió về</t>
    </r>
  </si>
  <si>
    <t>2h00 19/01 Bến C.TH</t>
  </si>
  <si>
    <t>2000002539 - 95E1 VNO - 2.700T - Cẩm Nguyên (LSD: 30/12/2024) - đi hết Hàng hóa ok lệnh ok</t>
  </si>
  <si>
    <t xml:space="preserve">
XUẤT ĐỦ TẢI TÀU, ĐỦ DUNG SAI LÀ ĐƯỢC</t>
  </si>
  <si>
    <t>2000002534 - 266C TVN SS400 - 1100T - Cẩm Nguyên (SX 26/12-02/01/25)  LSD 20/1 - đi hết  Hàng hóa ok lệnh ok chốt maping (các anh chụp ảnh khi xuất hàng giúp em ạ)</t>
  </si>
  <si>
    <t>18-19.01.2025
Dỡ phế -&gt; nhận HRC</t>
  </si>
  <si>
    <t>19/01 Bén Tàu lai</t>
  </si>
  <si>
    <t>2000002546 - TN 256.T12- 1.700T - Thiên Lộc Thành       LSD 10/2           Hàng hóa ok  lệnh ok</t>
  </si>
  <si>
    <t>Còn lại xuất thép XD cân tải</t>
  </si>
  <si>
    <t>2200001817 - 1817.T12.2024/HPDQ-OTBD - 1.300TAN - Long Bình - CÂN TẢI               Hàng hóa ok</t>
  </si>
  <si>
    <t>19.01.2025</t>
  </si>
  <si>
    <t>19/01 Bến 3</t>
  </si>
  <si>
    <r>
      <t xml:space="preserve">2000002541 - 540 tấn HN - HP Hàng hóa ok  - ĐI HẾT - </t>
    </r>
    <r>
      <rPr>
        <b/>
        <sz val="14"/>
        <color rgb="FFFF0000"/>
        <rFont val="Times New Roman"/>
        <family val="1"/>
      </rPr>
      <t>TRẢ HÀNG ĐƯỢC LUÔN</t>
    </r>
  </si>
  <si>
    <t>2200001816 - 1816.T12.2024/HPDQ-OTHY - 1.600T Hàng hóa ok - ĐI HẾT - HẠ BÃI TRẢ SAU TẾT</t>
  </si>
  <si>
    <t xml:space="preserve">2200001823 - 1823.T01.2025/HPDQ-OTHY - 600T    Hàng hóa ok spot - ĐI HẾT - HẠ BÃI TRẢ SAU TẾT
</t>
  </si>
  <si>
    <t>2200001799 - THP - 2.000T  - ĐI HẾT LƯỢNG CÒN LẠI SAU KHI ĐÃ XUẤT TÀU PHƯƠNG NAM 46 - HẠ BÃI TRẢ SAU TẾT</t>
  </si>
  <si>
    <t>2200001818 - 1818.T01.2025/HPDQ-OTHY-KH - 1.500T  - CÂN TẢI  Hàng hóa ok - HẠ BÃI TRẢ SAU TẾT</t>
  </si>
  <si>
    <t>18.01.2025
NEO</t>
  </si>
  <si>
    <t>6h00 21/01 Bến 2</t>
  </si>
  <si>
    <r>
      <t xml:space="preserve">2000002561 - NHẬT QUANG - 1.300 TẤN </t>
    </r>
    <r>
      <rPr>
        <b/>
        <sz val="14"/>
        <color rgb="FF7030A0"/>
        <rFont val="Times New Roman"/>
        <family val="1"/>
      </rPr>
      <t>Hàng hóa ok  - Lệnh ok -</t>
    </r>
    <r>
      <rPr>
        <b/>
        <sz val="14"/>
        <color rgb="FFFF0000"/>
        <rFont val="Times New Roman"/>
        <family val="1"/>
      </rPr>
      <t xml:space="preserve"> HẠ BÃI TRẢ SAU TẾT</t>
    </r>
  </si>
  <si>
    <t>2000002560 - OTVĐ - 2000T Hàng hóa ok -  Lệnh ok (chụp ảnh đại diện lúc xếp hàng+xong hàng) - HẠ BÃI TRẢ SAU TẾT</t>
  </si>
  <si>
    <t>22.01.2025
Dỡ đá -&gt; nhận HRC</t>
  </si>
  <si>
    <t>8H00 22/01 Bến 3</t>
  </si>
  <si>
    <r>
      <t xml:space="preserve">2200001824 - 1824.T01.2025/HPDQ-OTHY-KH - 1.000T - ĐI HẾT   Hàng hóa ok 
</t>
    </r>
    <r>
      <rPr>
        <b/>
        <sz val="14"/>
        <color rgb="FFFF0000"/>
        <rFont val="Times New Roman"/>
        <family val="1"/>
      </rPr>
      <t>TẤT CẢ HẠ BÃI TRẢ SAU TẾT</t>
    </r>
  </si>
  <si>
    <t xml:space="preserve">2200001818 - 1818.T01.2025/HPDQ-OTHY-KH - 4.850T - CÂN TẢI   Hàng hóa ok 
</t>
  </si>
  <si>
    <t>22.01.2025
Quay đầu từ Quy Nhơn về nhận hàng</t>
  </si>
  <si>
    <t>22/01 Bến Tàu lai</t>
  </si>
  <si>
    <r>
      <t xml:space="preserve">2000002501 - 700T - BBC - Minh Phú (Duy check lại) Hàng hóa ok - XUẤT HẾT 
</t>
    </r>
    <r>
      <rPr>
        <b/>
        <sz val="14"/>
        <color rgb="FFFF0000"/>
        <rFont val="Times New Roman"/>
        <family val="1"/>
      </rPr>
      <t>TẤT CẢ HẠ BÃI TRẢ SAU TẾT</t>
    </r>
  </si>
  <si>
    <t xml:space="preserve">2000002551 - 269.T12.2024/HPDQ-TMN - 3.000T     Hàng hóa ok - XUẤT CÂN TẢI NHƯNG PHẢI ĐỦ DUNG SAI - </t>
  </si>
  <si>
    <t xml:space="preserve">2200001814 - 1814.T12.2024/HPDQ-THP - 400T Hàng hóa ok - XUẤT HẾT  </t>
  </si>
  <si>
    <t>23-24.01.2025</t>
  </si>
  <si>
    <t>13h00 22/01 Bến 2</t>
  </si>
  <si>
    <t>2200001818 - 1818.T01.2025/HPDQ-OTHY-KH - 3.240T      Hàng hóa ok 
TẤT CẢ HẠ BÃI TRẢ SAU TẾT</t>
  </si>
  <si>
    <t>22.01.2025</t>
  </si>
  <si>
    <t>23h00 22/01 Bến 1</t>
  </si>
  <si>
    <r>
      <t xml:space="preserve">2200001826 - 1826.T01.2025/HPDQ-OTHY 1322TAN Hàng Spot Hàng hóa ok
</t>
    </r>
    <r>
      <rPr>
        <b/>
        <sz val="14"/>
        <color rgb="FFFF0000"/>
        <rFont val="Times New Roman"/>
        <family val="1"/>
      </rPr>
      <t>TẤT CẢ HẠ BÃI TRẢ SAU TẾT</t>
    </r>
  </si>
  <si>
    <t>Mr. Đạt  Báo Mapping nhé</t>
  </si>
  <si>
    <t>2200001827 - 1827.T01.2025/HPDQ-NMCN 859TAN  Hàng Spot Hàng hóa ok</t>
  </si>
  <si>
    <t>2200001818 - 1818.T01.2025/HPDQ-OTHY-KH - 1.500T      Hàng hóa ok</t>
  </si>
  <si>
    <t>2000002561 - NHẬT QUANG - 700 TẤN Hàng hóa ok - Lệnh ok</t>
  </si>
  <si>
    <t>22.01.2025
NEO</t>
  </si>
  <si>
    <t>Nằm trong 86kt đi 
miền nam
5/2 phải xuất hết hàng tại DQ</t>
  </si>
  <si>
    <r>
      <t xml:space="preserve">2000002569 - 259.T12.2024/HPDQ-QHP - 3000T </t>
    </r>
    <r>
      <rPr>
        <b/>
        <sz val="14"/>
        <color rgb="FF7030A0"/>
        <rFont val="Times New Roman"/>
        <family val="1"/>
      </rPr>
      <t xml:space="preserve">Hàng hóa ok </t>
    </r>
    <r>
      <rPr>
        <b/>
        <sz val="14"/>
        <color rgb="FF000000"/>
        <rFont val="Times New Roman"/>
        <family val="1"/>
      </rPr>
      <t xml:space="preserve">(lệnh ok)
</t>
    </r>
    <r>
      <rPr>
        <b/>
        <sz val="14"/>
        <color rgb="FFFF0000"/>
        <rFont val="Times New Roman"/>
        <family val="1"/>
      </rPr>
      <t>TẤT CẢ HẠ BÃI TRẢ SAU TẾT</t>
    </r>
  </si>
  <si>
    <r>
      <rPr>
        <b/>
        <sz val="14"/>
        <color rgb="FFFF0000"/>
        <rFont val="Times New Roman"/>
        <family val="1"/>
      </rPr>
      <t xml:space="preserve">2000002526 - 126.2024/HPDQ-TTQ - 700T </t>
    </r>
    <r>
      <rPr>
        <b/>
        <sz val="14"/>
        <color rgb="FF7030A0"/>
        <rFont val="Times New Roman"/>
        <family val="1"/>
      </rPr>
      <t xml:space="preserve">Hàng hóa ok BBC (xuất hóa đơn cùng ngày tàu xong ạ)
</t>
    </r>
    <r>
      <rPr>
        <b/>
        <sz val="14"/>
        <color rgb="FFFF0000"/>
        <rFont val="Times New Roman"/>
        <family val="1"/>
      </rPr>
      <t>TẤT CẢ HẠ BÃI TRẢ SAU TẾT</t>
    </r>
  </si>
  <si>
    <t xml:space="preserve">2000002566 - 265.T12.2024/HPDQ-TYTS - 1.000T Hàng hóa ok (khách yêu cầu xuất hóa đơn trong cùng 1 ngày và trước 16h cho cả lô) </t>
  </si>
  <si>
    <t>2000002564 - 293.T01.2025/HPDQ-SEAH - 500T Hàng hóa ok  (lệnh ok)</t>
  </si>
  <si>
    <t>2000002562 - 262.T12.2024/HPDQ-SEAH - 500T  Hàng hóa ok (Lệnh ok)</t>
  </si>
  <si>
    <t>2000002558 - 260.T12.2024/HPDQ-TL - 100T Hàng hóa ok - lệnh ok</t>
  </si>
  <si>
    <t>2000002513 - 224.T11.2024/HPDQ-KD - 1.000T Hàng hóa ok</t>
  </si>
  <si>
    <t xml:space="preserve">2000002554 - 255.T12.2024/HPDQ-NK - 500T Hàng hóa ok </t>
  </si>
  <si>
    <t>24-25.01.2025</t>
  </si>
  <si>
    <r>
      <rPr>
        <b/>
        <sz val="14"/>
        <color rgb="FF000000"/>
        <rFont val="Times New Roman"/>
        <family val="1"/>
      </rPr>
      <t xml:space="preserve">2000002507 - 240.T11.2024/HPDQ-NK - 7.400T </t>
    </r>
    <r>
      <rPr>
        <b/>
        <sz val="14"/>
        <color rgb="FF7030A0"/>
        <rFont val="Times New Roman"/>
        <family val="1"/>
      </rPr>
      <t>Hàng hóa ok, lệnh ok (những lệnh xuất chung 1 ngày thì chung 1 hóa đơn ạ)</t>
    </r>
  </si>
  <si>
    <t>2000002508 - 240.T11.2024/HPDQ-NK</t>
  </si>
  <si>
    <t>2000002511 - 240.T11.2024/HPDQ-NK</t>
  </si>
  <si>
    <t>2000002513 - 224.T11.2024/HPDQ-KD - 1.000T Hàng hóa ok, lệnh ok
TẤT CẢ HẠ BÃI TRẢ SAU TẾT</t>
  </si>
  <si>
    <t>26.01.2025</t>
  </si>
  <si>
    <t>27/01 Bến 3</t>
  </si>
  <si>
    <r>
      <rPr>
        <sz val="14"/>
        <color rgb="FF000000"/>
        <rFont val="Times New Roman"/>
        <family val="1"/>
      </rPr>
      <t xml:space="preserve">2000002563 - 247.T12.2024/HPDQ-TP - 3.000T  (lệnh ok) </t>
    </r>
    <r>
      <rPr>
        <b/>
        <sz val="14"/>
        <color rgb="FF000000"/>
        <rFont val="Times New Roman"/>
        <family val="1"/>
      </rPr>
      <t>Hàng hóa ok - XUẤT HẾT</t>
    </r>
  </si>
  <si>
    <t>2000002578 - 277.T01.2025/HPDQ-VINAS - 2.500T Hàng hóa ok   - XUẤT HẾT</t>
  </si>
  <si>
    <t>ĐƠN VINAS: KHÔNG LẤY HÀNG HAN GỈ
nếu xuất hàng han gỉ khách sẽ trả lại ko nhận</t>
  </si>
  <si>
    <t>2000002579 - 270.T12.2024/HPDQ-TCĐ - 1.930T XUẤT HẾT  Hàng hóa ok</t>
  </si>
  <si>
    <t>2200001828 - 1828.T01.2025/HPDQ-OTHY 234TAN   Hàng Spot HRC2 ok. Lần sau cần note rõ SO cho NM nào
TẤT CẢ HẠ BÃI TRẢ SAU TẾT</t>
  </si>
  <si>
    <t>25-26.01.2025</t>
  </si>
  <si>
    <t>30/01 Bến 5</t>
  </si>
  <si>
    <r>
      <rPr>
        <sz val="14"/>
        <color rgb="FF000000"/>
        <rFont val="Times New Roman"/>
        <family val="1"/>
      </rPr>
      <t xml:space="preserve">2000002554 - 255.T12.2024/HPDQ-NK - 18.000T </t>
    </r>
    <r>
      <rPr>
        <b/>
        <sz val="14"/>
        <color rgb="FF7030A0"/>
        <rFont val="Times New Roman"/>
        <family val="1"/>
      </rPr>
      <t xml:space="preserve">HÀNG HÓA OK
</t>
    </r>
    <r>
      <rPr>
        <b/>
        <sz val="14"/>
        <color rgb="FFFF0000"/>
        <rFont val="Times New Roman"/>
        <family val="1"/>
      </rPr>
      <t>TẤT CẢ HẠ BÃI TRẢ SAU TẾT</t>
    </r>
  </si>
  <si>
    <t>7h ngày 26.01.2025</t>
  </si>
  <si>
    <t>23/01 Bến tàu lai</t>
  </si>
  <si>
    <t xml:space="preserve">
2000002583 - 2000T Hàng hóa ok - xuất dung sai dương - lệnh ok
266B.T12.2024/HPDQ-TVN - 4.000T đang sx đợt 16-23/1  - 30/1 NK DK - xuất vừa đủ 4000T thôi ạ</t>
  </si>
  <si>
    <t>2000002584 - 2000T - xuất dung sai âm - lệnh ok Hàng hóa ok
TẤT CẢ HẠ BÃI TRẢ SAU TẾT - nếu ETA 3-4/2 thì khách có thể nhận lot 1 vào 4-5/2 không cần hạ bãi ạ</t>
  </si>
  <si>
    <t>21h ngày 25/01 Bến 3/5</t>
  </si>
  <si>
    <t>Nằm trong 86kt đi
miền nam
5/2 phải xuất hết hàng tại DQ</t>
  </si>
  <si>
    <r>
      <t xml:space="preserve">2000002554 - 255.T12.2024/HPDQ-NK - 1.500T </t>
    </r>
    <r>
      <rPr>
        <b/>
        <sz val="14"/>
        <color rgb="FF7030A0"/>
        <rFont val="Times New Roman"/>
        <family val="1"/>
      </rPr>
      <t xml:space="preserve">HÀNG HÓA OK </t>
    </r>
    <r>
      <rPr>
        <b/>
        <sz val="14"/>
        <color rgb="FF000000"/>
        <rFont val="Times New Roman"/>
        <family val="1"/>
      </rPr>
      <t xml:space="preserve">- Tân Thuận (xuất hóa đơn chung 1 ngày ạ) 25-26/1 dk nk
</t>
    </r>
  </si>
  <si>
    <t>2000002538 - 258.T12.2024/HPDQ-KD - 5.000T Hàng hóa ok - Tân Thuận
TẤT CẢ HẠ BÃI TRẢ SAU TẾT</t>
  </si>
  <si>
    <t>2000002581 - 4200T Hàng hóa ok - lệnh ok
266A.T12.2024/HPDQ-TVN - 5.200T  Hàng hóa ok - Phú Mỹ</t>
  </si>
  <si>
    <t>2000002582 - 1000T - xuất hết size 2.3 x 1400 (size này đủ rồi) - Hàng hóa ok - lệnh ok
TẤT CẢ HẠ BÃI TRẢ SAU TẾT</t>
  </si>
  <si>
    <t>26-27.01.2025</t>
  </si>
  <si>
    <t>12h ngày 26/01 Bến 5</t>
  </si>
  <si>
    <r>
      <t xml:space="preserve">2000002533 - HSPM - 8.770T     </t>
    </r>
    <r>
      <rPr>
        <b/>
        <sz val="14"/>
        <color rgb="FF7030A0"/>
        <rFont val="Times New Roman"/>
        <family val="1"/>
      </rPr>
      <t xml:space="preserve">   Hàng hóa ok</t>
    </r>
  </si>
  <si>
    <t>2000002372 - 154.T08.2024/HPDQ-NS - 6.000T Hàng hóa ok</t>
  </si>
  <si>
    <t>2000002576 - 234.T11.2024/HPDQ-TLO-Lot 2 - 1.400T Hàng hóa ok</t>
  </si>
  <si>
    <t>2000002577 - 234.T11.2024/HPDQ-TLO-Lot 3 - 1.300T Hàng hóa ok</t>
  </si>
  <si>
    <t>2000002575 - 267.T12.2024/HPDQ-TPK - 2.000T Hàng hóa ok</t>
  </si>
  <si>
    <t>2000002580 - 7500T Hàng hóa ok - lệnh ok nếu ETA 3-4/2 thì khách có thể nhận lot 1 vào 4-5/2 không cần hạ bãi ạ
266A.T12.2024/HPDQ-TVN - 9.500T  Hàng hóa ok - 2 lot</t>
  </si>
  <si>
    <t>2000002582 - 2000T - xuất hết size 2.5 x 1265 Hàng hóa ok- lệnh ok
266A.T12.2024/HPDQ-TVN - 9.500T  Hàng hóa ok - 2 lot
TẤT CẢ HẠ BÃI TRẢ SAU TẾT</t>
  </si>
  <si>
    <t>31.01.2025
Quay đầu từ 
Tân Thuận về</t>
  </si>
  <si>
    <t>01/2 Bến 3</t>
  </si>
  <si>
    <r>
      <t xml:space="preserve">2000002513 - 224.T11.2024/HPDQ-KD - 3.000T </t>
    </r>
    <r>
      <rPr>
        <b/>
        <sz val="14"/>
        <color rgb="FF7030A0"/>
        <rFont val="Times New Roman"/>
        <family val="1"/>
      </rPr>
      <t xml:space="preserve">Hàng hóa ok, lệnh ok - </t>
    </r>
    <r>
      <rPr>
        <b/>
        <sz val="14"/>
        <color rgb="FFFF0000"/>
        <rFont val="Times New Roman"/>
        <family val="1"/>
      </rPr>
      <t>HẠ BÃI TÂN THUẬN</t>
    </r>
  </si>
  <si>
    <t>2000002565 - 294.T01.2025/HPDQ-PVN - 5.000T Hàng hóa ok, lệnh ok - Posco - 4/2 GIAO LUÔN TẠI POSCO KHÔNG CẦN HẠ BÃI</t>
  </si>
  <si>
    <t>LỊCH XUẤT HRC THÁNG 05/2025</t>
  </si>
  <si>
    <t>Update 14h20 23/05 PKH</t>
  </si>
  <si>
    <t>01-02.05.2025
Đang chạy rỗng về</t>
  </si>
  <si>
    <t>01/05 C.TH</t>
  </si>
  <si>
    <t>Làm hàng trong lễ, trả hàng sau lễ</t>
  </si>
  <si>
    <r>
      <rPr>
        <b/>
        <sz val="14"/>
        <color rgb="FF000000"/>
        <rFont val="Times New Roman"/>
        <family val="1"/>
      </rPr>
      <t xml:space="preserve">2200001953 - 1953.T04.2025/HPDQ-THP-KH đi Hải Phòng 10.830TAN HRC1
</t>
    </r>
    <r>
      <rPr>
        <b/>
        <sz val="14"/>
        <color rgb="FFFF0000"/>
        <rFont val="Times New Roman"/>
        <family val="1"/>
      </rPr>
      <t>GIAO THẲNG -&gt; HẠ BÃI</t>
    </r>
  </si>
  <si>
    <r>
      <rPr>
        <sz val="14"/>
        <color rgb="FF000000"/>
        <rFont val="Times New Roman"/>
        <family val="1"/>
      </rPr>
      <t xml:space="preserve">2200001954 - 1954.T05.2025/HPDQ-THP-KH đi Hải Phòng 15.150TAN HRC1
</t>
    </r>
    <r>
      <rPr>
        <sz val="14"/>
        <color rgb="FFFF0000"/>
        <rFont val="Times New Roman"/>
        <family val="1"/>
      </rPr>
      <t>GIAO THẲNG -&gt; HẠ BÃI</t>
    </r>
  </si>
  <si>
    <t>01-02.05.2025</t>
  </si>
  <si>
    <t>20h00 02/05 Bến 2</t>
  </si>
  <si>
    <t>2000002836 - 391.T04.2025/HPDQ-TCĐ - dự kiến 29/4 duyệt lệnh, 5/5 lấy hàng
GIAO THẲNG</t>
  </si>
  <si>
    <t>Dự kiến 29/4 có L/C</t>
  </si>
  <si>
    <t>2200001957 - 1957.T04.2025/HPDQ-THP đi Hải Phòng 1580TAN HRC1</t>
  </si>
  <si>
    <t>2200001960 - 1960.T04.2025/HPDQ-OTHY đi Hải Phòng 534TAN HRC1</t>
  </si>
  <si>
    <t>2200001961 - 1961.T04.2025/HPDQ-THP đi Hải Phòng 485TAN HRC2</t>
  </si>
  <si>
    <t>HRC2 - Hàng spot - Hàng hóa ok</t>
  </si>
  <si>
    <t>28-29.04.2025
NEO</t>
  </si>
  <si>
    <t>02/05 Bến Tàu lai</t>
  </si>
  <si>
    <t>Làm hàng trong lễ, 
trả hàng sau lễ</t>
  </si>
  <si>
    <t xml:space="preserve">2000002868 - 336H.T03 VNO (PHM) </t>
  </si>
  <si>
    <t>2000002864 - 336C.T03 VNO (PHM) - cân tải</t>
  </si>
  <si>
    <t xml:space="preserve">2000002889 - 336B1.T03 VNO (PHM) </t>
  </si>
  <si>
    <t>01-02.05.2025
Từ Quy Nhơn về</t>
  </si>
  <si>
    <t>02/05 Bến 2</t>
  </si>
  <si>
    <t>2000002826 - 351B.T04.2025/HPDQ-TVĐ - 5000T - lệnh ok - 5-10/05 lấy hàng - Giao thẳng (tách tàu với đơn 351C.T04)</t>
  </si>
  <si>
    <t>02-03.05.2025</t>
  </si>
  <si>
    <t>03-04/05 C.TH</t>
  </si>
  <si>
    <t>4/5 đủ hàng cho tàu vào làm</t>
  </si>
  <si>
    <t>2000002904 - 182.T09.2024/HPDQ-NS (Lot 2) - LSD 5/5 - đã có LC - lệnh ok</t>
  </si>
  <si>
    <t>2000002905 - 182.T09.2024/HPDQ-NS (Lot 1)- LSD 5/5 - đã có LC- - lệnh ok</t>
  </si>
  <si>
    <t>2000002898 - 430.T04.2025/HPDQ-TMPHD-TM đi Phú Mỹ 4500TAN HRC2</t>
  </si>
  <si>
    <t>03-04.05.2025
Chạy rỗng về</t>
  </si>
  <si>
    <t>05-06/05 Bến 3/5</t>
  </si>
  <si>
    <t>Tàu về cho vào làm hàng luôn, chạy đi dỡ hàng để còn quay đầu nhận hàng đi Hải Phòng tiếp</t>
  </si>
  <si>
    <t>2000002887 - 407A.T05.2025/HPDQ-HSQN - 8kt - đã có LC -lệnh ok
Load 1230 cuối để dỡ đầu</t>
  </si>
  <si>
    <t>01-02.05.2025
Dỡ đá -&gt; nhận HRC</t>
  </si>
  <si>
    <t>05-06/05 Bến Tàu lai</t>
  </si>
  <si>
    <t>5/5 mới cho vào load hàng 
tại DQ</t>
  </si>
  <si>
    <t>2000002856 - 344A.T03.2025/HPDQ-TVN (lot 2.2) - 3900T - giao ngay khi có hàng (lệnh ok)</t>
  </si>
  <si>
    <t>03.05.2025
Dỡ đá -&gt; nhận HRC</t>
  </si>
  <si>
    <t>06/05 Bến 1</t>
  </si>
  <si>
    <t>6/5 mới cho vào làm hàng</t>
  </si>
  <si>
    <t xml:space="preserve">2000002826  - 351B.T04.2025/HPDQ-TVĐ - 5000T - lệnh ok - 5-10/05 lấy hàng - Giao thẳng </t>
  </si>
  <si>
    <t>2000002838 - 354.T04.2025/HPDQ-XDTP - 1000T (lệnh ok)</t>
  </si>
  <si>
    <t xml:space="preserve">2000002831- 351C.T04.2025/HPDQ-TVĐ - 1000T - lệnh oke - 5-10/05 lấy hàng - Giao thẳng </t>
  </si>
  <si>
    <t>2200001962 - 1962.T04.2025/HPDQ-OTHY đi Hải Phòng 1046TAN HRC2 - CÂN TẢI</t>
  </si>
  <si>
    <t>HPS 02
(Thay Trường Nguyên Sky)</t>
  </si>
  <si>
    <t>05-06.05.2025</t>
  </si>
  <si>
    <t>06-07/05 Bến 5/10</t>
  </si>
  <si>
    <t>10/5 phải ra hết hàng tại DQ</t>
  </si>
  <si>
    <t>2000002881 - 406A.T05.2025/HPDQ-HSNS - 12kt - đã có LC -lệnh ok</t>
  </si>
  <si>
    <t>2000002882 - 406B.T05.2025/HPDQ-HSNS - 5.8kt - đã có LC -lệnh ok</t>
  </si>
  <si>
    <t>2200001958 - 1958.T04.2025/HPDQ-OTHY đi Hải Phòng 2766TAN HRC1</t>
  </si>
  <si>
    <t>Hụt 1 cuộn - chốt mapping</t>
  </si>
  <si>
    <t>2200001964 - 1964.T04.2025/HPDQ-OTHY đi Hải Phòng 2762TAN HRC2 
CÂN TẢI</t>
  </si>
  <si>
    <t>HRC2 - Hàng spot - 
Hàng hóa ok</t>
  </si>
  <si>
    <r>
      <rPr>
        <sz val="14"/>
        <color rgb="FF000000"/>
        <rFont val="Times New Roman"/>
        <family val="1"/>
      </rPr>
      <t xml:space="preserve">2200001960 - 1960.T04.2025/HPDQ-OTHY đi Hải Phòng 534TAN HRC1
</t>
    </r>
    <r>
      <rPr>
        <sz val="14"/>
        <color rgb="FFFF0000"/>
        <rFont val="Times New Roman"/>
        <family val="1"/>
      </rPr>
      <t>(Load các cuộn bị dỡ lại từ tàu Thành Phát 89)</t>
    </r>
  </si>
  <si>
    <r>
      <rPr>
        <sz val="14"/>
        <color rgb="FF000000"/>
        <rFont val="Times New Roman"/>
        <family val="1"/>
      </rPr>
      <t xml:space="preserve">2200001920 - 1920.T03.2025/HPDQ-THP-KH HRC1  26K - </t>
    </r>
    <r>
      <rPr>
        <sz val="14"/>
        <color rgb="FFFF0000"/>
        <rFont val="Times New Roman"/>
        <family val="1"/>
      </rPr>
      <t>đi hết lượng còn lại</t>
    </r>
  </si>
  <si>
    <r>
      <rPr>
        <sz val="14"/>
        <color rgb="FF000000"/>
        <rFont val="Times New Roman"/>
        <family val="1"/>
      </rPr>
      <t xml:space="preserve">2200001954 - 1954.T05.2025/HPDQ-THP-KH đi Hải Phòng 15.150TAN HRC1
</t>
    </r>
    <r>
      <rPr>
        <sz val="14"/>
        <color rgb="FFFF0000"/>
        <rFont val="Times New Roman"/>
        <family val="1"/>
      </rPr>
      <t>Xuất size 2.42x122X SAE1006/ 2.42x102X SAE1006/ 3.95x126X SAE1006</t>
    </r>
  </si>
  <si>
    <t>2200001965 - 1965.T05.2025/HPDQ-THP-NKH đi Hải Phòng 1602TAN HRC1</t>
  </si>
  <si>
    <t>2200001968 - 1968.T05.2025/HPDQ-OTHY-NKH đi Hải Phòng 1734TAN HRC1</t>
  </si>
  <si>
    <t>hụt 3 cuộn chốt mapping</t>
  </si>
  <si>
    <t>05.05.2025
NEO</t>
  </si>
  <si>
    <t>06/05 Bến  2</t>
  </si>
  <si>
    <t>Hết 5/5 mới cho vào load hàng tại DQ</t>
  </si>
  <si>
    <t>2000002878- 392.T04.2025/HPDQ-TDA - lệnh ok</t>
  </si>
  <si>
    <t>HRC2 - Đã map 4556t, chốt SO</t>
  </si>
  <si>
    <t>TONGYUN12</t>
  </si>
  <si>
    <t>03.05.2025</t>
  </si>
  <si>
    <t>05-06/05 Bến 5</t>
  </si>
  <si>
    <t>Cần làm xong trước 10/05</t>
  </si>
  <si>
    <t>Dangjin</t>
  </si>
  <si>
    <t>2400001161 - 79.T05-25/HPDQ-JFE (LOT 1)</t>
  </si>
  <si>
    <t>2400001162 - 79.T05-25/HPDQ-JFE (LOT 2)</t>
  </si>
  <si>
    <t>2400001163 - 75.T05-25/HPDQ-NST- LINH</t>
  </si>
  <si>
    <t>5/5 vẫn thiếu hàng</t>
  </si>
  <si>
    <t>2400001160 - 70.T05-25/HPDQ-KG</t>
  </si>
  <si>
    <t>2400001183 - 76.T05-25/HPDQ-MI - lệnh ok</t>
  </si>
  <si>
    <t>HRC2 - Hàng hóa 87t, chốt SO</t>
  </si>
  <si>
    <t>5/5 vẫn chưa thấy map gì cả</t>
  </si>
  <si>
    <t>2400001165 - 77.T05-25/HPDQ-MI - lệnh ok</t>
  </si>
  <si>
    <t>2400001184 - 78.T05-25/HPDQ-MI - lệnh ok</t>
  </si>
  <si>
    <t>07-08.05.2025
Chạy rỗng từ HCM về</t>
  </si>
  <si>
    <t>06/05 Bến 3/5</t>
  </si>
  <si>
    <r>
      <rPr>
        <b/>
        <sz val="14"/>
        <color rgb="FF000000"/>
        <rFont val="Times New Roman"/>
        <family val="1"/>
      </rPr>
      <t xml:space="preserve">2000002884 - 407B.T05.2025/HPDQ-HSQN - 12kt  - đã có LC -lệnh ok
</t>
    </r>
    <r>
      <rPr>
        <b/>
        <sz val="14"/>
        <color rgb="FFFF0000"/>
        <rFont val="Times New Roman"/>
        <family val="1"/>
      </rPr>
      <t xml:space="preserve">XUẤT ĐỦ DUNG SAI CỦA MỖI SIZE </t>
    </r>
  </si>
  <si>
    <t>02-04.05.2025</t>
  </si>
  <si>
    <t>06-07.05.2025
Từ Quy Nhơn về</t>
  </si>
  <si>
    <t>07/05 Bến Tàu 2</t>
  </si>
  <si>
    <t>6-7/5 cho vào load hàng tại DQ</t>
  </si>
  <si>
    <t xml:space="preserve">2000002864 - 336C.T03 VNO (PHM) </t>
  </si>
  <si>
    <t>2000002879 - 392.T04.2025/HPDQ-TDA - lệnh ok</t>
  </si>
  <si>
    <t>2000002813 - 337.T03.2025/HPDQ-SMC - lệnh ok
GIAO THẲNG</t>
  </si>
  <si>
    <t>Không giao hàng han rỉ</t>
  </si>
  <si>
    <r>
      <rPr>
        <sz val="14"/>
        <color rgb="FF000000"/>
        <rFont val="Times New Roman"/>
        <family val="1"/>
      </rPr>
      <t xml:space="preserve">2000002792 - 368B.T04.2025/HPDQ-HSPM (LSD 10/5)
</t>
    </r>
    <r>
      <rPr>
        <sz val="14"/>
        <color rgb="FFFF0000"/>
        <rFont val="Times New Roman"/>
        <family val="1"/>
      </rPr>
      <t>DỠ PHÚ MỸ -&gt; CẨM NGUYÊN</t>
    </r>
  </si>
  <si>
    <t>HRC 1 - Hàng hóa ok
Bù 80t skin 1.6</t>
  </si>
  <si>
    <t>08.05.2025
Từ Quy Nhơn về</t>
  </si>
  <si>
    <t>08/05 Bến 3/5</t>
  </si>
  <si>
    <t>2000002824 - 351A1.T04.2025/HPDQ-OTVD - 4500T - lệnh oke -1/5-10/05 lấy hàng - Giao thẳng - xuất hết mapping</t>
  </si>
  <si>
    <t>2000002825 - 351A2.T04.2025/HPDQ-TVĐ-5500 - Lệnh ok - Giao thẳng (cần ETA Hải Phòng khoảng 10-11/05) - Cân tải</t>
  </si>
  <si>
    <t>MT HÀ NỘI 69</t>
  </si>
  <si>
    <t>09.05.2025
Ở Đà Nẵng về</t>
  </si>
  <si>
    <t>09/05 Bến 3</t>
  </si>
  <si>
    <t xml:space="preserve">2000002892 - 382.T04.2025/HPDQ-SEAH - 1000T - LSD 20/5 - lệnh ok
GIAO THẲNG </t>
  </si>
  <si>
    <t>HRC2 - Đã map 904t
Còn lại dự kiến 11/5 NK</t>
  </si>
  <si>
    <t>2000002911 - 388.T04.2025/HPDQ-SUNSCO - lệnh ok
GIAO THẲNG</t>
  </si>
  <si>
    <t>2000002898 - 430.T04.2025/HPDQ-TMPHD-TM đi Phú Mỹ 4500TAN HRC2 - lệnh ok</t>
  </si>
  <si>
    <t>13-14.05.2025
NEO</t>
  </si>
  <si>
    <t>12/05 Bến 3/5</t>
  </si>
  <si>
    <t xml:space="preserve">2000002857 - 344A.T03.2025/HPDQ-TVN (lot 3.1) - 3000T - lệnh ok - giao ngay </t>
  </si>
  <si>
    <t>HRC 1 - Hàng hóa ok chốt mapping</t>
  </si>
  <si>
    <t xml:space="preserve">2000002854 - 344A.T03.2025/HPDQ-TVN (lot 3.2) - 2000T - lệnh ok - giao ngay </t>
  </si>
  <si>
    <t>HRC2 - Hàng hóa ok chốt mapping</t>
  </si>
  <si>
    <t xml:space="preserve">2000002914 - 344A.T03.2025/HPDQ-TVN (lot 3.3) - 2000T - lệnh ok - giao ngay </t>
  </si>
  <si>
    <t>2000002885 - 408A.T05.2025/HPDQ-HSPM - 12.300T    lệnh ok - CÂN TẢI</t>
  </si>
  <si>
    <t>HRC 1 - Hàng hóa ok
Cần note ưu tiên size để PKH cân đối</t>
  </si>
  <si>
    <t>10-13.05.2025
Dỡ vảy cán -&gt; nhận HRC</t>
  </si>
  <si>
    <t>12/05 Bến 2</t>
  </si>
  <si>
    <r>
      <rPr>
        <sz val="14"/>
        <color rgb="FF000000"/>
        <rFont val="Times New Roman"/>
        <family val="1"/>
      </rPr>
      <t xml:space="preserve">2200001970 - 1970.T05.2025/HPDQ-OTBD-NKH đi Long Bình 3978TAN HRC2  lệnh ok
</t>
    </r>
    <r>
      <rPr>
        <sz val="14"/>
        <color rgb="FFFF0000"/>
        <rFont val="Times New Roman"/>
        <family val="1"/>
      </rPr>
      <t>Ưu tiên hết các size 2.2 - 3.0</t>
    </r>
  </si>
  <si>
    <t>hụt 1 cuộn chốt mapping</t>
  </si>
  <si>
    <t>2000002876  -374B.T04.2025/HPDQ-LPGBD - Giao nhịp 2 (giao thẳng) - dkien 12/5 có LC, - LỆNH OK</t>
  </si>
  <si>
    <t>13.05.2025
Chạy rỗng về</t>
  </si>
  <si>
    <t>10h00 14/05 Bến 5/10</t>
  </si>
  <si>
    <r>
      <rPr>
        <sz val="14"/>
        <color rgb="FF000000"/>
        <rFont val="Times New Roman"/>
        <family val="1"/>
      </rPr>
      <t xml:space="preserve">2000002907 - 370B.T04.2025/HPDQ-NK - đã có LC - </t>
    </r>
    <r>
      <rPr>
        <sz val="14"/>
        <color rgb="FFFF0000"/>
        <rFont val="Times New Roman"/>
        <family val="1"/>
      </rPr>
      <t xml:space="preserve">gom các lệnh của Nam Kim lại xuất chung 1 hóa đơn, mỗi ngày chỉ xuất 1 hóa đơn ạ
</t>
    </r>
    <r>
      <rPr>
        <sz val="14"/>
        <color rgb="FF000000"/>
        <rFont val="Times New Roman"/>
        <family val="1"/>
      </rPr>
      <t xml:space="preserve">GIAO THẲNG - </t>
    </r>
    <r>
      <rPr>
        <sz val="14"/>
        <color rgb="FFFF0000"/>
        <rFont val="Times New Roman"/>
        <family val="1"/>
      </rPr>
      <t>XẾP SAU CÙNG, LẤY ĐẦU TIÊN, khách đang cần hàng gấp</t>
    </r>
  </si>
  <si>
    <r>
      <rPr>
        <sz val="14"/>
        <color rgb="FF000000"/>
        <rFont val="Times New Roman"/>
        <family val="1"/>
      </rPr>
      <t>2000002929 - 370B.T04.2025/HPDQ-NK - đã có LC -</t>
    </r>
    <r>
      <rPr>
        <sz val="14"/>
        <color rgb="FFFF0000"/>
        <rFont val="Times New Roman"/>
        <family val="1"/>
      </rPr>
      <t xml:space="preserve"> gom các lệnh của Nam Kim lại xuất chung 1 hóa đơn, mỗi ngày chỉ xuất 1 hóa đơn ạ
</t>
    </r>
    <r>
      <rPr>
        <sz val="14"/>
        <color rgb="FF000000"/>
        <rFont val="Times New Roman"/>
        <family val="1"/>
      </rPr>
      <t xml:space="preserve">GIAO THẲNG - </t>
    </r>
    <r>
      <rPr>
        <sz val="14"/>
        <color rgb="FFFF0000"/>
        <rFont val="Times New Roman"/>
        <family val="1"/>
      </rPr>
      <t>XẾP SAU CÙNG, LẤY ĐẦU TIÊN, khách đang cần hàng gấp</t>
    </r>
  </si>
  <si>
    <t>2000002912 - 392.T04.2025/HPDQ-TDA - 14/5 có lệnh</t>
  </si>
  <si>
    <t>HRC2 - Đã map 2608t, chốt SO</t>
  </si>
  <si>
    <r>
      <rPr>
        <sz val="14"/>
        <color rgb="FF000000"/>
        <rFont val="Times New Roman"/>
        <family val="1"/>
      </rPr>
      <t xml:space="preserve">2000002910 - 409.T05.2025/HPDQ-TDA - 14/5 có lệnh
</t>
    </r>
    <r>
      <rPr>
        <sz val="14"/>
        <color rgb="FFFF0000"/>
        <rFont val="Times New Roman"/>
        <family val="1"/>
      </rPr>
      <t>DỠ TÂN THUẬN -&gt; PHÚ MỸ</t>
    </r>
  </si>
  <si>
    <t>12.05.2025
NEO</t>
  </si>
  <si>
    <t>9h00 14/05 Bến 5</t>
  </si>
  <si>
    <t>2000002906 - 398.T05.2025/HPDQ-CTC (NĐ) Lệnh ok</t>
  </si>
  <si>
    <t>HRC2 - Đã map 463t, chốt SO</t>
  </si>
  <si>
    <r>
      <rPr>
        <sz val="14"/>
        <color rgb="FF000000"/>
        <rFont val="Times New Roman"/>
        <family val="1"/>
      </rPr>
      <t xml:space="preserve">2000002909 - 403A.T05.2025/HPDQ-CP - lệnh ok (khách cần nhận trong nhịp 2)
</t>
    </r>
    <r>
      <rPr>
        <sz val="14"/>
        <color rgb="FFFF0000"/>
        <rFont val="Times New Roman"/>
        <family val="1"/>
      </rPr>
      <t>XẾP ĐẦU TIÊN, DỠ SAU CÙNG</t>
    </r>
  </si>
  <si>
    <t>2000002931 - 428.T04.2025/HPDQ-TMPHD-TM đi Hải Phòng 400TAN HRC2
(thay cho 2000002896)</t>
  </si>
  <si>
    <t>Đổi từ lệnh 2000002896 =&gt; 2000002931</t>
  </si>
  <si>
    <t>2200001954 - 1954.T05.2025/HPDQ-THP-KH đi Hải Phòng 15.150TAN HRC1  Lệnh ok</t>
  </si>
  <si>
    <t>HRC 1 Hàng hóa ok
map 6k tấn</t>
  </si>
  <si>
    <t>Còn 3 cuộn chờ nk</t>
  </si>
  <si>
    <t>13.05.2025
Chạy từ Cẩm Nguyên về</t>
  </si>
  <si>
    <t>18h00 14/05 Bến 1</t>
  </si>
  <si>
    <t>2000002902 - 371.T04.2025/HPDQ-TN - 5.000T (Giao nhịp 2) - lệnh ok</t>
  </si>
  <si>
    <t>ORIENTAL SOURCES</t>
  </si>
  <si>
    <t>14.05.2025</t>
  </si>
  <si>
    <t>5h00 14/05 Bến 3</t>
  </si>
  <si>
    <t>2400001158 - 72.T05-25/HPDQ-GS (SKINPASSED - HẰNG)
đang skin</t>
  </si>
  <si>
    <t>2400001159 - 72.T05-25/HPDQ-GS (NON-SKIN - HẰNG)
hàng hóa ok</t>
  </si>
  <si>
    <t>2400001173 - 72.T05-25/HPDQ-GS (SKINPASSED - HẰNG)</t>
  </si>
  <si>
    <t>HRC2 - Đã map 192t, hết hàng chốt SO</t>
  </si>
  <si>
    <t>2400001174 - 72.T05-25/HPDQ-GS (NON SKIN - HẰNG)</t>
  </si>
  <si>
    <t>2400001169 - 73.T05-25/HPDQ-GS - LINH (S275 NON-SKIN)</t>
  </si>
  <si>
    <t>2400001170 - 73.T05-25/HPDQ-GS - LINH (s275 skin)</t>
  </si>
  <si>
    <t>2400001171 - 73.T05-25/HPDQ-GS - LINH  (sphc skin)</t>
  </si>
  <si>
    <t>2400001172 - 73.T05-25/HPDQ-GS - LINH (spht1 non-SKIN)</t>
  </si>
  <si>
    <t>2400001168 - 73.T05-25/HPDQ-GS - LINH (s275 skin)</t>
  </si>
  <si>
    <t>2400001175 - 74.T05-25/HPDQ-GS - GIANG</t>
  </si>
  <si>
    <t>2400001180 - 74.T05-25/HPDQ-GS - GIANG</t>
  </si>
  <si>
    <t>2400001181 - 74.T05-25/HPDQ-GS - GIANG</t>
  </si>
  <si>
    <t>15.05.2025</t>
  </si>
  <si>
    <t>16/05 Bến 5</t>
  </si>
  <si>
    <t>2200001970 - 1970.T05.2025/HPDQ-OTBD-NKH đi Long Bình 3978TAN HRC2</t>
  </si>
  <si>
    <t>2200001967 - 1967.T05.2025/HPDQ-OTBD-NKH đi Bình Dương 1239TAN HRC1</t>
  </si>
  <si>
    <t>16-17.05.2025</t>
  </si>
  <si>
    <t>17/05 Bến 3/5</t>
  </si>
  <si>
    <t>2000002900 - 430.T04.2025/HPDQ-TMPHD-TM đi Phú Mỹ 10.500TAN HRC2
Lệnh ok</t>
  </si>
  <si>
    <t>Phú Mỹ 
(Về Hồng Long)</t>
  </si>
  <si>
    <t>15-16.05.2025
Dỡ đá -&gt; nhận HRC</t>
  </si>
  <si>
    <t>16/05 Bến 3</t>
  </si>
  <si>
    <t>2200001973 - 1973.T05.2025/HPDQ-THP-NKH đi Hải Phòng 2985TAN HRC1 - CÂN TẢI</t>
  </si>
  <si>
    <t>HRC 1 - Hàng spot - Hàng hóa ok</t>
  </si>
  <si>
    <r>
      <rPr>
        <sz val="14"/>
        <color rgb="FF000000"/>
        <rFont val="Times New Roman"/>
        <family val="1"/>
      </rPr>
      <t xml:space="preserve">2000002926 - 360C.T04.2025/HPDQ-VINAS(HP) - sáng 16/5 có lệnh
</t>
    </r>
    <r>
      <rPr>
        <sz val="14"/>
        <color rgb="FFFF0000"/>
        <rFont val="Times New Roman"/>
        <family val="1"/>
      </rPr>
      <t>Xuất các size: 2.90 x 1500 (200 tấn), 3.00 x 1500 (100 tấn), 3.90 x 1500 (200 tấn), 4.90 x 1500 (200 tấn), 4.80 x 1500  (100 tấn), 5.80 x 1500 (200 tấn), 5.90 x 1500  (100 tấn)</t>
    </r>
  </si>
  <si>
    <t>2000002825 - 351A2.T04.2025/HPDQ-TVĐ-1500T - Lệnh ok - Giao thẳng</t>
  </si>
  <si>
    <t>2200001962 - 1962.T04.2025/HPDQ-OTHY đi Hải Phòng 1046TAN HRC2 - XUẤT HẾT</t>
  </si>
  <si>
    <t>18-19.05.2025
Từ Đà Nẵng về</t>
  </si>
  <si>
    <t>18/05 Bến 1</t>
  </si>
  <si>
    <t>2000002870 - 372B.T04.2025/HPDQ-TVP - 10.000t - lệnh ok (LC yêu cầu sớm nhất 20/5 tàu mới đc chạy)
(Giao giữa Nhịp 2)</t>
  </si>
  <si>
    <t>Khách không lấy hàng sét, cong vênh, rách mép</t>
  </si>
  <si>
    <t>MT HÀ NỘI 69
(thay cho Nam Dương 666)</t>
  </si>
  <si>
    <t>18.05.2025
Chạy rỗng ra</t>
  </si>
  <si>
    <t>18/05 Bến 3/5</t>
  </si>
  <si>
    <t>Ra hết hàng và xuất hóa đơn muộn nhất 20/5</t>
  </si>
  <si>
    <r>
      <rPr>
        <b/>
        <sz val="14"/>
        <color rgb="FF000000"/>
        <rFont val="Times New Roman"/>
        <family val="1"/>
      </rPr>
      <t xml:space="preserve">2000002781 - 336B.T03 VNO </t>
    </r>
    <r>
      <rPr>
        <b/>
        <sz val="14"/>
        <color rgb="FFFF0000"/>
        <rFont val="Times New Roman"/>
        <family val="1"/>
      </rPr>
      <t>(LSD: 20/05)
(lệnh ok)</t>
    </r>
  </si>
  <si>
    <t>2000002875 - 336A.T03 VNO  (LSD: 20/05)
(lệnh ok)</t>
  </si>
  <si>
    <r>
      <rPr>
        <sz val="14"/>
        <color rgb="FF000000"/>
        <rFont val="Times New Roman"/>
        <family val="1"/>
      </rPr>
      <t xml:space="preserve">2000002890 -336C1.T03 VNO  </t>
    </r>
    <r>
      <rPr>
        <sz val="14"/>
        <color rgb="FFFF0000"/>
        <rFont val="Times New Roman"/>
        <family val="1"/>
      </rPr>
      <t xml:space="preserve">(LSD: 20/05)
</t>
    </r>
    <r>
      <rPr>
        <b/>
        <sz val="14"/>
        <color rgb="FFFF0000"/>
        <rFont val="Times New Roman"/>
        <family val="1"/>
      </rPr>
      <t>(lệnh ok)</t>
    </r>
  </si>
  <si>
    <t>GRAND FAMILY 56
(thay cho Grand Family 68)</t>
  </si>
  <si>
    <t>18/05 Bến 3</t>
  </si>
  <si>
    <t>2000002900 - 430.T04.2025/HPDQ-TMPHD-TM đi Phú Mỹ 10.500TAN HRC2 
Lệnh ok</t>
  </si>
  <si>
    <t>18-19.05.2025</t>
  </si>
  <si>
    <t>18/05 Bến tàu lai</t>
  </si>
  <si>
    <t>2000002870 - 372B.T04.2025/HPDQ-TVP - 10.000t - lệnh ok (LC yêu cầu sớm nhất 20/5 tàu mới đc chạy)</t>
  </si>
  <si>
    <t>19-20.05.2025
Quay đầu từ HP về</t>
  </si>
  <si>
    <t>13h30 19/05 Bến 3/5</t>
  </si>
  <si>
    <t>2000002858 - 344A.T03.2025/HPDQ-TVN (lot 4.1) - 4000t - 19/5 có LC duyệt lệnh LSD 25/5</t>
  </si>
  <si>
    <t>2000002915 - 344A.T03.2025/HPDQ-TVN (lot 4.3) - 2000t - 19/5 có LC duyệt lệnh LSD 25/5</t>
  </si>
  <si>
    <t>2000002855 - 344A.T03.2025/HPDQ-TVN (lot 4.2) - 500t - 19/5 có LC duyệt lệnh LSD 25/5</t>
  </si>
  <si>
    <r>
      <rPr>
        <sz val="14"/>
        <color rgb="FF000000"/>
        <rFont val="Times New Roman"/>
        <family val="1"/>
      </rPr>
      <t xml:space="preserve">2000002908 - 370B.T04.2025/HPDQ-NK - lệnh ok </t>
    </r>
    <r>
      <rPr>
        <b/>
        <sz val="14"/>
        <color rgb="FF000000"/>
        <rFont val="Times New Roman"/>
        <family val="1"/>
      </rPr>
      <t xml:space="preserve">(mỗi ngày chỉ xuất 1 hóa đơn giúp em ạ)
</t>
    </r>
    <r>
      <rPr>
        <sz val="14"/>
        <color rgb="FF000000"/>
        <rFont val="Times New Roman"/>
        <family val="1"/>
      </rPr>
      <t xml:space="preserve">GIAO THẲNG - </t>
    </r>
    <r>
      <rPr>
        <b/>
        <sz val="14"/>
        <color rgb="FFFF0000"/>
        <rFont val="Times New Roman"/>
        <family val="1"/>
      </rPr>
      <t>càng sớm càng tốt</t>
    </r>
  </si>
  <si>
    <t>2000002927 - 426.T05.2025/HPDQ-JFE (LOT 1) - lệnh ok</t>
  </si>
  <si>
    <t>2000002899 - 431.T04.2025/HPDQ-TMPHN đi Long An 5000TAN HRC2
Lệnh ok</t>
  </si>
  <si>
    <t>HRC2 - Hàng hóa ok, đã map 5kt</t>
  </si>
  <si>
    <t>2000002901 - 431.T04.2025/HPDQ-TMPHN đi Long An 800TAN HRC2
Lệnh ok</t>
  </si>
  <si>
    <r>
      <rPr>
        <sz val="14"/>
        <color rgb="FF000000"/>
        <rFont val="Times New Roman"/>
        <family val="1"/>
      </rPr>
      <t xml:space="preserve">2000002897 - 429.T04.2025/HPDQ-TMPHD-TM đi Long An 3000TAN HRC2
Lệnh ok
</t>
    </r>
    <r>
      <rPr>
        <sz val="14"/>
        <color rgb="FFFF0000"/>
        <rFont val="Times New Roman"/>
        <family val="1"/>
      </rPr>
      <t>DỠ TÂN THUẬN  -&gt; QUỐC TẾ LONG AN -&gt; PHÚ MỸ</t>
    </r>
  </si>
  <si>
    <t>18-19.05.2025
Dỡ đá -&gt; nhận hrc</t>
  </si>
  <si>
    <t>20/05 Bến 3</t>
  </si>
  <si>
    <t>2000002903 - 371.T04.2025/HPDQ-TN - 5.000T 
(Giao cuối nhịp 2) - dkien chiều 20/05 có lệnh</t>
  </si>
  <si>
    <t>SAN NICOLAS</t>
  </si>
  <si>
    <t>19.05
Laycan bắt đầu từ 23.05</t>
  </si>
  <si>
    <t>An TM Marine</t>
  </si>
  <si>
    <t>19/05 Bến 11</t>
  </si>
  <si>
    <t>Houston, USA</t>
  </si>
  <si>
    <t>2400001193 - 85.T06-25/HPDQ-JFE - HẰNG</t>
  </si>
  <si>
    <t>Hàng hóa phải sẵn sàng muộn nhất 22.05</t>
  </si>
  <si>
    <t>2400001194 - 86.T06-25/HPDQ-SST - GIANG</t>
  </si>
  <si>
    <t>2400001195 - 89.T06-25/HPDQ-SST - GIANG</t>
  </si>
  <si>
    <t>2400001196 - 90.T06-25/HPDQ-SST - GIANG</t>
  </si>
  <si>
    <t>20-21.05.2025
Chạy rỗng ra</t>
  </si>
  <si>
    <t>20/05 Bến C.TH</t>
  </si>
  <si>
    <t>2000002895 - 427.T04.2025/HPDQ-TMPHD đi Hải Phòng 14.600TAN HRC2
(Giao cuối Nhịp 2) - CÂN TẢI</t>
  </si>
  <si>
    <t>HRC2 - Hàng hóa ok, đã map 14837t</t>
  </si>
  <si>
    <t>20.05.2025</t>
  </si>
  <si>
    <t>21/05 Bến 3</t>
  </si>
  <si>
    <t>2000002903 - 371.T04.2025/HPDQ-TN - 5.000T 
(Giao cuối nhịp 2) -  lệnh ok</t>
  </si>
  <si>
    <t>19-20.05.2025
Chạy từ Thiên Lộc Thành về</t>
  </si>
  <si>
    <t>22/05 Bến Tàu lai</t>
  </si>
  <si>
    <t xml:space="preserve">2000002916 - 344B.T03.2025/HPDQ-KKNH (lot 2.1) - 2600t- lệnh ok LSD 20/5 </t>
  </si>
  <si>
    <t xml:space="preserve">2000002866 - 344B.T03.2025/HPDQ-KKNH (lot 2.2) - 1400t -lệnh ok </t>
  </si>
  <si>
    <t>22-23.05.2025
Chạy rỗng về</t>
  </si>
  <si>
    <t>22-23/05 Bến 2</t>
  </si>
  <si>
    <t>HRC2 - Hàng hóa ok, SO đã map 5kt</t>
  </si>
  <si>
    <r>
      <rPr>
        <b/>
        <sz val="14"/>
        <color rgb="FF000000"/>
        <rFont val="Times New Roman"/>
        <family val="1"/>
      </rPr>
      <t xml:space="preserve">NAM DƯƠNG 666
</t>
    </r>
    <r>
      <rPr>
        <sz val="14"/>
        <color rgb="FF000000"/>
        <rFont val="Times New Roman"/>
        <family val="1"/>
      </rPr>
      <t>(thay thế GRAND FAMILY 68)</t>
    </r>
  </si>
  <si>
    <t>22.05.2025
Từ Quy Nhơn về</t>
  </si>
  <si>
    <t>22/05 Bến 3</t>
  </si>
  <si>
    <t>2000002936 -406C.T05.2025/HPDQ-HSNS (lot 1) tổng đơn 15,170 tấn - Lệnh ok
GIAO ĐỦ DUNG SAI của các SIZE hàng</t>
  </si>
  <si>
    <t>22-23.05.2025
Dỡ đá -&gt; nhận HRC</t>
  </si>
  <si>
    <t>22-23/05 Bến 1</t>
  </si>
  <si>
    <t>2200001972 - 1972.T05.2025/HPDQ-OTHY-NKH đi Hải Phòng 595TAN HRC2</t>
  </si>
  <si>
    <t>2000002941- 425.T04.2025/HPDQ-HYSC(TTĐ) - 500t - Có LC- lệnh ok
Khách cần giao hàng đầu nhịp 3.T05</t>
  </si>
  <si>
    <t>2000002924 - 395.T05.2025/HPDQ-MV - lệnh ok</t>
  </si>
  <si>
    <t>2200001975 - 1975.T05.2025/HPDQ-OTHY-NKH đi Hải Phòng 285TAN HRC1</t>
  </si>
  <si>
    <t>CP NANJING</t>
  </si>
  <si>
    <t>23.05.2025</t>
  </si>
  <si>
    <t>24/05 Bến 10</t>
  </si>
  <si>
    <t>Phải xong trong tháng 5</t>
  </si>
  <si>
    <t>Antwerp</t>
  </si>
  <si>
    <t>2400001176 - 67.T05-25/HPDQ-HPI - GIANG</t>
  </si>
  <si>
    <t>2400001177 - 68.T05-25/HPDQ-HPI - GIANG</t>
  </si>
  <si>
    <t>HRC2 - Đã map 1360t hết hàng, chốt SO</t>
  </si>
  <si>
    <t>2400001167 - 69.T05-25/HPDQ-AMI -LINH</t>
  </si>
  <si>
    <t>2400001182 - 71.T05-25/HPDQ-HUYNDAI - HƯƠNG</t>
  </si>
  <si>
    <t>MALYOVITSA</t>
  </si>
  <si>
    <t>23/05 C.TH</t>
  </si>
  <si>
    <t>Bilbao</t>
  </si>
  <si>
    <t>2400001185 - 84.T06-25/HPDQ-CVA (LOT 1)- LINH</t>
  </si>
  <si>
    <t>2400001186 - 84.T06-25/HPDQ-CVA (LOT 2)- LINH</t>
  </si>
  <si>
    <t>2400001187 - 87.T06-25/HPDQ-CVA (LOT 1) - LINH</t>
  </si>
  <si>
    <t>2400001188 - 87.T06-25/HPDQ-CVA (LOT 2) - LINH</t>
  </si>
  <si>
    <t>2400001190 - 88.T06-25/HPDQ-TSSK - LOT 1: S355JR - HẰNG</t>
  </si>
  <si>
    <t>2400001191 - 88.T06-25/HPDQ-TSSK - LOT 2: S235JR - HẰNG</t>
  </si>
  <si>
    <t>2400001192 - 88.T06-25/HPDQ-TSSK - LOT 3: S275JR - HẰNG</t>
  </si>
  <si>
    <t>23.05.2025
Chạy từ miền nam về</t>
  </si>
  <si>
    <t>23/05 Bến 5</t>
  </si>
  <si>
    <t>000002934 - 407C.T05.2025/HPDQ-HSQN (tổng 13,000 tấn) - lệnh ok
GIAO ĐỦ DUNG SAI của các SIZE hàng</t>
  </si>
  <si>
    <t>23-24.05.2025
Dỡ đá -&gt; nhận HRC</t>
  </si>
  <si>
    <t>22/05 Bến 2</t>
  </si>
  <si>
    <t>19h00 26/05</t>
  </si>
  <si>
    <t>19h00 26/05 Bến Tàu lai</t>
  </si>
  <si>
    <t>2200001988 - 1988.T04.2025/HPDQ-OTHY-NKH đi Hải Phòng 2030TAN HRC2  
(CW 25-28 tấn)</t>
  </si>
  <si>
    <t>Sản xuất từ slab loại 2, sản xuất xong mới có 
đơn hàng</t>
  </si>
  <si>
    <t>2200001989 - 1989.T04.2025/HPDQ-OTHY-NKH đi Hải Phòng 666TAN HRC2
(CW 25-28 tấn)</t>
  </si>
  <si>
    <r>
      <rPr>
        <sz val="14"/>
        <color rgb="FF000000"/>
        <rFont val="Times New Roman"/>
        <family val="1"/>
      </rPr>
      <t xml:space="preserve">2200001990 - 1990.T04.2025/HPDQ-OTHY-NKH đi Hải Phòng 1811TAN HRC2
(CW 25-28 tấn) - </t>
    </r>
    <r>
      <rPr>
        <sz val="14"/>
        <color rgb="FFFF0000"/>
        <rFont val="Times New Roman"/>
        <family val="1"/>
      </rPr>
      <t>CÂN TẢI</t>
    </r>
  </si>
  <si>
    <t>26-27.05.2025</t>
  </si>
  <si>
    <t>12h00 26/05 Bến 3/5</t>
  </si>
  <si>
    <t>2000002942 - 387B1.T04.2025/HPDQ-OTSG (lot 1) - 500t  - lệnh ok</t>
  </si>
  <si>
    <t>2000002985 - 387B2.T04.2025/HPDQ-MISV (lot 2) - 3000t - lệnh ok</t>
  </si>
  <si>
    <t>2000002971 - 385A.T04.2025/HPDQ-TPK - lệnh ok
GIAO THẲNG (LSD 5/6)</t>
  </si>
  <si>
    <t>2000002966 - 385B.T04.2025/HPDQ-TPK - cuối ngày 27/5 có lệnh
GIAO THẲNG (LSD 5/6)</t>
  </si>
  <si>
    <t>2000002970 - 414.T05.2025/HPDQ-TLPM - Phú Mỹ ( lệnh ok)</t>
  </si>
  <si>
    <t>2000002940 - 426.T05.2025/HPDQ-JFE (LOT 2) - cuối ngày 26/5 có lệnh</t>
  </si>
  <si>
    <r>
      <rPr>
        <sz val="14"/>
        <color rgb="FF000000"/>
        <rFont val="Times New Roman"/>
        <family val="1"/>
      </rPr>
      <t>2000002939 - 410B.T05.2025/HPDQ-NK - 3.000T - lệnh ok -</t>
    </r>
    <r>
      <rPr>
        <b/>
        <sz val="14"/>
        <color rgb="FF000000"/>
        <rFont val="Times New Roman"/>
        <family val="1"/>
      </rPr>
      <t xml:space="preserve"> mỗi ngày chỉ xuất 1 hóa đơn
</t>
    </r>
    <r>
      <rPr>
        <sz val="14"/>
        <color rgb="FF000000"/>
        <rFont val="Times New Roman"/>
        <family val="1"/>
      </rPr>
      <t>GIAO THẲNG - cần hàng gấp</t>
    </r>
  </si>
  <si>
    <t>2000002973 - 434.T05.2025/HPDQ-TDA - cuối ngày 26/5 có lệnh</t>
  </si>
  <si>
    <t>HRC2 - Hàng hóa ok, đã map 5121t</t>
  </si>
  <si>
    <r>
      <rPr>
        <sz val="14"/>
        <color rgb="FF000000"/>
        <rFont val="Times New Roman"/>
        <family val="1"/>
      </rPr>
      <t xml:space="preserve">2000002989 - 426.T05.2025/HPDQ-JFE (LOT 3) - 
</t>
    </r>
    <r>
      <rPr>
        <b/>
        <sz val="14"/>
        <color rgb="FFFF0000"/>
        <rFont val="Times New Roman"/>
        <family val="1"/>
      </rPr>
      <t>DỠ TÂN THUẬN -&gt; PHÚ MỸ</t>
    </r>
  </si>
  <si>
    <t>giao trong T5</t>
  </si>
  <si>
    <t>27-28.05.2025
Dỡ đá -&gt; nhận HRC</t>
  </si>
  <si>
    <t>27/05 Bến 6</t>
  </si>
  <si>
    <t>Xuất hết trong tháng 5</t>
  </si>
  <si>
    <t>2000002986 - 387A.T04.2025/HPDQ-MISV (lot 1) - 2500t - lệnh ok</t>
  </si>
  <si>
    <t>2000002987 - 387A.T04.2025/HPDQ-MISV (lot 2) - 2500t - lệnh ok</t>
  </si>
  <si>
    <t>26.05.2025</t>
  </si>
  <si>
    <t>13h00 26/05 Bén 2</t>
  </si>
  <si>
    <t>HRC 1 - Còn cho xuất nốt</t>
  </si>
  <si>
    <t>2200001978 - 1978.T05.2025/HPDQ-OTHY-NKH đi Hải Phòng 786TAN HRC1</t>
  </si>
  <si>
    <t>2000002988 - 387A.T04.2025/HPDQ-MISV (lot 3) - 2000t - lệnh ok</t>
  </si>
  <si>
    <t>2000002967 - 437.T05.2025/HPDQ-TCD - dự kiến 26/5 có LC - ĐI NGUYÊN ĐƠN</t>
  </si>
  <si>
    <t>26/05 có LC, khách sẵn sàng nhận trong t5</t>
  </si>
  <si>
    <t>28.05.2025
Chạy từ nam về</t>
  </si>
  <si>
    <t>28/05  C.TH</t>
  </si>
  <si>
    <t>2200001981 - 1981.T05.2025/HPDQ-THP-KH HRC1 đi Hải Phòng 14130TAN - CÂN TẢI</t>
  </si>
  <si>
    <t>PKH note lại lượng NK trong tháng</t>
  </si>
  <si>
    <r>
      <rPr>
        <b/>
        <sz val="14"/>
        <color rgb="FF000000"/>
        <rFont val="Times New Roman"/>
        <family val="1"/>
      </rPr>
      <t xml:space="preserve">2000002926 - 360C.T04.2025/HPDQ-VINAS(HP) lệnh ok
</t>
    </r>
    <r>
      <rPr>
        <b/>
        <sz val="14"/>
        <color rgb="FFFF0000"/>
        <rFont val="Times New Roman"/>
        <family val="1"/>
      </rPr>
      <t>LOAD HÀNG ĐẦU TIÊN, DỠ CUỐI CÙNG - XUẤT HẾT</t>
    </r>
  </si>
  <si>
    <r>
      <rPr>
        <sz val="14"/>
        <color rgb="FF000000"/>
        <rFont val="Times New Roman"/>
        <family val="1"/>
      </rPr>
      <t xml:space="preserve">2000002925 - 360D.T04.2025/HPDQ-HANOIS(HP) lệnh ok
</t>
    </r>
    <r>
      <rPr>
        <sz val="14"/>
        <color rgb="FFFF0000"/>
        <rFont val="Times New Roman"/>
        <family val="1"/>
      </rPr>
      <t>LOAD HÀNG ĐẦU TIÊN, DỠ CUỐI CÙNG - XUẤT HẾT</t>
    </r>
  </si>
  <si>
    <t>27.05.2025
Chạy từ nam về</t>
  </si>
  <si>
    <t>22h00 27/05 Bến 3</t>
  </si>
  <si>
    <t>2200001981 - 1981.T05.2025/HPDQ-THP-KH HRC1 đi Hải Phòng 14130TAN - 
CÂN TẢI</t>
  </si>
  <si>
    <r>
      <rPr>
        <sz val="14"/>
        <color rgb="FF000000"/>
        <rFont val="Times New Roman"/>
        <family val="1"/>
      </rPr>
      <t xml:space="preserve">2000002936 - 406C.T05.2025/HPDQ-HSNS (lot 2) tổng đơn 15,170 tấn - Lệnh ok
GIAO ĐỦ DUNG SAI của các SIZE hàng </t>
    </r>
    <r>
      <rPr>
        <sz val="14"/>
        <color rgb="FFFF0000"/>
        <rFont val="Times New Roman"/>
        <family val="1"/>
      </rPr>
      <t>XUẤT HẾT
khách ưu tiên load đủ size 2.3x1260</t>
    </r>
  </si>
  <si>
    <t>29/05 Bến 2</t>
  </si>
  <si>
    <t>2000002980 - 384B.T04.2025/HPDQ-TVN (NĐ) (lot 1) - 1000t - cuối nhịp 3 nhận đầu t6 
lệnh ok</t>
  </si>
  <si>
    <t>2200001979 - 1979.T05.2025/HPDQ-SPTLA-NKH đi Cẩm Nguyên 747TAN HRC1</t>
  </si>
  <si>
    <t>2200001984 - 1984.T05.2025/HPDQ-SPTLA-NKH đi Cẩm Nguyên 1064TAN HRC2</t>
  </si>
  <si>
    <t>HRC2 - Hàng spot</t>
  </si>
  <si>
    <t>2200001991 - 1991.T04.2025/HPDQ-SPTLA-NKH đi Cẩm Nguyên 735TAN HRC2</t>
  </si>
  <si>
    <t>HRC2 - hàng hóa sẵn sàng</t>
  </si>
  <si>
    <t>2200001980 - 1980.T05.2025/HPDQ-OTBD-NKH đi Long Bình 426TAN HRC1</t>
  </si>
  <si>
    <t>2200001985 - 1985.T05.2025/HPDQ-OTBD-NKH đi Long Bình 1677TAN HRC2</t>
  </si>
  <si>
    <t>26-27.05.2025
Quay đầu từ Quy Nhơn về</t>
  </si>
  <si>
    <t>12h00 28/05 C.TH</t>
  </si>
  <si>
    <r>
      <rPr>
        <b/>
        <sz val="14"/>
        <color rgb="FF000000"/>
        <rFont val="Times New Roman"/>
        <family val="1"/>
      </rPr>
      <t xml:space="preserve">2000002954 - 407D.T05.2025/HPDQ-HSQN tổng 9900 tấn- lệnh ok
</t>
    </r>
    <r>
      <rPr>
        <b/>
        <sz val="14"/>
        <color rgb="FFFF0000"/>
        <rFont val="Times New Roman"/>
        <family val="1"/>
      </rPr>
      <t>GIAO ĐỦ DUNG SAI của các SIZE hàng - LOAD hết hàng khổ 121x trước</t>
    </r>
  </si>
  <si>
    <t>27-28.05.2025
Từ Đà Nẵng về</t>
  </si>
  <si>
    <t>22h00 29/05 Bến 1</t>
  </si>
  <si>
    <r>
      <rPr>
        <b/>
        <sz val="14"/>
        <color rgb="FF000000"/>
        <rFont val="Times New Roman"/>
        <family val="1"/>
      </rPr>
      <t xml:space="preserve">2200001981 - 1981.T05.2025/HPDQ-THP-KH HRC1 đi Hải Phòng 14130TAN - </t>
    </r>
    <r>
      <rPr>
        <b/>
        <sz val="14"/>
        <color rgb="FFFF0000"/>
        <rFont val="Times New Roman"/>
        <family val="1"/>
      </rPr>
      <t>CÂN TẢI</t>
    </r>
  </si>
  <si>
    <t>Tàu ghép 100 tấn thép cuộn - Liên hệ Mr Tú HY</t>
  </si>
  <si>
    <r>
      <rPr>
        <sz val="14"/>
        <color rgb="FF000000"/>
        <rFont val="Times New Roman"/>
        <family val="1"/>
      </rPr>
      <t xml:space="preserve">2000002895 - 427.T04.2025/HPDQ-TMPHD đi Hải Phòng 14.600TAN HRC2
(Giao cuối Nhịp 2) - </t>
    </r>
    <r>
      <rPr>
        <sz val="14"/>
        <color rgb="FFFF0000"/>
        <rFont val="Times New Roman"/>
        <family val="1"/>
      </rPr>
      <t>XUẤT HẾT</t>
    </r>
  </si>
  <si>
    <t>HRC2 - Hàng hóa ok, 
đã map 14837t</t>
  </si>
  <si>
    <t>30.05.2025
Dỡ phôi -&gt; nhận HRC</t>
  </si>
  <si>
    <t>21h00 29/05 Bến 6</t>
  </si>
  <si>
    <r>
      <rPr>
        <b/>
        <sz val="14"/>
        <color rgb="FF000000"/>
        <rFont val="Times New Roman"/>
        <family val="1"/>
      </rPr>
      <t xml:space="preserve">2200001985 - 1985.T05.2025/HPDQ-OTBD-NKH đi Long Bình 1677TAN HRC2
</t>
    </r>
    <r>
      <rPr>
        <sz val="14"/>
        <color rgb="FFFF0000"/>
        <rFont val="Times New Roman"/>
        <family val="1"/>
      </rPr>
      <t>Bớt lại 1 cuộn</t>
    </r>
  </si>
  <si>
    <r>
      <rPr>
        <sz val="14"/>
        <color rgb="FF000000"/>
        <rFont val="Times New Roman"/>
        <family val="1"/>
      </rPr>
      <t xml:space="preserve">2200001986 - 1986.T04.2025/HPDQ-OTBD-NKH đi Long Bình 1893TAN HRC2
</t>
    </r>
    <r>
      <rPr>
        <sz val="14"/>
        <color rgb="FFFF0000"/>
        <rFont val="Times New Roman"/>
        <family val="1"/>
      </rPr>
      <t>Bớt lại 1 cuộn</t>
    </r>
  </si>
  <si>
    <t>Muộn nhất 11/5 phải xuất hết</t>
  </si>
  <si>
    <t>2200001951 - 1951.T04.2025/HPDQ-OTĐN đi đường bộ Đà Nẵng 3998TAN HRC1</t>
  </si>
  <si>
    <t>2200001959 - 1959.T04.2025/HPDQ-OTĐN đường bộ Đà Nẵng 359TAN HRC1</t>
  </si>
  <si>
    <t>2200001963 - 1963.T04.2025/HPDQ-OTĐN đường bộ Đà Nẵng 809TAN HRC2</t>
  </si>
  <si>
    <t>2200001969 - 1963.T04.2025/HPDQ-OTĐN 209TAN 
bổ sung cho size 2.00x1250 SAE1006 bị sai MVT của 22*1963</t>
  </si>
  <si>
    <t>Xuất liên tiếp luôn</t>
  </si>
  <si>
    <t>2200001966 - 1966.T05.2025/HPDQ-OTĐN-NKH đi Đà Nẵng 2579TAN HRC1</t>
  </si>
  <si>
    <t>13-15.05.2025</t>
  </si>
  <si>
    <t>2000002920 - 364A.T04.2025/HPDQ-TPH - 2000t - LSD 20/5 - lệnh ok</t>
  </si>
  <si>
    <t>15-17.05.2025</t>
  </si>
  <si>
    <t>2200001971 - 1971.T05.2025/HPDQ-OTĐN-NKH đi Đà Nẵng 1770TAN HRC2</t>
  </si>
  <si>
    <t>17-20.05.2025</t>
  </si>
  <si>
    <t>2200001974 - 1974.T05.2025/HPDQ-OTĐN-NKH đi Đà Nẵng 4857TAN HRC1</t>
  </si>
  <si>
    <t>22-25.05.2025</t>
  </si>
  <si>
    <t>2200001977 - 1977.T05.2025/HPDQ-OTĐN-NKH đi Đà Nẵng 2170TAN HRC1</t>
  </si>
  <si>
    <t>25-28.05.2025</t>
  </si>
  <si>
    <t>2200001983 - 1983.T05.2025/HPDQ-OTĐN-NKH đi Đà Nẵng 3237TAN HRC2</t>
  </si>
  <si>
    <t>HRC2 - Hàng spot - Đã map 3175 chốt SO</t>
  </si>
  <si>
    <t>28-29.05.2025</t>
  </si>
  <si>
    <t>2200001987 - 1987.T04.2025/HPDQ-OTĐN-NKH đi Đà Nẵng 532TAN HRC2</t>
  </si>
  <si>
    <t>29-31.05.2025</t>
  </si>
  <si>
    <t>Đang xuất</t>
  </si>
  <si>
    <t>2200001993 - 1993.T05.2025/HPDQ-OTĐN-NKH đi Đà Nẵng 1298TAN HRC1</t>
  </si>
  <si>
    <t>LỊCH XUẤT HRC THÁNG 09/2025
LƯU Ý CẦN NHẮC LẠI NHIỀU LẦN: XUẤT ĐỦ DUNG SAI CÁC SIZE HÀNG, LÚC XUẤT COIL LIST MÀ CHƯA MAPPING ĐỦ DUNG SAI, SAU ĐÓ MAPPING THÊM THÌ PHẢI XUẤT THÊM CHO ĐỦ</t>
  </si>
  <si>
    <t>INCE ANTALYA</t>
  </si>
  <si>
    <t>31/08</t>
  </si>
  <si>
    <t>AN TM Marine</t>
  </si>
  <si>
    <t>31/8 bến 5/10</t>
  </si>
  <si>
    <t>Ravenna (Marcegaglia's berth)</t>
  </si>
  <si>
    <t>2400001269 - 110.T08-25/HPDQ-MARCE(S235JR)</t>
  </si>
  <si>
    <t>HRC 2 - Đã map 2376t, còn lại Dự kiến 31/8 NK</t>
  </si>
  <si>
    <t xml:space="preserve">Nhãn phụ CE Marking </t>
  </si>
  <si>
    <t>25kt tính vào tháng 8</t>
  </si>
  <si>
    <t>2400001270 - 110.T08-25/HPDQ-MARCE(SAE1006)</t>
  </si>
  <si>
    <t>HRC 2 - Đã map 26539t 
Còn lại dự kiến 31/8 NK</t>
  </si>
  <si>
    <t>2400001271 - 110.T08-25/HPDQ-MARCE(S355JR)</t>
  </si>
  <si>
    <t>04-05.09.2025
Dỡ đá -&gt; nhận HRC</t>
  </si>
  <si>
    <t>04/09 Bến 3</t>
  </si>
  <si>
    <r>
      <rPr>
        <b/>
        <sz val="14"/>
        <color rgb="FF000000"/>
        <rFont val="Times New Roman"/>
      </rPr>
      <t xml:space="preserve">2000003250 - 516A.T08.2025/HPDQ-HSNS-KH - tổng đơn 10,480 tấn - lệnh ok
</t>
    </r>
    <r>
      <rPr>
        <sz val="14"/>
        <color rgb="FFFF0000"/>
        <rFont val="Times New Roman"/>
      </rPr>
      <t>(Xuất đủ dung sai các size hàng, còn lại khoảng 400 tấn tính sau)</t>
    </r>
  </si>
  <si>
    <t>25 TẤN</t>
  </si>
  <si>
    <t>02-03.09.2025
Từ Quy Nhơn về</t>
  </si>
  <si>
    <t>04-05/09 Bến 2</t>
  </si>
  <si>
    <t xml:space="preserve">2000003261 -  522G.T08.2025/HPDQ-VNO -KH (DK 28/08 có LC) 3.000T </t>
  </si>
  <si>
    <t>34 TẤN</t>
  </si>
  <si>
    <t>2200002149 - 0011.T08.2025/HPDQ-SPTLA-NKH 224TAN đi Long An HRC2</t>
  </si>
  <si>
    <t>HRC 2 - HÀNG SPOT
Hàng hóa ok</t>
  </si>
  <si>
    <t>2200002114 - 2110.T07.2025/HPDQ-SPTLA-KH 4500TAN đi Long An HRC2 - 
CÂN TẢI</t>
  </si>
  <si>
    <t>MINH PHÚC 88
(thay cho Vipmaco 06)</t>
  </si>
  <si>
    <t>04.09.2025
Dỡ đá -&gt; nhận HRC</t>
  </si>
  <si>
    <t>2200002145 - 0007.T08.2025/HPDQ-THP-NKH 650TAN đi Hải Phòng HRC2</t>
  </si>
  <si>
    <t>HRC 2 - HÀNG SPOT - Hàng hóa ok</t>
  </si>
  <si>
    <t>KHÔNG ĐẠT VÀO SL THÁNG 8, 
TÍNH SL THÁNG 9</t>
  </si>
  <si>
    <t>2200002146 - 0008.T08.2025/HPDQ-OTHY-NKH 1535TAN đi Hải Phòng HRC2 - CÂN TẢI</t>
  </si>
  <si>
    <t>2200002147 - 0009.T08.2025/HPDQ-OTHY-NKH 2115TAN đi Hải Phòng HRC2</t>
  </si>
  <si>
    <t>HRC 2 - HÀNG SPOT - Hàng hóa ok
hụt 100t ok</t>
  </si>
  <si>
    <t>2200002148 - 0010.T08.2025/HPDQ-OTHY-NKH 298TAN đi Hải Phòng HRC2</t>
  </si>
  <si>
    <t>02-03.09.2025
NEO</t>
  </si>
  <si>
    <t>05/09 Bến 6-CTH</t>
  </si>
  <si>
    <t>ĐÃ ĐẢO LỆNH HÀNG HÓA OK HẾT CHO TÀU NÀY</t>
  </si>
  <si>
    <t>2000003192 - 513B.T08.2025/HPDQ-HANOIS-KH (có LC sau lễ)  - 5.000 tấn
Nhận tàu ngày 5/9 làm hàng, ưu tiên đc xếp vào tàu to</t>
  </si>
  <si>
    <t>36 TẤN</t>
  </si>
  <si>
    <r>
      <rPr>
        <sz val="14"/>
        <color rgb="FF000000"/>
        <rFont val="Times New Roman"/>
      </rPr>
      <t xml:space="preserve">2000003253 - 518C.T08.2025/HPDQ-HSPM-KH - tổng đơn 10,370 tấn - lệnh ok
</t>
    </r>
    <r>
      <rPr>
        <sz val="14"/>
        <color rgb="FFFF0000"/>
        <rFont val="Times New Roman"/>
      </rPr>
      <t>Có tầm 3-4k book tàu giao cho khách vì đang cần hàng ạ - CÂN TẢI
ƯU TIÊN XUẤT KHỔ 1212</t>
    </r>
  </si>
  <si>
    <t>HRC 1 - ĐÃ MAP 4K1
HÀNG HÓA OK</t>
  </si>
  <si>
    <t>2000003300 - 460A.T06.2025/HPDQ-TVN-KH (Thép Việt Nhật) - 500t - SPHC</t>
  </si>
  <si>
    <t>HRC 1</t>
  </si>
  <si>
    <t>2000003301 - 460A.T06.2025/HPDQ-TVN-KH (Thép Việt Nhật) - 2000t - SAE1006</t>
  </si>
  <si>
    <t>HRC 1 - ĐÃ MAP 2k
HÀNG HÓA OK</t>
  </si>
  <si>
    <r>
      <rPr>
        <sz val="14"/>
        <color rgb="FF000000"/>
        <rFont val="Times New Roman"/>
      </rPr>
      <t xml:space="preserve">2000003254 - 539A3.T07.2025/HPDQ-TMPHD-KH 2900TAN đi LA HRC2 
(Hàng khách hàng hạ bãi)
</t>
    </r>
    <r>
      <rPr>
        <b/>
        <sz val="14"/>
        <color rgb="FFFF0000"/>
        <rFont val="Times New Roman"/>
      </rPr>
      <t>DỠ PHÚ MỸ -&gt; QTLA</t>
    </r>
  </si>
  <si>
    <t>29.08.2028
NEO</t>
  </si>
  <si>
    <t>05/09 Bến 5</t>
  </si>
  <si>
    <t>2200002124 - 535.T08.2025/HPDQ-THP-KH đi Hải Phòng 15740TAN HRC1 - cân tải</t>
  </si>
  <si>
    <t>HRC 1 - ĐÃ MAP 3K3
HÀNG HÓA OK</t>
  </si>
  <si>
    <t>30 TẤN</t>
  </si>
  <si>
    <t>2000003258 - 539D.T07.2025/HPDQ-TMPHD-KH 6000TAN đi HP HRC1</t>
  </si>
  <si>
    <t>HRC 1 - ĐÃ MAP 2kt
Hàng OK</t>
  </si>
  <si>
    <t>2200002155 - 0012.T09.2025/HPDQ-OTHY-NKH 2851TAN đi Hải Phòng HRC2</t>
  </si>
  <si>
    <t>2200002156 - 0013.T09.2025/HPDQ-OTHY-NKH 4713TAN đi Hải Phòng HRC1</t>
  </si>
  <si>
    <t xml:space="preserve">2200002157 - 0013.T09.2025/HPDQ-OTHY-NKH 11925TAN đi Hải Phòng HRC2 </t>
  </si>
  <si>
    <r>
      <t xml:space="preserve">HRC 2 - HÀNG SPOT - Hàng hóa ok
</t>
    </r>
    <r>
      <rPr>
        <sz val="14"/>
        <color rgb="FFFF0000"/>
        <rFont val="Times New Roman"/>
      </rPr>
      <t>hụt 100t ok</t>
    </r>
  </si>
  <si>
    <t>01-02.09.2025
NEO</t>
  </si>
  <si>
    <t>05/09 Bến 3</t>
  </si>
  <si>
    <t>2000003192 - 513B.T08.2025/HPDQ-HANOIS-KH (có LC sau lễ) - 5.000 tấn
Nhận tàu ngày 5/9 làm hàng, ưu tiên đc xếp vào tàu to</t>
  </si>
  <si>
    <t>HRC 1 - ĐÃ MAP TỔNG 4K8
Hàng hóa ok</t>
  </si>
  <si>
    <t>38 TẤN</t>
  </si>
  <si>
    <t>2200002139 - 537C.T08.2025/HPDQ-SPTLA-KH 1200TAN HRC2 đi Phú Mỹ</t>
  </si>
  <si>
    <t>2000003278 - 377B.T04.2025/HPDQ-QHP- 3000T (Đã có LC) - Cân tải</t>
  </si>
  <si>
    <t>2000003277 - 377A.T04.2025/HPDQ-CNQHP- 2000T (Đã có LC)</t>
  </si>
  <si>
    <t>2000003286 - 377E1.T04.2025/HPDQ-QHP - 1900T (Đã có LC)</t>
  </si>
  <si>
    <t>2000003285 - 377E2.T04.2025/HPDQ-QHP -2100T (ghép cùng 377E2 - HRC 2) 
(Đã có LC)</t>
  </si>
  <si>
    <t>SJ COLOMBO</t>
  </si>
  <si>
    <t>05.09.2025
LAYCAN 15.09.2025</t>
  </si>
  <si>
    <t>07-08/09 Bến 5/10</t>
  </si>
  <si>
    <t>2400001250 - 108.T08-25/HPDQ-CVASL - LOT 1 - DD11</t>
  </si>
  <si>
    <t>Nhãn đỏ</t>
  </si>
  <si>
    <t>2400001251 - 108.T08-25/HPDQ-CVASL - LOT 2 - S235JR</t>
  </si>
  <si>
    <t xml:space="preserve">2400001252 - 108.T08-25/HPDQ-CVASL - LOT 3 - S355JR </t>
  </si>
  <si>
    <t xml:space="preserve">2400001253 - 108.T08-25/HPDQ-CVASL - LOT 4 - S355JR </t>
  </si>
  <si>
    <t>2400001254 - 108.T08-25/HPDQ-CVASL - LOT 5 - S355MC</t>
  </si>
  <si>
    <t>UK main port</t>
  </si>
  <si>
    <t>2400001260 - 109.T08-25/HPDQ-B&amp;K - HẰNG - SKIN</t>
  </si>
  <si>
    <t>Nhãn xanh</t>
  </si>
  <si>
    <t>2400001261 - 109.T08-25/HPDQ-B&amp;K - HẰNG - NON SKIN</t>
  </si>
  <si>
    <t>2400001275 - 132.T09-25/HPDQ-SST - HẰNG</t>
  </si>
  <si>
    <t>08-09.09.2025</t>
  </si>
  <si>
    <t>09/09 Bến 1</t>
  </si>
  <si>
    <t>JIANG XIA FU</t>
  </si>
  <si>
    <t>11.09.2025</t>
  </si>
  <si>
    <t>Blue Ocean</t>
  </si>
  <si>
    <t>13/9 BẾN 5/10</t>
  </si>
  <si>
    <t>Dangjin, Korea</t>
  </si>
  <si>
    <t>2400001241 - 117.T08-25/HPDQ-NI</t>
  </si>
  <si>
    <t>2400001248 - 117.T08-25/HPDQ-NI</t>
  </si>
  <si>
    <t>2400001243 - 117.T08-25/HPDQ-NI</t>
  </si>
  <si>
    <t>2400001276 - 120.T09-25/HPDQ-NI - GIANG</t>
  </si>
  <si>
    <t>2400001284 - 121.T09-25/HPDQ-JFE</t>
  </si>
  <si>
    <t>2400001272 - 118.T09-25/HPDQ-MI - LINH</t>
  </si>
  <si>
    <t>2400001273- 118.T09-25/HPDQ-MI - LINH</t>
  </si>
  <si>
    <t>03-04.09.2025
Dỡ đá -&gt; nhận HRC</t>
  </si>
  <si>
    <t>06/09 Bến 6/11</t>
  </si>
  <si>
    <t>2200002135 -  537A.T08.2025/HPDQ-OTHY-KH 2000TAN HRC2 đi Hải Phòng</t>
  </si>
  <si>
    <t>2200002136 -  537A.T08.2025/HPDQ-OTHY-KH 7800TAN HRC1 đi Hải Phòng - 
cân tải</t>
  </si>
  <si>
    <t>2000003243 - 507.T08.2025/HPDQ-TP -KH, LSD 20/09, lệnh ok</t>
  </si>
  <si>
    <t>2000003203 - 502.T08.2025/HPDQ-PVN(OTMN)-KH - LỆNH OK</t>
  </si>
  <si>
    <t>MT HÀ NỘI 68
(thay Gia Đức 111)</t>
  </si>
  <si>
    <t>06.09.2025
Rỗng từ nam về</t>
  </si>
  <si>
    <t>06/09 Bến 2</t>
  </si>
  <si>
    <t>2200002138 -  537B.T08.2025/HPDQ-OTBD-KH 3100TAN HRC1 đi Long Bình - cân tải</t>
  </si>
  <si>
    <t xml:space="preserve">2200002137 -  537B.T08.2025/HPDQ-OTBD-KH 900TAN HRC2 đi Long Bình </t>
  </si>
  <si>
    <t xml:space="preserve">2200002114 - 2110.T07.2025/HPDQ-SPTLA-KH 4500TAN đi Long An HRC2 </t>
  </si>
  <si>
    <t>05-06.09.2025 (TÀU NEO CHỜ HÀNG)</t>
  </si>
  <si>
    <t>08-09 Bến 3</t>
  </si>
  <si>
    <r>
      <rPr>
        <b/>
        <sz val="14"/>
        <color rgb="FF000000"/>
        <rFont val="Times New Roman"/>
      </rPr>
      <t xml:space="preserve">2000003282 - 516B.T08.2025/HPDQ-HSNS-KH - lệnh ok
</t>
    </r>
    <r>
      <rPr>
        <b/>
        <sz val="14"/>
        <color rgb="FFFF0000"/>
        <rFont val="Times New Roman"/>
      </rPr>
      <t>ƯU TIÊN LOAD HÀNG KHỔ 1212</t>
    </r>
  </si>
  <si>
    <t>2000003250 - 516A.T08.2025/HPDQ-HSNS-KH - tổng đơn 10,480 tấn - lệnh ok (xuất nốt mapping)</t>
  </si>
  <si>
    <t>2000003241 - 512.T08.2025/HPDQ-PT-KH, LSD 30/09, lệnh ok</t>
  </si>
  <si>
    <t>2200002124 - 535.T08.2025/HPDQ-THP-KH đi Hải Phòng 15740TAN HRC1 CẨN TẢI</t>
  </si>
  <si>
    <t>2200002159 - 0015.T09.2025/HPDQ-OTHY-NKH đi Hải Phòng 382TAN HRC2</t>
  </si>
  <si>
    <t>QUANG VINH 189</t>
  </si>
  <si>
    <t>06.09.2025</t>
  </si>
  <si>
    <t>13/9 Bến 3/5</t>
  </si>
  <si>
    <r>
      <rPr>
        <sz val="14"/>
        <color rgb="FF000000"/>
        <rFont val="Times New Roman"/>
      </rPr>
      <t xml:space="preserve">2000003295 - 541A.T08.2025/KH/HPDQ-JFE -  lệnh ok, </t>
    </r>
    <r>
      <rPr>
        <sz val="14"/>
        <color rgb="FFFF0000"/>
        <rFont val="Times New Roman"/>
      </rPr>
      <t>LSD 15/9
PHẢI GIAO CẢ ĐƠN TRÊN 1 TÀU
map và giao đủ dung sai dương</t>
    </r>
  </si>
  <si>
    <r>
      <rPr>
        <sz val="16"/>
        <color rgb="FFFF0000"/>
        <rFont val="Times New Roman"/>
      </rPr>
      <t xml:space="preserve">Lưu ý sơ đồ để lệnh này được dỡ đầu tiên.
</t>
    </r>
    <r>
      <rPr>
        <b/>
        <sz val="16"/>
        <color rgb="FFFF0000"/>
        <rFont val="Times New Roman"/>
      </rPr>
      <t>Hành trình tàu: Tân Thuận - QTLA</t>
    </r>
  </si>
  <si>
    <t>chậm so với lịch DK</t>
  </si>
  <si>
    <t>2000003256 - 532.T08.2025/HPDQ-SUNSCO-KH - 500T - lệnh ok
giao sớm nhất có thể</t>
  </si>
  <si>
    <t>khách yêu cầu hàng đến HCM chậm nhất ngày 15/09</t>
  </si>
  <si>
    <t>2000003186 - 539C.T07.2025/HPDQ-TMPHD-KH 2500TAN đi LA HRC2</t>
  </si>
  <si>
    <t>2000003189 - 540.T07.2025/HPDQ-TMP-KH 4170TAN đi LA HRC2 - Cân tải</t>
  </si>
  <si>
    <t>13.09.2025</t>
  </si>
  <si>
    <t>12/09 Bến Tàu lai</t>
  </si>
  <si>
    <t>2000003306 - 454A.T06.2025/HPDQ-TVP - 10kt - LSD 15/9 - đã có LC tổng 10kt - 9/9 duyệt lệnh - Cân tải</t>
  </si>
  <si>
    <t>Cần hàng trước 13/09</t>
  </si>
  <si>
    <t>2200002165 - 582E.T09.2025/HPDQ-SPTLA-KH
size 8.5x1520</t>
  </si>
  <si>
    <t>07.09.2025</t>
  </si>
  <si>
    <t>10/09 Bến 3/5</t>
  </si>
  <si>
    <t>2000003288 - 520A.T08.2025/HPDQ-NK-KH - 7kt</t>
  </si>
  <si>
    <r>
      <rPr>
        <sz val="14"/>
        <color rgb="FF000000"/>
        <rFont val="Times New Roman"/>
      </rPr>
      <t xml:space="preserve">2000003296 - 377D.T04.2025/HPDQ-QHP - 4000T (ĐÃ CÓ LC- lệnh ok) - huhu </t>
    </r>
    <r>
      <rPr>
        <sz val="14"/>
        <color rgb="FFFF0000"/>
        <rFont val="Times New Roman"/>
      </rPr>
      <t>khách yc 15/9 có hàng ở POD</t>
    </r>
  </si>
  <si>
    <t>Thiếu 1330</t>
  </si>
  <si>
    <t>2000003189 - 540.T07.2025/HPDQ-TMP-KH 4170TAN đi LA HRC2</t>
  </si>
  <si>
    <r>
      <rPr>
        <sz val="14"/>
        <color rgb="FF000000"/>
        <rFont val="Times New Roman"/>
      </rPr>
      <t xml:space="preserve">2000003278 - 377B.T04.2025/HPDQ-QHP- 3000T (Đã có LC - lệnh ok) - </t>
    </r>
    <r>
      <rPr>
        <sz val="14"/>
        <color rgb="FFFF0000"/>
        <rFont val="Times New Roman"/>
      </rPr>
      <t>khách yc 15/9 có hàng ở POD</t>
    </r>
  </si>
  <si>
    <r>
      <rPr>
        <sz val="14"/>
        <color rgb="FF000000"/>
        <rFont val="Times New Roman"/>
      </rPr>
      <t xml:space="preserve">2200002097 - 536B.T08.2025/HPDQ-HPC-KH 7400TAN HRC2 - </t>
    </r>
    <r>
      <rPr>
        <sz val="14"/>
        <color rgb="FFFF0000"/>
        <rFont val="Times New Roman"/>
      </rPr>
      <t>Cân tải - cố gắng xuất &gt;1800</t>
    </r>
  </si>
  <si>
    <t>HRC 2 - còn 700t chờ skin
16/09 dk xong</t>
  </si>
  <si>
    <t>Lệnh này phải được dỡ trước</t>
  </si>
  <si>
    <t>2000003253 - 518C.T08.2025/HPDQ-HSPM-KH - tổng đơn 10,370 tấn - lệnh ok</t>
  </si>
  <si>
    <t>NAM DƯƠNG 666 
(thay VIỆT HÒA 68)</t>
  </si>
  <si>
    <t>08.09.2025</t>
  </si>
  <si>
    <t xml:space="preserve">2200002138 -  537B.T08.2025/HPDQ-OTBD-KH 3100TAN HRC1 đi Long Bình </t>
  </si>
  <si>
    <t>2200002113 - 2109.T07.2025/HPDQ-OTBD-KH 3800TAN đi Long Bình HRC2</t>
  </si>
  <si>
    <t>HRC 2 -Đủ</t>
  </si>
  <si>
    <t>2000003279 - 377C.T04.2025/HPDQ-QHP-2000T (Đã có LC) - Cân tải</t>
  </si>
  <si>
    <t>2200002160 - 0016.T09.2025/HPDQ-SPTLA-NKH đi Long An 22TAN HRC2</t>
  </si>
  <si>
    <t>HRC 2 Hàng hóa ok
Hàng stock</t>
  </si>
  <si>
    <t>07-08.09.2025</t>
  </si>
  <si>
    <t>10/09 Bến 2</t>
  </si>
  <si>
    <t>2000003282 - 516B.T08.2025/HPDQ-HSNS-KH - lệnh ok</t>
  </si>
  <si>
    <t>Cần hàng trước 11/9</t>
  </si>
  <si>
    <t>VINASHINE 555</t>
  </si>
  <si>
    <t>09.09.2025</t>
  </si>
  <si>
    <t>12/09 Bến 2</t>
  </si>
  <si>
    <t>2200002151 - 537E.T08.2025/HPDQ-OTHY-KH</t>
  </si>
  <si>
    <t>16h00 12/09 Bến 2</t>
  </si>
  <si>
    <t>2000003187 - 539D.T07.2025/HPDQ-TMPHD-KH 6000TAN đi HP HRC2 CÂN TẢI</t>
  </si>
  <si>
    <t xml:space="preserve">2000003246 - 510.T08.2025/HPDQ-TH-KH, LSD 20/09, lệnh ok - xuất hết mapping (cần ra hóa đơn muộn nhất 20/9) </t>
  </si>
  <si>
    <t>VIỆT THUẬN 12-01 (thay cho THÀNH ĐẠT 628)</t>
  </si>
  <si>
    <t>14.09.2025</t>
  </si>
  <si>
    <t>2000003187 - 539D.T07.2025/HPDQ-TMPHD-KH 6000TAN đi HP HRC2 - CÂN TẢI</t>
  </si>
  <si>
    <t>2000003182 - 539A1.T07.2025/HPDQ-TMPHD-KH 10.000 TAN đi HP HRC1 - hết mapping</t>
  </si>
  <si>
    <t>2200002146 - 0008.T08.2025/HPDQ-OTHY-NKH 1535TAN đi Hải Phòng HRC2 - xuất hết mapping</t>
  </si>
  <si>
    <t>2200002178 - 0018.T09.2025/HPDQ-OTHY-NKH đi Hải Phòng 1378TAN HRC1  - xuất hết mapping</t>
  </si>
  <si>
    <t>HRC 1 - HÀNG HÓA OK SPOT</t>
  </si>
  <si>
    <t>2200002179 - 0018.T09.2025/HPDQ-OTHY-NKH đi Hải Phòng 2096TAN HRC2  - xuất hết mapping</t>
  </si>
  <si>
    <t>2200002180 - 0019.T09.2025/HPDQ-OTHY-NKH đi Hải Phòng 1164TAN HRC2  - xuất hết mapping</t>
  </si>
  <si>
    <t>2200002141 - 0007.T08.2025/HPDQ-THP-NKH 1486TAN đi Hải Phòng HRC1 - hết mapping</t>
  </si>
  <si>
    <t>2200002135 -  537A.T08.2025/HPDQ-OTHY-KH 2000TAN HRC2 đi Hải Phòng - hết mapping</t>
  </si>
  <si>
    <r>
      <rPr>
        <sz val="14"/>
        <color rgb="FF000000"/>
        <rFont val="Times New Roman"/>
      </rPr>
      <t xml:space="preserve">2200002176 - 0017.T09.2025/HPDQ-THP-NKH đi Hải Phòng 2782TAN HRC1 </t>
    </r>
    <r>
      <rPr>
        <b/>
        <sz val="14"/>
        <color rgb="FF000000"/>
        <rFont val="Times New Roman"/>
      </rPr>
      <t xml:space="preserve"> - xuất hết mapping</t>
    </r>
  </si>
  <si>
    <t>HRC 1 - HÀNG HÓA OK SPOT- MAP 2710</t>
  </si>
  <si>
    <t>2200002177 - 0017.T09.2025/HPDQ-THP-NKH đi Hải Phòng 1156TAN HRC2  - xuất hết mapping</t>
  </si>
  <si>
    <t>HRC 2 - HÀNG SPOT - Hàng hóa ok
chốt hụt 1 cuộn</t>
  </si>
  <si>
    <t>13-14/09 Bến 3/5</t>
  </si>
  <si>
    <t>2000003283 - 517.T08.2025/HPDQ-HSQN-KH - lệnh ok - Cân tải
LOAD hết size 2.30 x 1212, còn lại các size khác hàng 1212 Cân tải</t>
  </si>
  <si>
    <t>Cần hàng trước 12/9</t>
  </si>
  <si>
    <t>2000003292 - 517.T08.2025/HPDQ-HSQN-KH - lệnh ok - 7700t
LOAD size 2.00 x 1212 - 5k5</t>
  </si>
  <si>
    <t>Cần hàng trước 13/9</t>
  </si>
  <si>
    <t xml:space="preserve">2200002097 - 536B.T08.2025/HPDQ-HPC-KH 7400TAN HRC2 </t>
  </si>
  <si>
    <t>14-15/09 Bến 2</t>
  </si>
  <si>
    <r>
      <rPr>
        <b/>
        <sz val="14"/>
        <color rgb="FF000000"/>
        <rFont val="Times New Roman"/>
      </rPr>
      <t xml:space="preserve">2000003306 - 454A.T06.2025/HPDQ-TVP - 10kt - LSD 15/9 - đã có LC tổng 10kt </t>
    </r>
    <r>
      <rPr>
        <b/>
        <sz val="14"/>
        <color rgb="FFFF0000"/>
        <rFont val="Times New Roman"/>
      </rPr>
      <t>- Cân tải</t>
    </r>
  </si>
  <si>
    <t>Cần hàng trước 14/9</t>
  </si>
  <si>
    <t>2200002181 - 0020.T09.2025/HPDQ-OTBD-NKH đi Long Bình 3709TAN HRC2</t>
  </si>
  <si>
    <t>HRC 2 Hàng hóa ok
hàng spot</t>
  </si>
  <si>
    <t>2200002189 - 0025.T09.2025/HPDQ-OTBD-NKH đi Long Bình 47TAN HRC2</t>
  </si>
  <si>
    <t>15.09.2025</t>
  </si>
  <si>
    <t>18/9 bến 1</t>
  </si>
  <si>
    <t>2000003220 - 542A.T06.2025/HPDQ-KKNH-KH - 6500t (Thép Việt Nhật) - 
Đã có LC - khách cần hàng 18/09 - CÂN TẢI</t>
  </si>
  <si>
    <t>2000003306 - 454A.T06.2025/HPDQ-TVP - 10kt - LSD 15/9 - đã có LC tổng 10kt</t>
  </si>
  <si>
    <t>11-12.09.2025</t>
  </si>
  <si>
    <t>13/09 Bến 6</t>
  </si>
  <si>
    <r>
      <rPr>
        <sz val="14"/>
        <color rgb="FF000000"/>
        <rFont val="Times New Roman"/>
      </rPr>
      <t xml:space="preserve">2000003298 - 232B.T11.2024/HPDQ-TNS 
</t>
    </r>
    <r>
      <rPr>
        <sz val="14"/>
        <color rgb="FFFF0000"/>
        <rFont val="Times New Roman"/>
      </rPr>
      <t>KHÔNG ĐƯỢC GIAO TÁCH LOT, 1 BILL
Giao sớm hơn, 11/9 cần load hàng ở DQ</t>
    </r>
  </si>
  <si>
    <t>2000003284- 377E2.T04.2025/HPDQ-QHP -2100T  - (lệnh ok) - Cân tải - KHÁCH YC 20/9 CÓ HÀNG Ở POD</t>
  </si>
  <si>
    <t>2000003232 - 383.T04.2025/HPDQ-PVN (NĐ), LSD 20/09, lệnh ok, load sớm nhất có thể</t>
  </si>
  <si>
    <t xml:space="preserve">2000003235 - 480.T07.2025/HPDQ-PVN, LSD 05/10, lệnh ok, load sớm nhất có thể </t>
  </si>
  <si>
    <t>2000003240 - 528.T08.2025/HPDQ-POSCO-KH, LSD 5/10, load sớm nhất có thể</t>
  </si>
  <si>
    <t>2000003233 - 420.T05.2025/HPDQ-PVN (NĐ), LSD 20/09, lệnh ok, load sớm nhất có thể</t>
  </si>
  <si>
    <r>
      <rPr>
        <sz val="14"/>
        <color rgb="FF000000"/>
        <rFont val="Times New Roman"/>
      </rPr>
      <t xml:space="preserve">2000003234 - 459.T06.2025/HPDQ-PVN (NĐ), LSD 20/09, lệnh ok, load sớm nhất có thể
</t>
    </r>
    <r>
      <rPr>
        <b/>
        <sz val="14"/>
        <color rgb="FFFF0000"/>
        <rFont val="Times New Roman"/>
      </rPr>
      <t>Dỡ POSCO -&gt; PHÚ MỸ</t>
    </r>
  </si>
  <si>
    <t>16-17/09/2025</t>
  </si>
  <si>
    <t>2000003262 - 540A.T07.2025/HPDQ-TMP-KH 830TAN đi Đà Nẵng HRC2, ưu tiên skin</t>
  </si>
  <si>
    <t>8-10/09/2025</t>
  </si>
  <si>
    <t>2000003185 - 539B.T07.2025/HPDQ-TMPHD-KH 720TAN đi ĐN HRC2, ưu tiên skin</t>
  </si>
  <si>
    <t>18-19/9/2025</t>
  </si>
  <si>
    <t>2000003237 - 470A.T07.2025/HPDQ-CKTC, HRC 2</t>
  </si>
  <si>
    <t>2000003238 - 470B.T07.2025/HPDQ-THACO</t>
  </si>
  <si>
    <t>2000003263 - 515.T08.2025/HPDQ-CKTC-KH, ưu tiên skin</t>
  </si>
  <si>
    <t>HRC 2
Đã map 70; 575t chờ skin</t>
  </si>
  <si>
    <t>4-5/9/2025</t>
  </si>
  <si>
    <t>2000003248 - 404B.T05.2025/HPDQ-TPH HRC2</t>
  </si>
  <si>
    <t>8-10/9/2025</t>
  </si>
  <si>
    <t>2000003236 - 445.T06.2025/HPDQ-TPH</t>
  </si>
  <si>
    <t>2000003239 - 514.T08.2025/HPDQ-TPH-KH, LSD 30/09, lệnh ok</t>
  </si>
  <si>
    <t>5-7/9/2025</t>
  </si>
  <si>
    <t>2200002158 - 0014.T09.2025/HPDQ-OTĐN-NKH 333TAN đi Đà Nẵng HRC2</t>
  </si>
  <si>
    <t>2000003319 - 404.T05.2025/HPDQ-TPH (cán bù Lot 1)</t>
  </si>
  <si>
    <t>2200002174 - 0021.T09.2025/HPDQ-OTDN-NKH đi Đà Nẵng 104TAN HRC2</t>
  </si>
  <si>
    <t>2200002203 - 0035.T09.2025/HPDQ-OTĐN-NKH đi Đà Nẵng 5612TAN HRC2</t>
  </si>
  <si>
    <t>18/09 C.TH</t>
  </si>
  <si>
    <t>2400001278 - 124.T09-25/HPDQ-GS - SPHC - HẰNG</t>
  </si>
  <si>
    <t>Cần hàng trước 20/9</t>
  </si>
  <si>
    <t xml:space="preserve">2400001279 - 124.T09-25/HPDQ-GS - S275JR - SKIN - HẰNG </t>
  </si>
  <si>
    <r>
      <rPr>
        <b/>
        <sz val="14"/>
        <color rgb="FF7030A0"/>
        <rFont val="Times New Roman"/>
      </rPr>
      <t xml:space="preserve">HRC 2 Hàng hóa ok
</t>
    </r>
    <r>
      <rPr>
        <b/>
        <sz val="14"/>
        <color rgb="FFFF0000"/>
        <rFont val="Times New Roman"/>
      </rPr>
      <t>size 2.92 đạt 85% - chốt</t>
    </r>
  </si>
  <si>
    <t>2400001280 - 124.T09-25/HPDQ-GS - S275JR - NONSKIN - HẰNG</t>
  </si>
  <si>
    <t>2400001281 - 124.T09-25/HPDQ-GS - S355JR - HẰNG</t>
  </si>
  <si>
    <t>2400001290 - 125.T09-25/HPDQ-GS (SPHC) - GIANG</t>
  </si>
  <si>
    <t>2400001288 - 125.T09-25/HPDQ-GS (S275JR - SKINPASS) - GIANG</t>
  </si>
  <si>
    <t>2400001289 - 125.T09-25/HPDQ-GS (S275JR - NONSKINPASS) - GIANG</t>
  </si>
  <si>
    <t>2400001297 - 126.T09-25/HPDQ-GS (skin)- LINH</t>
  </si>
  <si>
    <r>
      <rPr>
        <b/>
        <sz val="14"/>
        <color rgb="FF7030A0"/>
        <rFont val="Times New Roman"/>
      </rPr>
      <t xml:space="preserve">HRC 2 Hàng hóa ok
</t>
    </r>
    <r>
      <rPr>
        <b/>
        <sz val="14"/>
        <color rgb="FFFF0000"/>
        <rFont val="Times New Roman"/>
      </rPr>
      <t>size 2.85x1215  chốt 89%</t>
    </r>
  </si>
  <si>
    <t>2400001298 - 126.T09-25/HPDQ-GS (non - skin)- LINH</t>
  </si>
  <si>
    <t>2400001296 - 127.T09-25/HPDQ-GS - SKIN - TRANG</t>
  </si>
  <si>
    <t>2400001291 - 127.T09-25/HPDQ-GS - NONSKIN - TRANG</t>
  </si>
  <si>
    <t>2400001299 - 128.T09-25/HPDQ-GS (NON - SKIN) - LINH</t>
  </si>
  <si>
    <t>2400001300 - 128.T09-25/HPDQ-GS (SKIN) - LINH</t>
  </si>
  <si>
    <t>2400001295 - 129.T09-25/HPDQ-GS - LOT 1 S275JR - HƯƠNG</t>
  </si>
  <si>
    <t xml:space="preserve">2400001294 - 129.T09-25/HPDQ-GS - LOT 1 S355JR - HƯƠNG </t>
  </si>
  <si>
    <t>2400001293 - 129.T09-25/HPDQ-GS - LOT 2 S275JR - HƯƠNG</t>
  </si>
  <si>
    <t>2400001282 - 130.T09-25/HPDQ-GS - HẰNG</t>
  </si>
  <si>
    <t>2400001292 - 131.T09-25/HPDQ-GS - TRANG</t>
  </si>
  <si>
    <t>15.09.2025
Từ Đà Nẵng chạy về</t>
  </si>
  <si>
    <t>17/9 bến 2</t>
  </si>
  <si>
    <t>2000003220 - 542A.T06.2025/HPDQ-KKNH-KH - 6500t (Thép Việt Nhật) -  CÂN TẢI
Đã có LC - khách cần hàng 18/09</t>
  </si>
  <si>
    <t>NK K ĐÚNG MỤC TIÊU</t>
  </si>
  <si>
    <t>2200002165 - 582E.T09.2025/HPDQ-SPTLA-KH</t>
  </si>
  <si>
    <t>2200002182 - 0022.T09.2025/HPDQ-SPTLA-NKH đi Long An 393TAN HRC2</t>
  </si>
  <si>
    <t>HRC 2 Hàng hóa ok
Chưa map đủ, thiếu 1 cuộn</t>
  </si>
  <si>
    <t>2200002190 - 0026.T09.2025/HPDQ-SPTLA-NKH đi Long An 234TAN HRC2</t>
  </si>
  <si>
    <t>16/9 BẾN 1</t>
  </si>
  <si>
    <t>2200002183 - 535.T08.2025/HPDQ-THP-KH đi Hải Phòng 15740TAN HRC 2 (3000T)- CÂN TẢI</t>
  </si>
  <si>
    <r>
      <rPr>
        <sz val="14"/>
        <color rgb="FF000000"/>
        <rFont val="Times New Roman"/>
      </rPr>
      <t>2200002124 - 535.T08.2025/HPDQ-THP-KH đi Hải Phòng 15740TAN HRC1 -</t>
    </r>
    <r>
      <rPr>
        <b/>
        <sz val="14"/>
        <color rgb="FF000000"/>
        <rFont val="Times New Roman"/>
      </rPr>
      <t xml:space="preserve"> xuất hết mapping</t>
    </r>
  </si>
  <si>
    <t>17/9 bến 1</t>
  </si>
  <si>
    <r>
      <rPr>
        <sz val="14"/>
        <color rgb="FFFF0000"/>
        <rFont val="Times New Roman"/>
      </rPr>
      <t xml:space="preserve">2000003187 - 539D.T07.2025/HPDQ-TMPHD-KH 6000TAN đi HP HRC2 </t>
    </r>
    <r>
      <rPr>
        <b/>
        <sz val="14"/>
        <color rgb="FFFF0000"/>
        <rFont val="Times New Roman"/>
      </rPr>
      <t>CÂN TẢI</t>
    </r>
  </si>
  <si>
    <t>2200002151 - 537E.T08.2025/HPDQ-OTHY-KH - xuất nốt mapping</t>
  </si>
  <si>
    <t>2200002167 - 586A.T10.2025/HPDQ-OTHY-KH (lấy hàng đơn 537G) 5000t - xuất hết mapping</t>
  </si>
  <si>
    <t>2200002136 -  537A.T08.2025/HPDQ-OTHY-KH 7800TAN HRC1 đi Hải Phòng - xuất hết mapping</t>
  </si>
  <si>
    <t>2000003258 - 539D.T07.2025/HPDQ-TMPHD-KH 6000TAN đi HP HRC1 - xuất hết mapping</t>
  </si>
  <si>
    <t>16.09.2025</t>
  </si>
  <si>
    <t>17/9 bến 3/5</t>
  </si>
  <si>
    <t xml:space="preserve">2000003283 - 517.T08.2025/HPDQ-HSQN-KH - lệnh ok
khách cần hàng tại Quy Nhơn muộn nhất 19/9 </t>
  </si>
  <si>
    <t>Cần hàng trước 15/9</t>
  </si>
  <si>
    <r>
      <rPr>
        <sz val="14"/>
        <color rgb="FF000000"/>
        <rFont val="Times New Roman"/>
      </rPr>
      <t xml:space="preserve">2000003289 - 520B.T08.2025/HPDQ-NK-KH - </t>
    </r>
    <r>
      <rPr>
        <sz val="14"/>
        <color rgb="FFFF0000"/>
        <rFont val="Times New Roman"/>
      </rPr>
      <t>Cân tải -</t>
    </r>
    <r>
      <rPr>
        <sz val="14"/>
        <color rgb="FF000000"/>
        <rFont val="Times New Roman"/>
      </rPr>
      <t xml:space="preserve"> 
</t>
    </r>
    <r>
      <rPr>
        <b/>
        <sz val="14"/>
        <color rgb="FF000000"/>
        <rFont val="Times New Roman"/>
      </rPr>
      <t>khách cần lấy đầu tiên tại Tân Thuận</t>
    </r>
  </si>
  <si>
    <r>
      <rPr>
        <sz val="14"/>
        <color rgb="FFFF0000"/>
        <rFont val="Times New Roman"/>
      </rPr>
      <t xml:space="preserve">Cần hàng trước 15/9
</t>
    </r>
    <r>
      <rPr>
        <b/>
        <sz val="14"/>
        <color rgb="FFFF0000"/>
        <rFont val="Times New Roman"/>
      </rPr>
      <t>xếp hàng để lệnh này được lấy đầu tiên ở Tân Thuận ạ</t>
    </r>
  </si>
  <si>
    <r>
      <rPr>
        <sz val="14"/>
        <color rgb="FF000000"/>
        <rFont val="Times New Roman"/>
      </rPr>
      <t xml:space="preserve">2000003290 - 520B.T08.2025/HPDQ-NK-KH </t>
    </r>
    <r>
      <rPr>
        <sz val="14"/>
        <color rgb="FFFF0000"/>
        <rFont val="Times New Roman"/>
      </rPr>
      <t>- Cho dỡ đầu tiên trong các hàng Tân Thuận 
KHÁCH RẤT GẤP Ạ/ CÓ BAO NHIÊU XUẤT HẾT</t>
    </r>
  </si>
  <si>
    <t>NK K ĐÚNG MỤC TIÊU
KHÁCH CẦN GIAO TRONG NHỊP 2</t>
  </si>
  <si>
    <t>2000003303 - 541B.T08.2025/KH/HPDQ-JFE - tổng lệnh 4000mt - cuối ngày 16/9 có lệnh</t>
  </si>
  <si>
    <t>2000003200 - 541B.T08.2025/KH/HPDQ-JFE -cuối ngày 16/9 có lệnh</t>
  </si>
  <si>
    <t>HRC 1- MAP 954T
HÀNG HÓA OK</t>
  </si>
  <si>
    <t>2000003335 - 541A.T08.2025/KH/HPDQ-JFE - cuối ngày 16/9 có lệnh</t>
  </si>
  <si>
    <t>TRUNG THẮNG 568</t>
  </si>
  <si>
    <t>16/9 BẾN 3</t>
  </si>
  <si>
    <t>2000003318 - 562B.T09.2025/HPDQ-HSPM-KH</t>
  </si>
  <si>
    <t xml:space="preserve">2000003317 - 562A.T09.2025/HPDQ-HSPM-KH </t>
  </si>
  <si>
    <t>SJ BUSAN</t>
  </si>
  <si>
    <t>17/9 bến 5/10</t>
  </si>
  <si>
    <t>2400001301 - P10868 (LOT 1) - GIANG</t>
  </si>
  <si>
    <t>Cần hàng trước 17/9</t>
  </si>
  <si>
    <t>2400001302 - P10868 (LOT 2) - GIANG</t>
  </si>
  <si>
    <t>2400001303 - P10868 (LOT 3) - GIANG</t>
  </si>
  <si>
    <t>2400001304 - P10868 (LOT 4) - GIANG</t>
  </si>
  <si>
    <t>2400001308 - 133.T10-25/HPDQ-CLT - HẰNG</t>
  </si>
  <si>
    <t>2400001307 - 134.T10-25/HPDQ-POSCO - LINH</t>
  </si>
  <si>
    <t>17.09.2025</t>
  </si>
  <si>
    <t>19/9 BẾN 2</t>
  </si>
  <si>
    <t>20.09.2025</t>
  </si>
  <si>
    <r>
      <rPr>
        <sz val="14"/>
        <color rgb="FF000000"/>
        <rFont val="Times New Roman"/>
      </rPr>
      <t xml:space="preserve">2000003305 - 565A.T09.2025/HPDQ-TN-KH (đi càng sớm càng tốt)  - 5,000MT
</t>
    </r>
    <r>
      <rPr>
        <sz val="14"/>
        <color rgb="FFFF0000"/>
        <rFont val="Times New Roman"/>
      </rPr>
      <t>- xuất đủ 2000t (không xuất vượt lượng 2000t)</t>
    </r>
  </si>
  <si>
    <t>2000003316 - 509B.T08.2025/HPDQ-NP-KH 
LSD 15/10. Giao hàng muộn nhất đầu tháng 10</t>
  </si>
  <si>
    <t>XEM LẠI UPDATE NÀY</t>
  </si>
  <si>
    <r>
      <rPr>
        <sz val="14"/>
        <color rgb="FF000000"/>
        <rFont val="Times New Roman"/>
      </rPr>
      <t xml:space="preserve">2000003220 - 542A.T06.2025/HPDQ-KKNH-KH - 6500t (Thép Việt Nhật) - 
Đã có LC - khách cần hàng 18/09  
</t>
    </r>
    <r>
      <rPr>
        <sz val="14"/>
        <color rgb="FFFF0000"/>
        <rFont val="Times New Roman"/>
      </rPr>
      <t>DỠ THIÊN LỘC THÀNH -  CẨM NGUYÊN</t>
    </r>
  </si>
  <si>
    <t>14-15.09.2025
(Từ Đà Nẵng về)</t>
  </si>
  <si>
    <t>18/9 BẾN 6</t>
  </si>
  <si>
    <t>2200002186 - 0023.T09.2025/HPDQ-THP-NKH đi Hải Phòng 7710TAN HRC2 - CÂN TẢI</t>
  </si>
  <si>
    <t>HRC 2 Hàng hóa ok
hàng spot - chốt hụt 1 cuộn</t>
  </si>
  <si>
    <t>2200002185 - 0023.T09.2025/HPDQ-THP-NKH đi Hải Phòng 986TAN HRC1 - xuất hết mapping</t>
  </si>
  <si>
    <t>HRC 1 - SPOT HÀNG HÓA OK</t>
  </si>
  <si>
    <t>2000003293 - 516B.T08.2025/HPDQ-HSNS-KH - lệnh ok - 6000t (ƯU TIÊN ĐỦ LƯỢNG, không đủ thì THIẾU TẢI)</t>
  </si>
  <si>
    <t>21/9 BẾN 3/5</t>
  </si>
  <si>
    <r>
      <rPr>
        <sz val="14"/>
        <color rgb="FF000000"/>
        <rFont val="Times New Roman"/>
      </rPr>
      <t xml:space="preserve">2000003217 - 481A.T07.2025/HPDQ-TVN-KH - đã có LC - 3400t
</t>
    </r>
    <r>
      <rPr>
        <sz val="14"/>
        <color rgb="FFFF0000"/>
        <rFont val="Times New Roman"/>
      </rPr>
      <t>(Lệnh 3217 và 3274 cùng giao trên 1 tàu, khách cần hàng 25-26/9)</t>
    </r>
  </si>
  <si>
    <r>
      <rPr>
        <sz val="14"/>
        <color rgb="FF000000"/>
        <rFont val="Times New Roman"/>
      </rPr>
      <t xml:space="preserve">2000003274 - 481A.T07.2025/HPDQ-TVN-KH - đã có LC - 2000t 
</t>
    </r>
    <r>
      <rPr>
        <sz val="14"/>
        <color rgb="FFFF0000"/>
        <rFont val="Times New Roman"/>
      </rPr>
      <t>(Lệnh 3217 và 3274 cùng giao trên 1 tàu, khách cần hàng 25-26/9)</t>
    </r>
  </si>
  <si>
    <r>
      <rPr>
        <sz val="14"/>
        <color rgb="FF000000"/>
        <rFont val="Times New Roman"/>
      </rPr>
      <t xml:space="preserve">2000003299 - 232B.T11.2024/HPDQ-TNS 
</t>
    </r>
    <r>
      <rPr>
        <sz val="14"/>
        <color rgb="FFFF0000"/>
        <rFont val="Times New Roman"/>
      </rPr>
      <t>Lệnh 3299 và 3297 cùng giao trên 1 tàu, 24/09 tàu phải bắt đầu load tại DQ</t>
    </r>
  </si>
  <si>
    <r>
      <rPr>
        <sz val="14"/>
        <color rgb="FF000000"/>
        <rFont val="Times New Roman"/>
      </rPr>
      <t xml:space="preserve">2000003297 - 232B.T11.2024/HPDQ-TNS 
</t>
    </r>
    <r>
      <rPr>
        <sz val="14"/>
        <color rgb="FFFF0000"/>
        <rFont val="Times New Roman"/>
      </rPr>
      <t>Lệnh 3299 và 3297 cùng giao trên 1 tàu, 24/09 tàu phải bắt đầu load tại DQ/ có hàng là tàu phải load</t>
    </r>
  </si>
  <si>
    <t>2000003292 - 517.T08.2025/HPDQ-HSQN-KH - lệnh ok  - 7700t</t>
  </si>
  <si>
    <t>22/9 CTH</t>
  </si>
  <si>
    <t>2000003320 - 460B.T06.2025/HPDQ-TVN-KH - 1000T - đã có LC
Giao tối đa 2 lot</t>
  </si>
  <si>
    <t>HRC 1 - Đã map 1005t
 HÀNG HÓA OK</t>
  </si>
  <si>
    <t>2000003307 - 460B.T06.2025/HPDQ-TVN-KH - 4000T - đã có LC
Giao tối đa 2 lot</t>
  </si>
  <si>
    <r>
      <rPr>
        <sz val="14"/>
        <color rgb="FFFF0000"/>
        <rFont val="Times New Roman"/>
      </rPr>
      <t xml:space="preserve">Giao tối đa 2 lot 
</t>
    </r>
    <r>
      <rPr>
        <sz val="14"/>
        <color rgb="FF00B0F0"/>
        <rFont val="Times New Roman"/>
      </rPr>
      <t>MAP TRƯỚC TẦM 1KT cho đi trước nha anh</t>
    </r>
  </si>
  <si>
    <t>2000003348 - 546.T09.2025/HPDQ-HPL-KH đi Phú Mỹ 100TAN HRC1</t>
  </si>
  <si>
    <t>2000003363 - 497B2.T05.2025/HPDQ-STAVIAN(OTSG)-KH - 2000t (sx nhịp 9.3) - đã có LC</t>
  </si>
  <si>
    <t>HRC 1 - HÀNG HÓA OK
ĐÃ MAP 2K1</t>
  </si>
  <si>
    <t>2000003188 - 539E.T07.2025/HPDQ-TMPHD-KH 8005TAN đi LA HRC2 - 8000MT - Cân tải</t>
  </si>
  <si>
    <r>
      <rPr>
        <sz val="14"/>
        <color rgb="FF000000"/>
        <rFont val="Times New Roman"/>
      </rPr>
      <t xml:space="preserve">HRC 2 - T9.2 24/09
</t>
    </r>
    <r>
      <rPr>
        <b/>
        <sz val="14"/>
        <color rgb="FFFF0000"/>
        <rFont val="Times New Roman"/>
      </rPr>
      <t>Đã map hơn 6kt đủ cho tàu này</t>
    </r>
  </si>
  <si>
    <t>18.09.2025</t>
  </si>
  <si>
    <t>21/09 Bến 2</t>
  </si>
  <si>
    <t>22.09.2025</t>
  </si>
  <si>
    <t>2200002196 - 0029.T09.2025/HPDQ-OTBD-NKH 3054TAN đi Long Bình HRC1</t>
  </si>
  <si>
    <t>2200002197 - 0029.T09.2025/HPDQ-OTBD-NKH 2768TAN đi Long Bình HRC2 - Cân tải</t>
  </si>
  <si>
    <t>Stock HRC 2
Hàng hóa ok - chốt</t>
  </si>
  <si>
    <t>TRUONG NGUYEN 135-01</t>
  </si>
  <si>
    <t>17.09.2025 (dỡ than ở DQ)</t>
  </si>
  <si>
    <t>19/9 BẾN 3</t>
  </si>
  <si>
    <t>2200002188 - 0024.T09.2025/HPDQ-OTHY-NKH đi Hải Phòng 7963TAN HRC2 - CÂN TẢI</t>
  </si>
  <si>
    <t>2200002187 - 0024.T09.2025/HPDQ-OTHY-NKH đi Hải Phòng 1303TAN HRC1 - HẾT MAPPING</t>
  </si>
  <si>
    <t>2200002191 - 0027.T09.2025/HPDQ-OTHY-NKH đi HẢi Phòng 2593TAN HRC2 - XUẤT HẾT MAPPING</t>
  </si>
  <si>
    <t>HRC 2 SPOT
Hàng hóa ok</t>
  </si>
  <si>
    <t>20/9 BTL</t>
  </si>
  <si>
    <t>2200002186 - 0023.T09.2025/HPDQ-THP-NKH đi Hải Phòng 7710TAN HRC2 -CÂN TẢI NẾU THỪA</t>
  </si>
  <si>
    <t>HRC 2 SPOT
Hàng hóa ok - chốt hụt 1 cuộn</t>
  </si>
  <si>
    <t>2200002152 - 537F.T08.2025/HPDQ-OTHY-KH 100TAN đi Hải Phòng HRC2 - xuất hết mapping</t>
  </si>
  <si>
    <t>2200002188 - 0024.T09.2025/HPDQ-OTHY-NKH đi Hải Phòng 7963TAN HRC2 HẾT MAPPING</t>
  </si>
  <si>
    <t>2000003302 - 511A.T08.2025/HPDQ-PN - 600T - LSD: 30/09 - xuất hết mapping</t>
  </si>
  <si>
    <t>22/9 BẾN 3</t>
  </si>
  <si>
    <r>
      <rPr>
        <sz val="14"/>
        <color rgb="FF000000"/>
        <rFont val="Times New Roman"/>
      </rPr>
      <t xml:space="preserve">2000003290 - 520B.T08.2025/HPDQ-NK-KH </t>
    </r>
    <r>
      <rPr>
        <sz val="14"/>
        <color rgb="FFFF0000"/>
        <rFont val="Times New Roman"/>
      </rPr>
      <t>- Cho dỡ đầu tiên trong các hàng Tân Thuận 
KHÁCH RẤT GẤP Ạ
CÒN BAO NHIÊU HÀNG PHẢI XUẤT HẾT</t>
    </r>
  </si>
  <si>
    <r>
      <rPr>
        <sz val="14"/>
        <color rgb="FF000000"/>
        <rFont val="Times New Roman"/>
      </rPr>
      <t xml:space="preserve">2000003289 - 520B.T08.2025/HPDQ-NK-KH  - Lệnh 2980t
</t>
    </r>
    <r>
      <rPr>
        <b/>
        <sz val="14"/>
        <color rgb="FF000000"/>
        <rFont val="Times New Roman"/>
      </rPr>
      <t>khách cần lấy đầu tiên tại Tân Thuận
CÒN BAO NHIÊU HÀNG PHẢI XUẤT HẾT</t>
    </r>
  </si>
  <si>
    <r>
      <rPr>
        <sz val="14"/>
        <color rgb="FF000000"/>
        <rFont val="Times New Roman"/>
      </rPr>
      <t xml:space="preserve">2000003304 - 570.T09.2025/HPDQ-QM-KH  - </t>
    </r>
    <r>
      <rPr>
        <sz val="14"/>
        <color rgb="FFFF0000"/>
        <rFont val="Times New Roman"/>
      </rPr>
      <t>đơn k cho phép giao hàng từng phần</t>
    </r>
  </si>
  <si>
    <t>2000003245 - 527.T08.2025/HPDQ-SEAH-KH, LSD 10/10</t>
  </si>
  <si>
    <t>2000003314 - 477G.T07.2025/HPDQ-KD - 3450T</t>
  </si>
  <si>
    <t>22/09/2025</t>
  </si>
  <si>
    <t>2000003328- 346.T03.2025/HPDQ-TNS-KH (lot 1 trên XNĐH: 3kt)  - Tổng lệnh 1500MT
Giao khi có hàng, chậm nhất 30/9 có hàng tại cảng dơ Phú Mỹ</t>
  </si>
  <si>
    <t>HRC 1 
 HÀNG HÓA OK</t>
  </si>
  <si>
    <t>2000003330 - 543.T03.2025/HPDQ-NS-KH 
Có hàng giao luôn, chậm nhất 30/9 có hàng tại cảng dơ Phú Mỹ</t>
  </si>
  <si>
    <r>
      <rPr>
        <sz val="14"/>
        <color rgb="FF000000"/>
        <rFont val="Times New Roman"/>
      </rPr>
      <t>2000003270 - 460A.T06.2025/HPDQ-TVN-KH - 3000t - đã có LC -</t>
    </r>
    <r>
      <rPr>
        <sz val="14"/>
        <color rgb="FFFF0000"/>
        <rFont val="Times New Roman"/>
      </rPr>
      <t xml:space="preserve"> Cân tải</t>
    </r>
  </si>
  <si>
    <t>23.09.2025</t>
  </si>
  <si>
    <r>
      <rPr>
        <sz val="14"/>
        <color rgb="FF000000"/>
        <rFont val="Times New Roman"/>
      </rPr>
      <t xml:space="preserve">2000003220 - 542A.T06.2025/HPDQ-KKNH-KH - 6500t (Thép Việt Nhật) - 
</t>
    </r>
    <r>
      <rPr>
        <sz val="14"/>
        <color rgb="FF7030A0"/>
        <rFont val="Times New Roman"/>
      </rPr>
      <t>XUẤT HẾT MAPPING</t>
    </r>
  </si>
  <si>
    <t>HRC 2 Ok
SIZE 2.3 CHẤP NHẬN DUNG SAI 89%</t>
  </si>
  <si>
    <t>2200002197 - 0029.T09.2025/HPDQ-OTBD-NKH 2768TAN đi Long Bình HRC2 - CÂN TẢI</t>
  </si>
  <si>
    <t>22/09 Bến 2</t>
  </si>
  <si>
    <t>24.09.2025</t>
  </si>
  <si>
    <t>2000003332 - 542B.T06.2025/HPDQ-KKNH-KH - 2000t (Thép Việt Nhật) - Đã có LC
(tối đa 2 lot)</t>
  </si>
  <si>
    <t>2200002198 - 0030.T09.2025/HPDQ-SPTLA-NKH 830TAN đi Long An HRC2</t>
  </si>
  <si>
    <t>HRC 2 SPOT
Hàng hóa ok - chốt hụt 2 cuộn</t>
  </si>
  <si>
    <r>
      <rPr>
        <sz val="14"/>
        <color rgb="FF000000"/>
        <rFont val="Times New Roman"/>
      </rPr>
      <t xml:space="preserve">2000003360 - 565A.T09.2025/HPDQ-TN-KH (đi càng sớm càng tốt) - 3,000MT - CÂN TẢI
</t>
    </r>
    <r>
      <rPr>
        <sz val="14"/>
        <color rgb="FFFF0000"/>
        <rFont val="Times New Roman"/>
      </rPr>
      <t>DỠ THIÊN LỘC THÀNH - CẨM NGUYÊN</t>
    </r>
  </si>
  <si>
    <t>HRC 2 - Đã map 1500t</t>
  </si>
  <si>
    <t>25/9 bến 3</t>
  </si>
  <si>
    <r>
      <rPr>
        <b/>
        <sz val="14"/>
        <color rgb="FF000000"/>
        <rFont val="Times New Roman"/>
      </rPr>
      <t xml:space="preserve">2000003240 - 528.T08.2025/HPDQ-POSCO-KH, LSD 5/10 - lot 2, load sớm nhất có thể - tổng 3,000mt
 </t>
    </r>
    <r>
      <rPr>
        <b/>
        <sz val="14"/>
        <color rgb="FFFF0000"/>
        <rFont val="Times New Roman"/>
      </rPr>
      <t>MAP ĐƯỢC BAO NHIÊU THÌ XUẤT HẾT, lưu ý đủ dung sai</t>
    </r>
  </si>
  <si>
    <r>
      <rPr>
        <sz val="14"/>
        <color rgb="FF000000"/>
        <rFont val="Times New Roman"/>
      </rPr>
      <t xml:space="preserve">2000003242 - 480.T07.2025/HPDQ-PVN, lệnh ok, LSD 5/10, load sớm nhất có thể
 </t>
    </r>
    <r>
      <rPr>
        <sz val="14"/>
        <color rgb="FFFF0000"/>
        <rFont val="Times New Roman"/>
      </rPr>
      <t>MAP ĐƯỢC BAO NHIÊU THÌ XUẤT HẾT, lưu ý đủ dung sai</t>
    </r>
  </si>
  <si>
    <t>2000003362 - 497B1.T05.2025/HPDQ-STAVIAN(OTSG)-KH - 2000t (sx nhịp 9.3) - đã có LC</t>
  </si>
  <si>
    <t>2000003244 - 529.T08.2025/HPDQ-CSVC-KH, LSD 10/10, dự kiến 24/9 TT</t>
  </si>
  <si>
    <t>2000003321 - 460C.T06.2025/HPDQ-TVN-KH - 1000T
Giao tối đa 2 lot  đã có LC</t>
  </si>
  <si>
    <r>
      <rPr>
        <sz val="14"/>
        <color rgb="FF000000"/>
        <rFont val="Times New Roman"/>
      </rPr>
      <t xml:space="preserve">2000003307 - 460B.T06.2025/HPDQ-TVN-KH - 4000T - đã có LC - </t>
    </r>
    <r>
      <rPr>
        <sz val="14"/>
        <color rgb="FFFF0000"/>
        <rFont val="Times New Roman"/>
      </rPr>
      <t xml:space="preserve">CÂN TẢI/ HÀNG KHÁC THIẾU THÌ MỚI XUẤT LỆNH NÀY
</t>
    </r>
    <r>
      <rPr>
        <sz val="14"/>
        <color rgb="FF000000"/>
        <rFont val="Times New Roman"/>
      </rPr>
      <t xml:space="preserve">Giao tối đa 2 lot / </t>
    </r>
  </si>
  <si>
    <r>
      <rPr>
        <sz val="14"/>
        <color rgb="FFFF0000"/>
        <rFont val="Times New Roman"/>
      </rPr>
      <t xml:space="preserve">Lượng 1kt NK sớm để cho đi trước
</t>
    </r>
    <r>
      <rPr>
        <sz val="14"/>
        <color rgb="FF00B0F0"/>
        <rFont val="Times New Roman"/>
      </rPr>
      <t>CHƯA NOTE LẠI LƯỢNG CÒN LẠI T09.3 KHI NÀO NK HOẶC BAO NHIÊU NK T09</t>
    </r>
  </si>
  <si>
    <t>2000003308 - 460C.T06.2025/HPDQ-TVN-KH - 2000T -
Giao tối đa 2 lot đã có LC</t>
  </si>
  <si>
    <t>HRC 2 - Đã map 1064t
đã map đủ 2kt</t>
  </si>
  <si>
    <t>Giao 946t tháng 9, còn 1kt cho sang tháng 10</t>
  </si>
  <si>
    <r>
      <rPr>
        <sz val="14"/>
        <color rgb="FF000000"/>
        <rFont val="Times New Roman"/>
      </rPr>
      <t xml:space="preserve">2000003270 - 460A.T06.2025/HPDQ-TVN-KH - 3000t - đã có LC
</t>
    </r>
    <r>
      <rPr>
        <b/>
        <sz val="14"/>
        <color rgb="FFFF0000"/>
        <rFont val="Times New Roman"/>
      </rPr>
      <t>CÒN BAO NHIÊU XUẤT HẾT</t>
    </r>
  </si>
  <si>
    <t>23.09.2025
Dỡ đá ở DQ</t>
  </si>
  <si>
    <t>24/9 bến 1</t>
  </si>
  <si>
    <t>So đã duyệt</t>
  </si>
  <si>
    <t>2000003331- 550A.T09.2025/HPDQ-TVĐ-KH- LSD: 15/10 - 5000 Tấn - CÂN TẢI</t>
  </si>
  <si>
    <t>2000003350 - 549.T09.2025/HPDQ-TCĐ-KH - xuất hết mapping
có hàng giao luôn</t>
  </si>
  <si>
    <t>2000003276 - 555.T09.2025/HPDQ-PVX-KH - 500t - xuất hết mapping</t>
  </si>
  <si>
    <t>2000003361 - 556.T09.2025/HPDQ-NSTV-KH - 300T - xuất hết mapping - LSD: 10/10</t>
  </si>
  <si>
    <t>25-26.09.2025</t>
  </si>
  <si>
    <t>27/9 BẾN 1</t>
  </si>
  <si>
    <t>2000003336 - 542C1.T06.2025/HPDQ-KKNH-KH - 1000t (Thép Việt Nhật)
(tối đa 2 lot) - Đã có LC</t>
  </si>
  <si>
    <t>25/09/2025</t>
  </si>
  <si>
    <t>2200002206 - 0037.T09.2025/HPDQ-SPTLA-NKH đi Long An 1202TAN HRC2 - CÂN TẢI</t>
  </si>
  <si>
    <t>HRC 2 - Hàng hóa ok hàng spot</t>
  </si>
  <si>
    <t xml:space="preserve">2000003337 - 542C1.T06.2025/HPDQ-KKNH-KH - 1000t (Thép Việt Nhật)
(tối đa 2 lot) - Đã có LC </t>
  </si>
  <si>
    <t xml:space="preserve">2000003360 - 565A.T09.2025/HPDQ-TN-KH (đi càng sớm càng tốt) - 3,000MT </t>
  </si>
  <si>
    <t>HRC 2 - ĐÃ MAP 431T
28-29/09 - nk 300t (cán bù không xử lý)</t>
  </si>
  <si>
    <t>28/9 BẾN 2</t>
  </si>
  <si>
    <t>Tàu không làm xong trước 27/09</t>
  </si>
  <si>
    <t>2000003324 - 454B.T06.2025/HPDQ-TVP - 10kt - LSD 30/09 - BL DATE KHÔNG TRƯỚC 27.09</t>
  </si>
  <si>
    <t>26/9 BẾN 1</t>
  </si>
  <si>
    <r>
      <t xml:space="preserve">2000003293 - 516B.T08.2025/HPDQ-HSNS-KH - lệnh ok - 6000t (LSD 30/09) - </t>
    </r>
    <r>
      <rPr>
        <b/>
        <sz val="14"/>
        <color rgb="FF000000"/>
        <rFont val="Times New Roman"/>
      </rPr>
      <t>XUẤT HẾT MAPPING</t>
    </r>
  </si>
  <si>
    <t xml:space="preserve">HRC 2 Hàng hóa ok
size 2.00x1212: HRC 2 lấy 4100t
HRC 1 lấy 700t </t>
  </si>
  <si>
    <r>
      <t xml:space="preserve">2000003370 - 516B.T08.2025/HPDQ-HSNS-KH - </t>
    </r>
    <r>
      <rPr>
        <b/>
        <sz val="14"/>
        <color theme="1"/>
        <rFont val="Times New Roman"/>
      </rPr>
      <t>XUẤT HẾT MAPPING</t>
    </r>
  </si>
  <si>
    <t>HRC 1 - ĐÃ MAP 695t</t>
  </si>
  <si>
    <t>2200002183 - 535.T08.2025/HPDQ-THP-KH đi Hải Phòng 15740TAN HRC 2 (3000T) - xuất hết mapping</t>
  </si>
  <si>
    <r>
      <rPr>
        <sz val="14"/>
        <color rgb="FF000000"/>
        <rFont val="Times New Roman"/>
      </rPr>
      <t xml:space="preserve">2000003187 - 539D.T07.2025/HPDQ-TMPHD-KH 6000TAN đi HP HRC2  - xuất hết mapping - </t>
    </r>
    <r>
      <rPr>
        <sz val="14"/>
        <color rgb="FFFF0000"/>
        <rFont val="Times New Roman"/>
      </rPr>
      <t>xin đấy xuất hết đi ạ, đừng để lại 1 cuộn nào nữa ạ</t>
    </r>
  </si>
  <si>
    <t>HRC 2 - đã đủ</t>
  </si>
  <si>
    <t>2000003302 - 511A.T08.2025/HPDQ-PN - 600T - LSD: 30/09 - xuất hết mapping (1 cuộn thiếu)</t>
  </si>
  <si>
    <t>2200002192 - 545.T09.2025/HPDQ-THP-KH đi Hải Phòng 8940TAN HRC1 - CÂN TẢI</t>
  </si>
  <si>
    <t>HRC 1 - ĐÃ MAP 6K9
 HÀNG HÓA OK</t>
  </si>
  <si>
    <t>21-22.09.2025 (dỡ than ở DQ)</t>
  </si>
  <si>
    <t>25/9 BẾN 1</t>
  </si>
  <si>
    <t>2200002200 - 0032.T09.2025/HPDQ-OTHY-NKH 797TAN đi Hải Phòng HRC2 - CÂN TẢI</t>
  </si>
  <si>
    <t>SPOT</t>
  </si>
  <si>
    <t>2200002195 - 0028.T09.2025/HPDQ-THP-NKH 3046TAN đi Hải Phòng HRC2  - xuất hết mapping</t>
  </si>
  <si>
    <t>24/9 BẾN 3/5</t>
  </si>
  <si>
    <t>25.09.2025</t>
  </si>
  <si>
    <t>2200002199 - 0031.T09.2025/HPDQ-OTHY-NKH 5056TAN đi Hải Phòng HRC2 - CÂN TẢI</t>
  </si>
  <si>
    <r>
      <rPr>
        <sz val="14"/>
        <color rgb="FF000000"/>
        <rFont val="Times New Roman"/>
      </rPr>
      <t xml:space="preserve">2000003340 - 552.T09.2025/HPDQ-PT-KH, LSD 5/10 - xuất hết mapping - </t>
    </r>
    <r>
      <rPr>
        <b/>
        <sz val="14"/>
        <color rgb="FFFF0000"/>
        <rFont val="Times New Roman"/>
      </rPr>
      <t>LƯU Ý CW 28T</t>
    </r>
  </si>
  <si>
    <t>24/09/2025</t>
  </si>
  <si>
    <t>2000003331- 550A.T09.2025/HPDQ-TVĐ-KH- LSD: 15/10 - 5000 Tấn - xuất hết mapping</t>
  </si>
  <si>
    <t xml:space="preserve">VIỆT THUẬN 095-02 </t>
  </si>
  <si>
    <t>DỰ KIẾN SÁNG 3/10</t>
  </si>
  <si>
    <t>2200002192 - 545.T09.2025/HPDQ-THP-KH đi Hải Phòng 8940TAN HRC1 - SIZE NÀO CŨNG ĐƯỢC - CÂN TẢI</t>
  </si>
  <si>
    <t>3 - T10</t>
  </si>
  <si>
    <t>2000003315 - 509A.T08.2025/HPDQ-NP-KH - Tổng 4,300mt - XUẤT HẾT MAPPING
LSD 15/10. Giao hàng muộn nhất đầu tháng 10 .Giao cùng 1 lot nhé lệnh 3315</t>
  </si>
  <si>
    <t>27/9 BẾN 3/5</t>
  </si>
  <si>
    <t>trong tháng 9, càng sớm càng tốt</t>
  </si>
  <si>
    <t>2200002150 - 537D.T08.2025/HPDQ-OTHY-KH 15000TAN đi Hải Phòng HRC1 - CÂN TẢI</t>
  </si>
  <si>
    <t>HRC 1 - đã map 14k7
Hàng hóa ok</t>
  </si>
  <si>
    <t>2200002200 - 0032.T09.2025/HPDQ-OTHY-NKH 797TAN đi Hải Phòng HRC2 - XUẤT HẾT MAPPING</t>
  </si>
  <si>
    <t>HRC 2 - Hàng hóa ok hàng spot
chốt hụt 100t - chỉ map được 680t</t>
  </si>
  <si>
    <t>2200002194 - 0028.T09.2025/HPDQ-THP-NKH 2215TAN đi Hải Phòng HRC1  - XUẤT HẾT MAPPING</t>
  </si>
  <si>
    <t>HRC 1 - Hàng hóa ok hàng spot</t>
  </si>
  <si>
    <t>2200002201 - 0033.T09.2025/HPDQ-OTHY-NKH 181TAN đi Hải Phòng HRC2 - XUẤT HẾT MAPPING</t>
  </si>
  <si>
    <t>2200002192 - 545.T09.2025/HPDQ-THP-KH đi Hải Phòng 8940TAN HRC1 - XUẤT HẾT MAPPING</t>
  </si>
  <si>
    <t xml:space="preserve">2200002167 - 586A.T10.2025/HPDQ-OTHY-KH (lấy hàng đơn 537G) 5000t - xuất hết mapping </t>
  </si>
  <si>
    <t>2200002202 - 0034.T09.2025/HPDQ-OTHY-NKH đi Hải Phòng 5226TAN HRC2  - XUẤT HẾT MAPPING</t>
  </si>
  <si>
    <t>2200002204 - 0036.T09.2025/HPDQ-OTHY-NKH đi Hải Phòng 1597TAN HRC2  - XUẤT HẾT MAPPING</t>
  </si>
  <si>
    <t>2200002205 - 0036.T09.2025/HPDQ-OTHY-NKH đi Hải Phòng 426TAN HRC1  - XUẤT HẾT MAPPING</t>
  </si>
  <si>
    <t>2200002209 - 0039.T09.2025/HPDQ-OTHY-NKH đi Hải Phòng 1691TAN HRC2 - XUẤT HẾT MAPPING</t>
  </si>
  <si>
    <t>2200002210 - 0040.T09.2025/HPDQ-THP-NKH đi Hải Phòng 297TAN HRC1- XUẤT HẾT MAPPING</t>
  </si>
  <si>
    <t>HRC 1 HÀNG HÓA OK
SPOT</t>
  </si>
  <si>
    <r>
      <rPr>
        <sz val="13"/>
        <color rgb="FF000000"/>
        <rFont val="Times New Roman"/>
      </rPr>
      <t xml:space="preserve">2200002193 - 545.T09.2025/HPDQ-THP-KH đi Hải Phòng 16060TAN HRC2  - </t>
    </r>
    <r>
      <rPr>
        <b/>
        <sz val="13"/>
        <color rgb="FFFF0000"/>
        <rFont val="Times New Roman"/>
      </rPr>
      <t>XUẤT VỪA ĐỦ 4KT - KO XUẤT SIZE 3.95x970</t>
    </r>
  </si>
  <si>
    <t>26.09.2025</t>
  </si>
  <si>
    <t>Gemadept</t>
  </si>
  <si>
    <t>2200002150 - 537D.T08.2025/HPDQ-OTHY-KH 15000TAN đi Hải Phòng HRC1</t>
  </si>
  <si>
    <t>HPS-01 (neo chờ hàng)</t>
  </si>
  <si>
    <t>29.09.2025 (dỡ đá)</t>
  </si>
  <si>
    <t>29/9 HH2</t>
  </si>
  <si>
    <t>cập trong tháng 9 để làm hàng dần với ạ</t>
  </si>
  <si>
    <t>2200002150 - 537D.T08.2025/HPDQ-OTHY-KH 15000TAN đi Hải Phòng HRC1 - CÂN TẢI - ƯU TIÊN XUẤT LƯỢNG CÁC LỆNH NOTE XUẤT HẾT MAPPING, LƯỢNG CÂN TẢI CÓ THỂ GIẢM TƯƠNG ỨNG</t>
  </si>
  <si>
    <t>HRC 1 - đã map 14k7
Hàng hóa OK</t>
  </si>
  <si>
    <t>chắc là sang tháng :))) =&gt; nu nu</t>
  </si>
  <si>
    <t>Hào Hưng</t>
  </si>
  <si>
    <t>2000003347- 503A.T08.2025/HPDQ-TMPHD-KH  - 10kt - chưa có XNDH đâu ạ - xuất hết mapping</t>
  </si>
  <si>
    <t xml:space="preserve">2000003356 - 547A.T09.2025/HPDQ-PVN(OTMN)-KH - XUẤT HẾT MAPPING
cuối t9 nk được bao nhiêu thì giao bấy nhiêu </t>
  </si>
  <si>
    <t xml:space="preserve">2000003355 - 547A.T09.2025/HPDQ-PVN(OTMN)-KH - 13kt - XUẤT VỪA ĐỦ 5KT
cuối t9 nk được bao nhiêu thì giao bấy nhiêu  </t>
  </si>
  <si>
    <t>HRC 1 - ĐÃ MAP 5K9
Hàng hóa OK</t>
  </si>
  <si>
    <t>2000003346- 503A.T08.2025/HPDQ-TMPHD-KH  - 2kt  - XUẤT HẾT MAPPING</t>
  </si>
  <si>
    <t>POSEIDON VENTURE</t>
  </si>
  <si>
    <t>25.09.2025
Laycan 27.09-02.10</t>
  </si>
  <si>
    <t>27/10 BẾN 5/10</t>
  </si>
  <si>
    <t>26/09</t>
  </si>
  <si>
    <t>2400001306 - 119.T09-25/HPDQ-MARCE (S235JR)</t>
  </si>
  <si>
    <t>HRC 2 - dự kiến 29-30 đủ
đã map 4,5 kt còn lại chờ skin</t>
  </si>
  <si>
    <r>
      <t xml:space="preserve">ĐỂ XUẤT DỜI QUA THÁNG 10 MỚI XUẤT
</t>
    </r>
    <r>
      <rPr>
        <b/>
        <sz val="14"/>
        <color rgb="FF00B0F0"/>
        <rFont val="Times New Roman"/>
      </rPr>
      <t>=&gt; KHÔNG ỔN! TÍNH GIAO VẮT THÁNG - TÍNH THƯỞNG PHẠT NTN</t>
    </r>
  </si>
  <si>
    <t>2400001305 - 119.T09-25/HPDQ-MARCE (SAE1006)</t>
  </si>
  <si>
    <t>HRC 2 - dự kiến 29-30 đủ
đã map 20,3 kt còn lại chờ skin</t>
  </si>
  <si>
    <r>
      <rPr>
        <sz val="14"/>
        <color rgb="FFFF0000"/>
        <rFont val="Times New Roman"/>
      </rPr>
      <t xml:space="preserve">ĐỂ XUẤT DỜI QUA THÁNG 10 MỚI XUẤT
</t>
    </r>
    <r>
      <rPr>
        <sz val="14"/>
        <color rgb="FF00B0F0"/>
        <rFont val="Times New Roman"/>
      </rPr>
      <t>=&gt; KHÔNG ỔN! TÍNH GIAO VẮT THÁNG - TÍNH THƯỞNG PHẠT NTN</t>
    </r>
  </si>
  <si>
    <t>2400001309 - 119.T09-25/HPDQ-MARCE (HRC1)</t>
  </si>
  <si>
    <t>HRC 1 ĐÃ MAP 2K7
 HÀNG HÓA OK</t>
  </si>
  <si>
    <t>26/9 CHU LAI</t>
  </si>
  <si>
    <t>9h00 3/10</t>
  </si>
  <si>
    <t xml:space="preserve">2000003323 - 481D.T07.2025/HPDQ-TVN-KH - 3000T - TÀU VIỆT THUẬN 215-06 CÂN TỐI ĐA 10KT CHO THÉP VIỆT NHẬT THÔI Ạ
chỉ đi chung 1 lot 1 tàu với lệnh 3310 </t>
  </si>
  <si>
    <r>
      <rPr>
        <sz val="14"/>
        <color rgb="FF000000"/>
        <rFont val="Times New Roman"/>
      </rPr>
      <t xml:space="preserve">2000003310 - 481D.T07.2025/HPDQ-TVN-KH - 2000T
</t>
    </r>
    <r>
      <rPr>
        <b/>
        <sz val="14"/>
        <color rgb="FFFF0000"/>
        <rFont val="Times New Roman"/>
      </rPr>
      <t>chỉ đi chung 1 lot với lệnh 3323</t>
    </r>
  </si>
  <si>
    <t>HRC 2 -Hàng hóa ok</t>
  </si>
  <si>
    <r>
      <rPr>
        <sz val="14"/>
        <color rgb="FFFF0000"/>
        <rFont val="Times New Roman"/>
      </rPr>
      <t xml:space="preserve">Giao tối đa 2 lot
</t>
    </r>
    <r>
      <rPr>
        <sz val="14"/>
        <color rgb="FF00B0F0"/>
        <rFont val="Times New Roman"/>
      </rPr>
      <t>=&gt; LƯỢNG CÒN LẠI T09.3 KHI NÀO NK HOẶC BAO NHIÊU NK T09?</t>
    </r>
  </si>
  <si>
    <r>
      <rPr>
        <sz val="14"/>
        <color rgb="FF000000"/>
        <rFont val="Times New Roman"/>
      </rPr>
      <t xml:space="preserve">2000003365 - 497B4.T05.2025/HPDQ-STAVIAN(OTSG)-KH - 2000t </t>
    </r>
    <r>
      <rPr>
        <b/>
        <sz val="14"/>
        <color rgb="FF000000"/>
        <rFont val="Times New Roman"/>
      </rPr>
      <t>(đi một tàu) - đã có LC</t>
    </r>
  </si>
  <si>
    <r>
      <rPr>
        <sz val="13"/>
        <color rgb="FF000000"/>
        <rFont val="Times New Roman"/>
      </rPr>
      <t xml:space="preserve">2000003374 - 563.T09.2025/KH/HPDQ-JFE - Tổng 4,000 
</t>
    </r>
    <r>
      <rPr>
        <sz val="13"/>
        <color rgb="FFFF0000"/>
        <rFont val="Times New Roman"/>
      </rPr>
      <t>HÀNG NÀY DỠ TRƯỚC</t>
    </r>
  </si>
  <si>
    <t>GIAO TRƯỚC 4k T9, còn lại cho sang T10</t>
  </si>
  <si>
    <r>
      <rPr>
        <sz val="13"/>
        <color rgb="FF000000"/>
        <rFont val="Times New Roman"/>
      </rPr>
      <t xml:space="preserve">2000003376 - 563.T09.2025/KH/HPDQ-JFE - Tổng 15,000
</t>
    </r>
    <r>
      <rPr>
        <sz val="13"/>
        <color rgb="FFFF0000"/>
        <rFont val="Times New Roman"/>
      </rPr>
      <t xml:space="preserve">HÀNG NÀY DỠ TRƯỚC </t>
    </r>
  </si>
  <si>
    <r>
      <rPr>
        <b/>
        <sz val="14"/>
        <color rgb="FF000000"/>
        <rFont val="Times New Roman"/>
      </rPr>
      <t xml:space="preserve">2000003311 - 542B.T06.2025/HPDQ-KKNH-KH - 4000t (Thép Việt Nhật) - Đã có LC </t>
    </r>
    <r>
      <rPr>
        <b/>
        <sz val="14"/>
        <color rgb="FFFF0000"/>
        <rFont val="Times New Roman"/>
      </rPr>
      <t xml:space="preserve">- Cân tải
</t>
    </r>
    <r>
      <rPr>
        <b/>
        <sz val="14"/>
        <color rgb="FF000000"/>
        <rFont val="Times New Roman"/>
      </rPr>
      <t>(tối đa 2 lot)</t>
    </r>
  </si>
  <si>
    <r>
      <rPr>
        <sz val="14"/>
        <color rgb="FF000000"/>
        <rFont val="Times New Roman"/>
      </rPr>
      <t xml:space="preserve">2000003338 - 553A.T09.2025/HPDQ-VINAS-KH - 400t - đã có LC
</t>
    </r>
    <r>
      <rPr>
        <sz val="14"/>
        <color rgb="FFFF0000"/>
        <rFont val="Times New Roman"/>
      </rPr>
      <t>(đi chung lệnh 3339)</t>
    </r>
  </si>
  <si>
    <t>21.09.2025</t>
  </si>
  <si>
    <t>24/9 CTH</t>
  </si>
  <si>
    <t>2000003339 - 553A.T09.2025/HPDQ-VINAS-KH - 1800t - Đã có LC - Cân tải</t>
  </si>
  <si>
    <t>HRC 2 -Hàng hóa ok
Đã map được 1k6</t>
  </si>
  <si>
    <r>
      <t xml:space="preserve">2000003218 - 481B.T07.2025/HPDQ-TVN-KH - đã có LC - 1000t </t>
    </r>
    <r>
      <rPr>
        <b/>
        <sz val="14"/>
        <color theme="1"/>
        <rFont val="Times New Roman"/>
      </rPr>
      <t>(xếp hết trên 1 tàu, không tách tàu)</t>
    </r>
  </si>
  <si>
    <r>
      <rPr>
        <b/>
        <sz val="14"/>
        <color rgb="FF000000"/>
        <rFont val="Times New Roman"/>
      </rPr>
      <t xml:space="preserve">MT HÀ NỘI 39 
</t>
    </r>
    <r>
      <rPr>
        <sz val="14"/>
        <color rgb="FF000000"/>
        <rFont val="Times New Roman"/>
      </rPr>
      <t>(thay NAM DƯƠNG 666)</t>
    </r>
  </si>
  <si>
    <t>29/9 BẾN 1</t>
  </si>
  <si>
    <t>2000003324 - 454B.T06.2025/HPDQ-TVP - 10kt - LSD 30/09, đi tối đa 3 tàu và sau 454A tối thiểu 10 ngày</t>
  </si>
  <si>
    <t>26-27.09.2025
chờ dỡ đá</t>
  </si>
  <si>
    <t>28/9 BTL</t>
  </si>
  <si>
    <t>Xong trong tháng 9</t>
  </si>
  <si>
    <t>2000003342 - 584.T08.2025/HPDQ-TMP-KH - 4000t -</t>
  </si>
  <si>
    <t>HRC 1 - HÀNG HÓA OK
ĐÃ MAP 4K2</t>
  </si>
  <si>
    <t>NGUYỄN DƯƠNG 668</t>
  </si>
  <si>
    <t>2000003343 - 584.T08.2025/HPDQ-TMP-KH - 1000t</t>
  </si>
  <si>
    <t>2200002206 - 0037.T09.2025/HPDQ-SPTLA-NKH đi Long An 1202TAN HRC2</t>
  </si>
  <si>
    <t>29-30.09.2025</t>
  </si>
  <si>
    <t>2/10 BẾN 3/5</t>
  </si>
  <si>
    <r>
      <rPr>
        <b/>
        <sz val="14"/>
        <color rgb="FF000000"/>
        <rFont val="Times New Roman"/>
      </rPr>
      <t xml:space="preserve">2000003314 - 477G.T07.2025/HPDQ-KD - 3450T
</t>
    </r>
    <r>
      <rPr>
        <b/>
        <sz val="14"/>
        <color rgb="FFFF0000"/>
        <rFont val="Times New Roman"/>
      </rPr>
      <t>XẾP SAU CÙNG, DỠ ĐẦU TIÊN</t>
    </r>
  </si>
  <si>
    <t>2000003367 - 503F.T08.2025/HPDQ-TMPHD-KH - 800T - CÂN TẢI</t>
  </si>
  <si>
    <t>HRC 1 - HÀNG HÓA OK- ĐÃ MAP 867t</t>
  </si>
  <si>
    <t>2000003325 - 346.T03.2025/HPDQ-TNS-KH (lot 1 trên XNĐH: 3kt) - 1500MT
Giao ngay khi có hàng . LSD 10/10</t>
  </si>
  <si>
    <t>2000003329 - 346.T03.2025/HPDQ-TNS-KH (lot 2 trên XNĐH: 4kt)  - 2500MT
Lot 2 phải giao cũng nhau
1/10 có đủ 4kt thì load hàng. LSD 10/10</t>
  </si>
  <si>
    <t>2000003326 - 346.T03.2025/HPDQ-TNS-KH (lot 2 trên XNĐH: 4kt) - 1500MT
Lot 2 phải giao cũng nhau
1/10 có đủ 4kt thì load hàng. LSD 10/10</t>
  </si>
  <si>
    <t>2000003327 - 543.T03.2025/HPDQ-NS-KH 
Có hàng giao luôn.  LSD 10/10</t>
  </si>
  <si>
    <r>
      <rPr>
        <sz val="14"/>
        <color rgb="FF000000"/>
        <rFont val="Times New Roman"/>
      </rPr>
      <t xml:space="preserve">2000003366 - 497B5.T05.2025/HPDQ-STAVIAN(OTSG)-KH - 2000t </t>
    </r>
    <r>
      <rPr>
        <b/>
        <sz val="14"/>
        <color rgb="FF000000"/>
        <rFont val="Times New Roman"/>
      </rPr>
      <t>(Stavian tối đa mỗi tàu 2000t hàng) - đã có LC</t>
    </r>
  </si>
  <si>
    <r>
      <rPr>
        <b/>
        <sz val="26"/>
        <color rgb="FFFF0000"/>
        <rFont val="Times New Roman"/>
      </rPr>
      <t xml:space="preserve">LỊCH XUẤT HRC THÁNG 08/2025
</t>
    </r>
    <r>
      <rPr>
        <b/>
        <sz val="20"/>
        <color rgb="FFFF0000"/>
        <rFont val="Times New Roman"/>
      </rPr>
      <t>LƯU Ý CẦN NHẮC LẠI NHIỀU LẦN: XUẤT ĐỦ DUNG SAI CÁC SIZE HÀNG, LÚC XUẤT COIL LIST MÀ CHƯA MAPPING ĐỦ DUNG SAI, SAU ĐÓ MAPPING THÊM THÌ PHẢI XUẤT THÊM CHO ĐỦ</t>
    </r>
  </si>
  <si>
    <t>LỆNH XUẤT HÀNG - KẾ HOẠCH DUYỆT
(SỐ LỆNH ĐẦY ĐỦ - SỐ XNĐH  - THỜI GIAN DK DUYỆT LỆNH)
(MỖI LỆNH 1 DÒNG)</t>
  </si>
  <si>
    <t>01-02.08.2025
Từ Đà Nẵng về</t>
  </si>
  <si>
    <t>23h00 31/07 Bến 2
(31/07 tàu sẵn sàng)</t>
  </si>
  <si>
    <t>Sang ngày 1/8 
mới ra hàng</t>
  </si>
  <si>
    <r>
      <rPr>
        <b/>
        <sz val="14"/>
        <color rgb="FF000000"/>
        <rFont val="Times New Roman"/>
        <family val="1"/>
      </rPr>
      <t xml:space="preserve">2000003117 - 413A.T05.2025/HPDQ-TVP - 10kt - </t>
    </r>
    <r>
      <rPr>
        <b/>
        <sz val="14"/>
        <color rgb="FFFF0000"/>
        <rFont val="Times New Roman"/>
        <family val="1"/>
      </rPr>
      <t>LSD 5/8</t>
    </r>
  </si>
  <si>
    <t>HRC 2 - Đã map 2883t, hết hàng tồn kho</t>
  </si>
  <si>
    <t>02.08.2025
NEO</t>
  </si>
  <si>
    <t>15h00 02/08 Bến 3/5</t>
  </si>
  <si>
    <r>
      <rPr>
        <b/>
        <sz val="14"/>
        <color rgb="FF000000"/>
        <rFont val="Times New Roman"/>
        <family val="1"/>
      </rPr>
      <t xml:space="preserve">2000003120 - 472A.T07.2025/HPDQ-HSQN - lệnh ok
Nếu xuất hết lượng 1 lần thì XUẤT ĐỦ DUNG SIZE CÁC SIZE HÀNG (ko thừa ko thiếu)
</t>
    </r>
    <r>
      <rPr>
        <sz val="14"/>
        <color rgb="FFFF0000"/>
        <rFont val="Times New Roman"/>
        <family val="1"/>
      </rPr>
      <t>Tàu này nhận được 5k8 nên map dương thì cho xuất hết đi luôn</t>
    </r>
  </si>
  <si>
    <r>
      <rPr>
        <b/>
        <sz val="14"/>
        <color rgb="FF000000"/>
        <rFont val="Times New Roman"/>
        <family val="1"/>
      </rPr>
      <t xml:space="preserve">HRC 1
dự kiến 29-30/07 nk
</t>
    </r>
    <r>
      <rPr>
        <b/>
        <sz val="14"/>
        <color rgb="FFFF0000"/>
        <rFont val="Times New Roman"/>
        <family val="1"/>
      </rPr>
      <t>đã map 5kt</t>
    </r>
  </si>
  <si>
    <t>PKH note lại lượng có thể giao trong T7
~4k3-4k8 chắc chắn đi trong T7 đc, còn lại đầu tháng 8 (2-3/08)</t>
  </si>
  <si>
    <t>01.08.2025
Rỗng từ nam về</t>
  </si>
  <si>
    <t>10h00 03/08 Bến 5/10</t>
  </si>
  <si>
    <t>5/8 phải xong hết</t>
  </si>
  <si>
    <r>
      <rPr>
        <b/>
        <sz val="14"/>
        <color rgb="FF000000"/>
        <rFont val="Times New Roman"/>
        <family val="1"/>
      </rPr>
      <t xml:space="preserve">2000003117 - 413A.T05.2025/HPDQ-TVP - 10kt - </t>
    </r>
    <r>
      <rPr>
        <b/>
        <sz val="14"/>
        <color rgb="FFFF0000"/>
        <rFont val="Times New Roman"/>
        <family val="1"/>
      </rPr>
      <t>LSD 5/8 - CÂN TẢI</t>
    </r>
  </si>
  <si>
    <t>HRC 2 - Đã map 2k7
Dự kiến 3/8 NK</t>
  </si>
  <si>
    <t>2400001259 - 105.T07-25/HPDQ-MI - GIANG - XUẤT HẾT MAPPING</t>
  </si>
  <si>
    <t>2400001258 - 106.T07-25/HPDQ-MI - Linh - XUẤT HẾT MAPPING</t>
  </si>
  <si>
    <t>02-03.08.2025
NEO</t>
  </si>
  <si>
    <t>18h00 02/08 Bến 5</t>
  </si>
  <si>
    <t>2000003133 - 487.T07.2025/HPDQ-OTMN-KH 12ktT - đã có LC</t>
  </si>
  <si>
    <t>2200002074 - 2074.T07.2025/HPDQ-THP-KH 4510TAN đi Hải Phòng HRC1</t>
  </si>
  <si>
    <t>2200002083  - 2074.T07.2025/HPDQ-THP-KH 3000TAN đi Hải Phòng HRC2</t>
  </si>
  <si>
    <t>03.08.2025
Từ Hải Phòng về</t>
  </si>
  <si>
    <t>11H00 04/08 Bến 3/5</t>
  </si>
  <si>
    <t>2000003121 - 473A.T07.2025/HPDQ-HSPM - 18/7 mở LC - tổng đơn 11,700 tấn
ĐI ĐỦ DUNG SAI TỪNG SIZE HÀNG, ko thừa ko thiếu</t>
  </si>
  <si>
    <t>2000003129 - 451B.T06.2025/HPDQ-NK - 6380T
(giao chung 3 lot tổng 5k6)</t>
  </si>
  <si>
    <t>2000003144 - 451B.T06.2025/HPDQ-NK - xuất hết
(giao chung 3 lot tổng 5k6)</t>
  </si>
  <si>
    <t>2000003130 - 451B.T06.2025/HPDQ-NK - 2620T
(giao chung 3 lot tổng 5k6)</t>
  </si>
  <si>
    <r>
      <rPr>
        <b/>
        <sz val="14"/>
        <color rgb="FF7030A0"/>
        <rFont val="Times New Roman"/>
        <family val="1"/>
      </rPr>
      <t xml:space="preserve">HRC 1 - Hàng hóa ok
</t>
    </r>
    <r>
      <rPr>
        <b/>
        <sz val="14"/>
        <color rgb="FFFF0000"/>
        <rFont val="Times New Roman"/>
        <family val="1"/>
      </rPr>
      <t>đã map 2857t - xuất không hết để lại size 2.00</t>
    </r>
  </si>
  <si>
    <t>2000003157 - 338F.T03.2025/HPDQ-CNQHP (Đã có LC)</t>
  </si>
  <si>
    <t>ĐỨC PHÚC 58
thay cho tàu MINH CẨN 268</t>
  </si>
  <si>
    <t>03-04.08.2025
Dỡ xi măng -&gt; nhận HRC</t>
  </si>
  <si>
    <t>03/08 Bến 2</t>
  </si>
  <si>
    <t>Ghép hàng thép XD đi</t>
  </si>
  <si>
    <r>
      <rPr>
        <b/>
        <sz val="14"/>
        <color rgb="FF081B3A"/>
        <rFont val="Times New Roman"/>
        <family val="1"/>
      </rPr>
      <t xml:space="preserve">2200002072 - 2072.T07.2025/HPDQ-OTBD-NKH 1369TAN đi Long Bình HRC1
</t>
    </r>
    <r>
      <rPr>
        <b/>
        <sz val="14"/>
        <color rgb="FFFF0000"/>
        <rFont val="Times New Roman"/>
        <family val="1"/>
      </rPr>
      <t>XUẤT HẾT MAPPING</t>
    </r>
  </si>
  <si>
    <t>HRC 1 - Hàng hóa ok
hàng spot</t>
  </si>
  <si>
    <t xml:space="preserve">PHOENICIAN-M </t>
  </si>
  <si>
    <t>03.08.2025</t>
  </si>
  <si>
    <t>10h00  05/08 Bến 5/10</t>
  </si>
  <si>
    <t>Ravenna (MArcegaglia's berth)</t>
  </si>
  <si>
    <t>2400001229 - 102.T07-25/HPDQ-MARCE(S235JR)</t>
  </si>
  <si>
    <t>HRC 1 - Hàng hóa ok
size 1.5 đạt 85%</t>
  </si>
  <si>
    <t>25mt</t>
  </si>
  <si>
    <t>Nhãn phụ CE Marking</t>
  </si>
  <si>
    <t>2400001237 - 102.T07-25/HPDQ-MARCE(S235JR)</t>
  </si>
  <si>
    <t>2400001230 - 102.T07-25/HPDQ-MARCE(SAE1006)</t>
  </si>
  <si>
    <t>HRC 2 - 25446t đã map, Chốt SO</t>
  </si>
  <si>
    <t>05.08.2025</t>
  </si>
  <si>
    <t>05/08 Bến 2</t>
  </si>
  <si>
    <t>2200002086  - 2086.T07.2025/HPDQ-THP-NKH 3895TAN đi Hải Phòng HRC1 
CÂN TẢI LỆNH NÀY</t>
  </si>
  <si>
    <r>
      <rPr>
        <sz val="14"/>
        <color rgb="FF000000"/>
        <rFont val="Times New Roman"/>
        <family val="1"/>
      </rPr>
      <t xml:space="preserve">2200002065 - 2065.T06.2025/HPDQ-THP-KH 6515TAN đi Hải Phòng HRC2
</t>
    </r>
    <r>
      <rPr>
        <sz val="14"/>
        <color rgb="FFFF0000"/>
        <rFont val="Times New Roman"/>
        <family val="1"/>
      </rPr>
      <t>Xuất những hàng sau:
3.00x1162: 138t
3.95x1222: 295t
3.95x1272: 325t</t>
    </r>
  </si>
  <si>
    <t>2200002066 - 2066.T07.2025/HPDQ-THP-NKH 947TAN đi Hải Phòng HRC2</t>
  </si>
  <si>
    <t>HRC 2- HÀNG HÓA OK, 
CÒN TỒN CHO XUẤT NỐT</t>
  </si>
  <si>
    <t>2200002069 - 2069.T07.2025/HPDQ-OTHY-NKH 4830TAN đi Hải Phòng HRC2</t>
  </si>
  <si>
    <t>04.08.2025
NEO</t>
  </si>
  <si>
    <t>18h00 05/8 Bến 3</t>
  </si>
  <si>
    <t>2000003103 - 421.T05.2025/HPDQ-TVN lot 4 (NĐ) 4000t (lệnh ok) - xuất như coil list
dỡ Phú Mỹ trước ạ</t>
  </si>
  <si>
    <t>2200002098 - 2098.T08.2025/HPDQ-OTBD-NKH 186TAN đi Tân Thuận HRC2</t>
  </si>
  <si>
    <t>HRC 2- Đã map 162t, chốt SO do hết hàng tồn kho</t>
  </si>
  <si>
    <t>2000003136-474.T07.2025/HPDQ-TDA - lệnh ok
(khách có thể thanh toán sớm nhất 04/08)</t>
  </si>
  <si>
    <t>HRC 2 - Đã map 4812t
Hết tồn kho 1C</t>
  </si>
  <si>
    <t>2000003081 - 477C.T07.2025/HPDQ-KD - 5kt - LSD 15/8</t>
  </si>
  <si>
    <t>HRC 2- HÀNG HÓA OK</t>
  </si>
  <si>
    <r>
      <rPr>
        <sz val="14"/>
        <color rgb="FF000000"/>
        <rFont val="Times New Roman"/>
        <family val="1"/>
      </rPr>
      <t xml:space="preserve">2000003145 - 477F.T07.2025/HPDQ-KD
</t>
    </r>
    <r>
      <rPr>
        <b/>
        <sz val="14"/>
        <color rgb="FFFF0000"/>
        <rFont val="Times New Roman"/>
        <family val="1"/>
      </rPr>
      <t>CHỈ LẤY HÀNG 2.45 (4 cuộn)</t>
    </r>
  </si>
  <si>
    <t>2000003174 - 477D.T07.2025/HPDQ-KD</t>
  </si>
  <si>
    <t>2000003084 - 477E.T07.2025/HPDQ-KD
1 cuộn 1.47 còn lại</t>
  </si>
  <si>
    <t>HRC 2- Hàng hóa ok</t>
  </si>
  <si>
    <t>2000003172 - 477D.T07.2025/HPDQ-KD - 2 cuộn - sáng 5/8 duyệt lệnh</t>
  </si>
  <si>
    <t>2200002094 - 2094.T07.2025/HPDQ-OTBD-NKH 203TAN đi Tân Thuận HRC2</t>
  </si>
  <si>
    <r>
      <rPr>
        <sz val="14"/>
        <color rgb="FF000000"/>
        <rFont val="Times New Roman"/>
        <family val="1"/>
      </rPr>
      <t xml:space="preserve">2000003150 - 482.T07.2025/HPDQ-SUNSCO-KH - 500T - sáng 4/8 TT
</t>
    </r>
    <r>
      <rPr>
        <sz val="14"/>
        <color rgb="FFFF0000"/>
        <rFont val="Times New Roman"/>
        <family val="1"/>
      </rPr>
      <t xml:space="preserve">càng sớm càng tốt
</t>
    </r>
    <r>
      <rPr>
        <b/>
        <sz val="14"/>
        <color rgb="FFFF0000"/>
        <rFont val="Times New Roman"/>
        <family val="1"/>
      </rPr>
      <t>DỠ PHÚ MỸ -&gt; TÂN THUẬN</t>
    </r>
  </si>
  <si>
    <t>01.08.2025</t>
  </si>
  <si>
    <t>05-06/08 Bén 5</t>
  </si>
  <si>
    <t>2000003156 - 471B.T07.2025/HPDQ-HSNS (NĐ) - tổng lệnh 14,620 tấn - lệnh ok</t>
  </si>
  <si>
    <r>
      <rPr>
        <sz val="14"/>
        <color rgb="FF000000"/>
        <rFont val="Times New Roman"/>
        <family val="1"/>
      </rPr>
      <t xml:space="preserve">2200002085 - 2084.T07.2025/HPDQ-THP-KH 10500TAN đi Hải Phòng HRC2
</t>
    </r>
    <r>
      <rPr>
        <b/>
        <sz val="14"/>
        <color rgb="FFFF0000"/>
        <rFont val="Times New Roman"/>
        <family val="1"/>
      </rPr>
      <t>xuất size 2.00x1212 SAE1006</t>
    </r>
  </si>
  <si>
    <t>giao trước 3500TAN size 2.00x1212 SAE1006</t>
  </si>
  <si>
    <r>
      <rPr>
        <sz val="14"/>
        <color rgb="FF000000"/>
        <rFont val="Times New Roman"/>
        <family val="1"/>
      </rPr>
      <t xml:space="preserve">2200002065 - 2065.T06.2025/HPDQ-THP-KH 6515TAN đi Hải Phòng HRC2 - </t>
    </r>
    <r>
      <rPr>
        <sz val="14"/>
        <color rgb="FFFF0000"/>
        <rFont val="Times New Roman"/>
        <family val="1"/>
      </rPr>
      <t xml:space="preserve">XẾP CUỐI CÙNG CỦA HÀNG ĐI HẢI PHÒNG ĐỂ VỀ ĐẾN HẢI PHÒNG CHO DỠ ĐẦU
</t>
    </r>
    <r>
      <rPr>
        <sz val="14"/>
        <color rgb="FF000000"/>
        <rFont val="Times New Roman"/>
        <family val="1"/>
      </rPr>
      <t>ĐÃ XUẤT 565 TẤN TRƯỚC Ở THÁNG 7</t>
    </r>
  </si>
  <si>
    <t>PKH note lại lượng có thể giao trong T7</t>
  </si>
  <si>
    <t>2200002086  - 2086.T07.2025/HPDQ-THP-NKH 3895TAN đi Hải Phòng HRC1</t>
  </si>
  <si>
    <r>
      <rPr>
        <sz val="14"/>
        <color rgb="FF000000"/>
        <rFont val="Times New Roman"/>
        <family val="1"/>
      </rPr>
      <t xml:space="preserve">2000003132 - 487.T07.2025/HPDQ-OTMN-KH - đã có LC - </t>
    </r>
    <r>
      <rPr>
        <sz val="14"/>
        <color rgb="FFFF0000"/>
        <rFont val="Times New Roman"/>
        <family val="1"/>
      </rPr>
      <t xml:space="preserve">Sau khi xuất đủ những lệnh khác, còn tải tàu thì xuất mapping dương của lệnh này
</t>
    </r>
    <r>
      <rPr>
        <sz val="14"/>
        <color rgb="FF000000"/>
        <rFont val="Times New Roman"/>
        <family val="1"/>
      </rPr>
      <t xml:space="preserve">
</t>
    </r>
    <r>
      <rPr>
        <b/>
        <sz val="14"/>
        <color rgb="FFFF0000"/>
        <rFont val="Times New Roman"/>
        <family val="1"/>
      </rPr>
      <t>DỠ NGHI SƠN -&gt; HOÀNG DIỆU</t>
    </r>
  </si>
  <si>
    <r>
      <rPr>
        <b/>
        <sz val="14"/>
        <color rgb="FF7030A0"/>
        <rFont val="Times New Roman"/>
        <family val="1"/>
      </rPr>
      <t xml:space="preserve">HRC 1 - Hàng hóa ok
</t>
    </r>
    <r>
      <rPr>
        <b/>
        <sz val="14"/>
        <color rgb="FFFF0000"/>
        <rFont val="Times New Roman"/>
        <family val="1"/>
      </rPr>
      <t xml:space="preserve">map đc 5334 </t>
    </r>
  </si>
  <si>
    <t>03.08.2025
NEO</t>
  </si>
  <si>
    <t>06/08 Bến 6</t>
  </si>
  <si>
    <t>2000003149 - 497B3.T05.2025/HPDQ-MISV-KH - 2200t (nhận hàng sau 3/8 - nhưng vẫn sớm nhất có thể ạ :(( ) - LỆNH OK</t>
  </si>
  <si>
    <t>2000003153 - 513A1.T08.2025/HPDQ-HANOIS-KH - tổng lệnh 5,000 tấn đang duyệt lệnh rồi ạ</t>
  </si>
  <si>
    <t>HRC 1  Hàng hóa ok</t>
  </si>
  <si>
    <t>19H00 06/08 Bén Tàu lai</t>
  </si>
  <si>
    <t>2200002092 - 2091.T07.2025 HPDQ-OTHY-KH 400TAN đi Hải Phòng HRC2</t>
  </si>
  <si>
    <t>Thời gian KH cần
giao hàng: 8/8 - 16/8</t>
  </si>
  <si>
    <t>2200002093 - 2093.T07.2025 HPDQ-OTHY-KH 700TAN đi Hải Phòng HRC2</t>
  </si>
  <si>
    <t>HRC 2 - Đã map 666t</t>
  </si>
  <si>
    <t>2200002099 - 2099.T08.2025/HPDQ-OTHY-NKH 2196TAN đi Hải Phòng HRC1</t>
  </si>
  <si>
    <t>HRC 1 - HÀNG STOCK
Hàng hóa ok</t>
  </si>
  <si>
    <t>2200002100 - 2100.T08.2025/HPDQ-THP-NKH 2025TAN đi Hải Phòng HRC1</t>
  </si>
  <si>
    <t>04-05.06.2025
Dỡ đá -&gt; nhận HRC</t>
  </si>
  <si>
    <t>12h00 07/08 Bến 2</t>
  </si>
  <si>
    <t>2000003128 - 338D.T03.2025/HPDQ-CNQHP (Đã có LC)</t>
  </si>
  <si>
    <t>2000003103 - 421.T05.2025/HPDQ-TVN lot 4 (NĐ) 4000t (lệnh ok)</t>
  </si>
  <si>
    <t>06.08.2025
Từ Quy Nhơn về</t>
  </si>
  <si>
    <t>16h00 07/08 Bến 6</t>
  </si>
  <si>
    <r>
      <rPr>
        <b/>
        <sz val="14"/>
        <color rgb="FF000000"/>
        <rFont val="Times New Roman"/>
        <family val="1"/>
      </rPr>
      <t xml:space="preserve">2000003164 - 513F.T08.2025/HPDQ-VINAS-KH  - 2,600 tấn - đang duyệt lệnh rồi ạ
</t>
    </r>
    <r>
      <rPr>
        <b/>
        <sz val="14"/>
        <color rgb="FFFF0000"/>
        <rFont val="Times New Roman"/>
        <family val="1"/>
      </rPr>
      <t>LỆNH NÀY CW 27-30 TẤN, LƯU Ý KHI XẾP / DỠ HÀNG</t>
    </r>
  </si>
  <si>
    <t>2200002101 - 2101.T08.2025/HPDQ-OTHY-NKH 1781TAN đi Hải Phòng HRC1 - cân tải</t>
  </si>
  <si>
    <t>2200002104 - 2104.T08.2025/HPDQ-OTHY-NKH 355TAN đi Hải Phòng HRC2</t>
  </si>
  <si>
    <t>HRC 2 - HÀNG STOCK, đã map 335t chốt SO do hết tồn kho</t>
  </si>
  <si>
    <t>06.08.2025
NEO</t>
  </si>
  <si>
    <t>08/08 Bến 2
(Tàu sẵn sàng 06/08)</t>
  </si>
  <si>
    <t>2000003165 - 439.T05.2025/HPDQ-KKNH lot 1 (TVN) (lệnh ok) - 4600t - cho đi trước 3600t - 3165 - 3166 cho về cách nhau 1 -2 ngày để khách họ kịp lấy hàng ạ</t>
  </si>
  <si>
    <t>2000003166 - 421.T05.2025/HPDQ-TVN lot 7 (TVN) (lệnh ok) - 5800t - đã có LC, cho đi trước 4800t - 3165 - 3166 cho về cách nhau 1 -2 ngày để khách họ kịp lấy hàng ạ</t>
  </si>
  <si>
    <t>07-08.08.2025</t>
  </si>
  <si>
    <t>09/08 bến 3</t>
  </si>
  <si>
    <r>
      <rPr>
        <b/>
        <sz val="14"/>
        <color rgb="FF000000"/>
        <rFont val="Times New Roman"/>
        <family val="1"/>
      </rPr>
      <t xml:space="preserve">2000003156 - 471B.T07.2025/HPDQ-HSNS (NĐ) - tổng lệnh 14,620 tấn - lệnh ok
</t>
    </r>
    <r>
      <rPr>
        <sz val="14"/>
        <color rgb="FFFF0000"/>
        <rFont val="Times New Roman"/>
        <family val="1"/>
      </rPr>
      <t>GIAO ĐỦ DUNG SAI HÀNG HÓA</t>
    </r>
  </si>
  <si>
    <t>HRC 1 - Hàng hóa ok
Xuất không hêt mapping - để lại các size đã thông báo</t>
  </si>
  <si>
    <r>
      <rPr>
        <sz val="14"/>
        <color rgb="FF000000"/>
        <rFont val="Times New Roman"/>
        <family val="1"/>
      </rPr>
      <t xml:space="preserve">2000003158 - 471B.T07.2025/HPDQ-HSNS (NĐ) - tổng lệnh 1,000 tấn - lệnh ok
</t>
    </r>
    <r>
      <rPr>
        <sz val="14"/>
        <color rgb="FFFF0000"/>
        <rFont val="Times New Roman"/>
        <family val="1"/>
      </rPr>
      <t>GIAO ĐỦ DUNG SAI HÀNG HÓA</t>
    </r>
  </si>
  <si>
    <t>HRC 2 - Hàng skin Dự kiến 10/8 NK</t>
  </si>
  <si>
    <t>08-09.08.2025
Dỡ đá -&gt; nhận HRC</t>
  </si>
  <si>
    <t>09/08 Bến 5</t>
  </si>
  <si>
    <t>2000003159 - 468.T07.2025/HPDQ-TP - lệnh ok - LSD 15/8, giao tầm 10/8</t>
  </si>
  <si>
    <t>HRC 1 Hàng hóa ok
ĐÃ MAP 1.066T</t>
  </si>
  <si>
    <t>2200002091 - 2091.T07.2025 HPDQ-OTHY-KH 3500TAN đi Hải Phòng HRC1
Cân tải</t>
  </si>
  <si>
    <t>07.08.2025
Dỡ đá -&gt; nhận HRC</t>
  </si>
  <si>
    <t>15H00 08/08 Bến 5</t>
  </si>
  <si>
    <r>
      <rPr>
        <b/>
        <sz val="14"/>
        <color rgb="FF000000"/>
        <rFont val="Times New Roman"/>
        <family val="1"/>
      </rPr>
      <t>2000003090 - 463B.T06.2025/HPDQ-LPGBD (dkien mở LC 07/08) -</t>
    </r>
    <r>
      <rPr>
        <b/>
        <sz val="14"/>
        <color rgb="FFFF0000"/>
        <rFont val="Times New Roman"/>
        <family val="1"/>
      </rPr>
      <t xml:space="preserve"> LSD: 10/08
GIAO ĐỦ DUNG SAI, CÂN TẢI</t>
    </r>
  </si>
  <si>
    <t>HRC 1 - Hàng hóa ok
Đã map 2671/2500</t>
  </si>
  <si>
    <r>
      <rPr>
        <sz val="14"/>
        <color rgb="FF000000"/>
        <rFont val="Times New Roman"/>
        <family val="1"/>
      </rPr>
      <t xml:space="preserve">2000003163 - 453.T06.2025/HPDQ-HANWA (VNO) (đã có LC) - XUẤT HẾT
</t>
    </r>
    <r>
      <rPr>
        <sz val="14"/>
        <color rgb="FFFF0000"/>
        <rFont val="Times New Roman"/>
        <family val="1"/>
      </rPr>
      <t>DỠ CẨM NGUYÊN -&gt; LONG BÌNH</t>
    </r>
  </si>
  <si>
    <t>09.08.2025
Dỡ phế liệu -&gt; nhận HRC</t>
  </si>
  <si>
    <t>08/08 Bến 3/5</t>
  </si>
  <si>
    <t>2000003166 - 421.T05.2025/HPDQ-TVN lot 7 (TVN) (tách lot với lệnh 3165) - 5800t - lệnh ok, cho đi trước 4800t - 3165 - 3166 cho về cách nhau 1 -2 ngày để khách họ kịp lấy hàng ạ</t>
  </si>
  <si>
    <t>2200002107 - 2107.T08.2025/HPDQ-SPTLA-NKH 46TAN đi Cẩm Nguyên HRC2</t>
  </si>
  <si>
    <t>HRC 2 - HÀNG STOCK - Hàng hóa ok</t>
  </si>
  <si>
    <t>09.08.2025
Dỡ đá -&gt; nhận HRC</t>
  </si>
  <si>
    <t>10/08 Bến 2</t>
  </si>
  <si>
    <t>2200002105 - 2105.T08.2025/HPDQ-OTHY-NKH 1580TAN đi Hải Phòng HRC2</t>
  </si>
  <si>
    <t>HRC 2 - HÀNG STOCK, đã map 1537t chốt SO hết hàng tồn kho</t>
  </si>
  <si>
    <t>10-11.08.2025
Dỡ đá -&gt; nhận HRC</t>
  </si>
  <si>
    <t>10/08 Bến 5</t>
  </si>
  <si>
    <t>2200002106 - 2106.T08.2025/HPDQ-OTHY-NKH 502TAN đi Hải Phòng HRC2</t>
  </si>
  <si>
    <t>HRC 2 - HÀNG STOCK, đã map 459t chốt SO do hết tồn kho</t>
  </si>
  <si>
    <t>2200002108 - 2111.T08.2025/HPDQ-OTHY-NKH 4497TAN đi Hải Phòng HRC2 - CÂN TẢI</t>
  </si>
  <si>
    <t>HRC 2 - Hàng stock - hàng hóa ok</t>
  </si>
  <si>
    <t>2000003033 - 445.T05.2025/HPDQ-TMPHD-KH (SX) 100TAN HRC2 đi Hải Phòng</t>
  </si>
  <si>
    <t>2200002065 - 2065.T06.2025/HPDQ-THP-KH 6515TAN đi Hải Phòng HRC2</t>
  </si>
  <si>
    <t xml:space="preserve">HRC 2 </t>
  </si>
  <si>
    <t>12-13.05.2025</t>
  </si>
  <si>
    <t>07h00 12/08 Bến 3/5</t>
  </si>
  <si>
    <t>2000003103 - 421.T05.2025/HPDQ-TVN lot 4 (NĐ) - Lệnh ok - 4000t</t>
  </si>
  <si>
    <t>2000003143 - 497B5.T05.2025/HPDQ-MISV-KH - 2500T  lệnh ok - ưu tiên dỡ Phú Mỹ - 5k3t khách xin dỡ hàng trong 36 tiếng hoặc tách lot với lệnh 3142</t>
  </si>
  <si>
    <t>2000003190 - 481C.T07.2025/HPDQ-TVN-KH (Thép Việt Nhật) 2500t -lệnh ok -  - KO MAP THÊM - đi càng sớm càng tốt</t>
  </si>
  <si>
    <t>HRC 1 - hàng hóa ok (lấy tồn từ SO 2000003063)</t>
  </si>
  <si>
    <r>
      <rPr>
        <sz val="14"/>
        <color rgb="FF000000"/>
        <rFont val="Times New Roman"/>
        <family val="1"/>
      </rPr>
      <t xml:space="preserve">2000003145 - 477F.T07.2025/HPDQ-KD - LSD 15/8 </t>
    </r>
    <r>
      <rPr>
        <sz val="14"/>
        <color rgb="FFFF0000"/>
        <rFont val="Times New Roman"/>
        <family val="1"/>
      </rPr>
      <t>- RA HÀNG XUẤT HÓA ĐƠN MUỘN NHẤT 15/8</t>
    </r>
  </si>
  <si>
    <r>
      <rPr>
        <sz val="14"/>
        <color rgb="FF000000"/>
        <rFont val="Times New Roman"/>
        <family val="1"/>
      </rPr>
      <t xml:space="preserve">2000003173 - 477C.T07.2025/HPDQ-KD - LSD 15/8 </t>
    </r>
    <r>
      <rPr>
        <sz val="14"/>
        <color rgb="FFFF0000"/>
        <rFont val="Times New Roman"/>
        <family val="1"/>
      </rPr>
      <t>- RA HÀNG XUẤT HÓA ĐƠN MUỘN NHẤT 15/8 (CW 27-28T)</t>
    </r>
  </si>
  <si>
    <r>
      <rPr>
        <sz val="14"/>
        <color rgb="FF000000"/>
        <rFont val="Times New Roman"/>
        <family val="1"/>
      </rPr>
      <t xml:space="preserve">2000003129 - 451B.T06.2025/HPDQ-NK - giao nốt tồn - </t>
    </r>
    <r>
      <rPr>
        <sz val="14"/>
        <color rgb="FFFF0000"/>
        <rFont val="Times New Roman"/>
        <family val="1"/>
      </rPr>
      <t>RA HÀNG XUẤT HÓA ĐƠN MUỘN NHẤT 15/8</t>
    </r>
  </si>
  <si>
    <r>
      <rPr>
        <sz val="14"/>
        <color rgb="FF000000"/>
        <rFont val="Times New Roman"/>
        <family val="1"/>
      </rPr>
      <t xml:space="preserve">2000003130 - 451B.T06.2025/HPDQ-NK - giao nốt tồn - </t>
    </r>
    <r>
      <rPr>
        <sz val="14"/>
        <color rgb="FFFF0000"/>
        <rFont val="Times New Roman"/>
        <family val="1"/>
      </rPr>
      <t>RA HÀNG XUẤT HÓA ĐƠN MUỘN NHẤT 15/8</t>
    </r>
  </si>
  <si>
    <t>HRC 1 - Hàng hóa ok
còn lại 258t</t>
  </si>
  <si>
    <t>2200002109 - 2112.T08.2025/HPDQ-OTBD-NKH 93TAN đi Tân Thuận HRC2</t>
  </si>
  <si>
    <r>
      <rPr>
        <sz val="14"/>
        <color rgb="FF000000"/>
        <rFont val="Times New Roman"/>
        <family val="1"/>
      </rPr>
      <t xml:space="preserve">2000003082 - 477D.T07.2025/HPDQ-KD - 5kt - LSD 30/8 
</t>
    </r>
    <r>
      <rPr>
        <sz val="14"/>
        <color rgb="FFFF0000"/>
        <rFont val="Times New Roman"/>
        <family val="1"/>
      </rPr>
      <t>(CW 27-28T) - LƯU Ý XẾP DỠ HÀNG HÓA</t>
    </r>
  </si>
  <si>
    <r>
      <rPr>
        <sz val="14"/>
        <color rgb="FF000000"/>
        <rFont val="Times New Roman"/>
        <family val="1"/>
      </rPr>
      <t xml:space="preserve">2000003174 - 477D.T07.2025/HPDQ-KD - giao nốt 1 cuộn tồn 
</t>
    </r>
    <r>
      <rPr>
        <sz val="14"/>
        <color rgb="FFFF0000"/>
        <rFont val="Times New Roman"/>
        <family val="1"/>
      </rPr>
      <t xml:space="preserve">(CW 27-28T) - LƯU Ý XẾP DỠ HÀNG HÓA
</t>
    </r>
    <r>
      <rPr>
        <sz val="14"/>
        <color rgb="FF000000"/>
        <rFont val="Times New Roman"/>
        <family val="1"/>
      </rPr>
      <t xml:space="preserve">
</t>
    </r>
    <r>
      <rPr>
        <b/>
        <sz val="14"/>
        <color rgb="FFFF0000"/>
        <rFont val="Times New Roman"/>
        <family val="1"/>
      </rPr>
      <t>DỠ PHÚ MỸ -&gt; TÂN THUẬN</t>
    </r>
  </si>
  <si>
    <t>13.08.2025</t>
  </si>
  <si>
    <t>14/8 bến 5</t>
  </si>
  <si>
    <t>HRC 1 - HÀNG CÒN TỒN XUẤT NỐT</t>
  </si>
  <si>
    <t>2200002091 - 2091.T07.2025 HPDQ-OTHY-KH 3500TAN đi Hải Phòng HRC1</t>
  </si>
  <si>
    <t>2200002101 - 2101.T08.2025/HPDQ-OTHY-NKH 1781TAN đi Hải Phòng HRC1</t>
  </si>
  <si>
    <t>2200002115 - 2114.T08.2025/HPDQ-THP-NKH 2430TAN đi Hải Phòng HRC1</t>
  </si>
  <si>
    <t>HRC 1 - HÀNG STOCK
Hàng hóa ok - chốt hụt 1 cuộn</t>
  </si>
  <si>
    <t>2200002116 - 2115.T08.2025/HPDQ-OTHY-NKH 2127TAN đi Hải Phòng HRC1</t>
  </si>
  <si>
    <t xml:space="preserve">HRC 1 - HÀNG STOCK
Hàng hóa ok </t>
  </si>
  <si>
    <t>2200002117 - 2116.T08.2025/HPDQ-OTHY-NKH 1821TAN đi Hải Phòng HRC1</t>
  </si>
  <si>
    <t>2200002118 - 2117.T08.2025/HPDQ-THP-NKH 2771TAN đi Hải Phòng HRC2</t>
  </si>
  <si>
    <t>14-15.08.2025
Từ Quy Nhơn về</t>
  </si>
  <si>
    <t>2200002110 - 2113.T08.2025/HPDQ-SPTLA-NKH 187TAN đi Long An HRC2</t>
  </si>
  <si>
    <t>HRC 2 - hàng stock- hàng hóa ok</t>
  </si>
  <si>
    <t>2000003177 - 338E.T03.2025/HPDQ-QHP (có LC ) - 3.000t - LSD:: 25/08</t>
  </si>
  <si>
    <t xml:space="preserve">2000003165 - 439.T05.2025/HPDQ-KKNH lot 1 (TVN) (lệnh ok) - 4600t </t>
  </si>
  <si>
    <t>2000003166 - 421.T05.2025/HPDQ-TVN lot 7 (TVN) - lệnh ok</t>
  </si>
  <si>
    <t>11-12.08.2025
Từ nam về</t>
  </si>
  <si>
    <t>15/8 Bến 3/5</t>
  </si>
  <si>
    <t>2000003155 - 472B.T07.2025/HPDQ-HSQN - tổng đơn 5,440 tấn - lệnh OK</t>
  </si>
  <si>
    <r>
      <rPr>
        <sz val="14"/>
        <color rgb="FF000000"/>
        <rFont val="Times New Roman"/>
        <family val="1"/>
      </rPr>
      <t xml:space="preserve">2000003142 - 497B4.T05.2025/HPDQ-OTSG-KH - 2800t lệnh ok - ưu tiên dỡ Phú Mỹ - xuất theo đúng list coil đã gửi, không thay đổi lượng - </t>
    </r>
    <r>
      <rPr>
        <b/>
        <sz val="14"/>
        <color rgb="FFFF0000"/>
        <rFont val="Times New Roman"/>
        <family val="1"/>
      </rPr>
      <t>xếp đầu tiên tại DQ để dỡ cuối cùng tại PM ạ</t>
    </r>
  </si>
  <si>
    <t>2200002095 -  536A.T08.2025/HPDQ-HPC-KH 1670TAN HRC2</t>
  </si>
  <si>
    <t>HRC 2 - Đã map 612t</t>
  </si>
  <si>
    <t>2200002097 - 536B.T08.2025/HPDQ-HPC-KH 7400TAN HRC2</t>
  </si>
  <si>
    <t>HRC 2 - Đã map 871t</t>
  </si>
  <si>
    <r>
      <rPr>
        <sz val="14"/>
        <color rgb="FF000000"/>
        <rFont val="Times New Roman"/>
        <family val="1"/>
      </rPr>
      <t>2000003095</t>
    </r>
    <r>
      <rPr>
        <b/>
        <sz val="14"/>
        <color rgb="FF000000"/>
        <rFont val="Times New Roman"/>
        <family val="1"/>
      </rPr>
      <t xml:space="preserve"> - </t>
    </r>
    <r>
      <rPr>
        <sz val="14"/>
        <color rgb="FF000000"/>
        <rFont val="Times New Roman"/>
        <family val="1"/>
      </rPr>
      <t xml:space="preserve">421.T05.2025/HPDQ-TVN lot 5 - 3000t - lệnh ok xuất vừa đủ, </t>
    </r>
    <r>
      <rPr>
        <sz val="18"/>
        <color rgb="FFFF0000"/>
        <rFont val="Times New Roman"/>
        <family val="1"/>
      </rPr>
      <t>dung sai tổng không vượt quá 5%</t>
    </r>
  </si>
  <si>
    <r>
      <rPr>
        <sz val="14"/>
        <color rgb="FF000000"/>
        <rFont val="Times New Roman"/>
        <family val="1"/>
      </rPr>
      <t xml:space="preserve">2000003127 - 473B.T07.2025/HPDQ-HSPM - tổng đơn 14,230 tấn - lệnh ok
</t>
    </r>
    <r>
      <rPr>
        <sz val="14"/>
        <color rgb="FFFF0000"/>
        <rFont val="Times New Roman"/>
        <family val="1"/>
      </rPr>
      <t>DỠ QUY NHƠN -&gt; PHÚ MỸ</t>
    </r>
  </si>
  <si>
    <t>14.08.2025
NEO</t>
  </si>
  <si>
    <t>05:00 16/8 bến 6</t>
  </si>
  <si>
    <t>2000003127 - 473B.T07.2025/HPDQ-HSPM - tổng đơn 14,230 tấn - lệnh ok</t>
  </si>
  <si>
    <t>2000003169 - 421.T05.2025/HPDQ-TVN lot 9 - 3000T - lệnh ok</t>
  </si>
  <si>
    <t>16.08.2025
NEO</t>
  </si>
  <si>
    <t>18/08 bến 5</t>
  </si>
  <si>
    <t>Trả hàng trước nghỉ lễ</t>
  </si>
  <si>
    <t>2000003196 - 521.T08.2025/HPDQ-TN - đã có LC</t>
  </si>
  <si>
    <t>16-17.08.2025
Dỡ đá -&gt; nhận HRC</t>
  </si>
  <si>
    <t>18-19/8 bến 2</t>
  </si>
  <si>
    <t>2000003195 - 513E.T08.2025/HPDQ-VINAS-KH - tổng đơn 1,000 tấn</t>
  </si>
  <si>
    <t>2200002120- 2119.T08.2025/HPDQ-SPTLA-NKH 1212TAN đi Long An HRC2</t>
  </si>
  <si>
    <t>HRC 2 - CHỈ CÓ 868 TẤN</t>
  </si>
  <si>
    <t>2200002119 - 2118.T08.2025/HPDQ-OTBD-NKH 2713TAN đi Long Bình HRC2 - CÂN TẢI</t>
  </si>
  <si>
    <t>HRC 2 - CHỈ CÓ 1.930 TẤN</t>
  </si>
  <si>
    <t>17-18.08.2025
Từ Quy Nhơn về</t>
  </si>
  <si>
    <t>19/08 Bến 2</t>
  </si>
  <si>
    <t>2000003101 - 439.T05.2025/HPDQ-KKNH (TVN) lot 2 - 4000t - lệnh ok 
(nhận muộn nhất ngày 30)</t>
  </si>
  <si>
    <t>18.08.2025
NEO</t>
  </si>
  <si>
    <t>19/8 bến 3/5</t>
  </si>
  <si>
    <t>Muộn nhất 23/8 phải xong để còn trả hàng trước nghỉ lễ</t>
  </si>
  <si>
    <r>
      <rPr>
        <b/>
        <sz val="14"/>
        <color rgb="FF000000"/>
        <rFont val="Times New Roman"/>
        <family val="1"/>
      </rPr>
      <t xml:space="preserve">2000003193 - 513C.T08.2025/HPDQ-HANOIS-KH - tổng đơn 2,000 tấn 
</t>
    </r>
    <r>
      <rPr>
        <sz val="14"/>
        <color rgb="FFFF0000"/>
        <rFont val="Times New Roman"/>
        <family val="1"/>
      </rPr>
      <t>(Khách nhận hàng hết 28/8)</t>
    </r>
  </si>
  <si>
    <t>HRC 2 - ĐÃ MAP 1.975 TẤN, chốt SO</t>
  </si>
  <si>
    <r>
      <rPr>
        <sz val="14"/>
        <color rgb="FF000000"/>
        <rFont val="Times New Roman"/>
      </rPr>
      <t xml:space="preserve">2000003230 - 377F.T04.2025/HPDQ-QHP (đã có LC) - LSD: 05/09 - 3.000T
</t>
    </r>
    <r>
      <rPr>
        <sz val="14"/>
        <color rgb="FFFF0000"/>
        <rFont val="Times New Roman"/>
      </rPr>
      <t>(Khách nhận hàng hết 28/8)</t>
    </r>
  </si>
  <si>
    <t>2000003227 - 526.T08.2025/HPDQ-TL (Thanh toán TT: 20/08)</t>
  </si>
  <si>
    <r>
      <rPr>
        <sz val="14"/>
        <color rgb="FF000000"/>
        <rFont val="Times New Roman"/>
      </rPr>
      <t xml:space="preserve">2000003179 - 413B.T05.2025/HPDQ-TVP - 5.200 tấn - lệnh ok - 
</t>
    </r>
    <r>
      <rPr>
        <sz val="14"/>
        <color rgb="FFFF0000"/>
        <rFont val="Times New Roman"/>
      </rPr>
      <t xml:space="preserve">(Khách nhận hàng hết 30/8)
</t>
    </r>
    <r>
      <rPr>
        <b/>
        <sz val="14"/>
        <color rgb="FFFF0000"/>
        <rFont val="Times New Roman"/>
      </rPr>
      <t>DỠ TÂN THUẬN -&gt; POSCO</t>
    </r>
  </si>
  <si>
    <r>
      <rPr>
        <b/>
        <sz val="14"/>
        <color rgb="FF7030A0"/>
        <rFont val="Times New Roman"/>
        <family val="1"/>
      </rPr>
      <t xml:space="preserve">HRC 1 Hàng hóa ok
</t>
    </r>
    <r>
      <rPr>
        <b/>
        <sz val="14"/>
        <color rgb="FFFF0000"/>
        <rFont val="Times New Roman"/>
        <family val="1"/>
      </rPr>
      <t>Nếu xuất không hết mapping để lại size 2.00x126x sae1006</t>
    </r>
  </si>
  <si>
    <t>17.08.2025
Dỡ đá -&gt; nhận HRC</t>
  </si>
  <si>
    <t>20/8 BTL</t>
  </si>
  <si>
    <t>2200002084 - 2083.T07.2025/HPDQ-THP-KH 7000TAN đi Hải Phòng HRC1 - CÂN TẢI LỆNH NÀY</t>
  </si>
  <si>
    <r>
      <rPr>
        <sz val="14"/>
        <color rgb="FF000000"/>
        <rFont val="Times New Roman"/>
        <family val="1"/>
      </rPr>
      <t xml:space="preserve">2200002121 - 2120.T08.2025/HPDQ-OTHY-NKH 1207TAN đi Hải Phòng HRC2
</t>
    </r>
    <r>
      <rPr>
        <sz val="14"/>
        <color rgb="FFFF0000"/>
        <rFont val="Times New Roman"/>
        <family val="1"/>
      </rPr>
      <t>ĐỂ LẠI NHỮNG CUỘN &gt;28 TẤN</t>
    </r>
  </si>
  <si>
    <t>HRC 2 - CHỐT HÀNG HÓA</t>
  </si>
  <si>
    <r>
      <rPr>
        <sz val="14"/>
        <color rgb="FF000000"/>
        <rFont val="Times New Roman"/>
        <family val="1"/>
      </rPr>
      <t xml:space="preserve">2200002123 - 2122.T08.2025/HPDQ-OTHY-NKH 816TAN đi Hải Phòng HRC2
</t>
    </r>
    <r>
      <rPr>
        <sz val="14"/>
        <color rgb="FFFF0000"/>
        <rFont val="Times New Roman"/>
        <family val="1"/>
      </rPr>
      <t>ĐỂ LẠI NHỮNG CUỘN &gt;28 TẤN</t>
    </r>
  </si>
  <si>
    <t>HRC 2 -HÀNG HÓA OK</t>
  </si>
  <si>
    <t>20/08 Bến 3/5</t>
  </si>
  <si>
    <t>2000003207 - 518B.T08.2025/HPDQ-HSPM-KH - tổng đơn 4,510 tấn - lệnh ok
GIAO ĐỦ DUNG SAI, các size, tổng đơn</t>
  </si>
  <si>
    <t>2000003191 - 513A2.T08.2025/HPDQ-HANOIS-KH - tổng đơn 5,000 tấn</t>
  </si>
  <si>
    <r>
      <rPr>
        <sz val="14"/>
        <color rgb="FF000000"/>
        <rFont val="Times New Roman"/>
        <family val="1"/>
      </rPr>
      <t xml:space="preserve">2000003208 - 477D.T07.2025/HPDQ-KD - LSD 30/8 - </t>
    </r>
    <r>
      <rPr>
        <sz val="14"/>
        <color rgb="FFFF0000"/>
        <rFont val="Times New Roman"/>
        <family val="1"/>
      </rPr>
      <t>nhận hàng muộn nhất 29/08</t>
    </r>
  </si>
  <si>
    <r>
      <rPr>
        <sz val="14"/>
        <color rgb="FF000000"/>
        <rFont val="Times New Roman"/>
        <family val="1"/>
      </rPr>
      <t>2000003176 - 338G.T03.2025/HPDQ-QHP (giao nhịp 2 - nếu kịp)</t>
    </r>
    <r>
      <rPr>
        <sz val="14"/>
        <color rgb="FFFF0000"/>
        <rFont val="Times New Roman"/>
        <family val="1"/>
      </rPr>
      <t xml:space="preserve"> - LSD:: 25/08
</t>
    </r>
    <r>
      <rPr>
        <sz val="14"/>
        <color rgb="FF000000"/>
        <rFont val="Times New Roman"/>
        <family val="1"/>
      </rPr>
      <t>Đi chung đơn 338G</t>
    </r>
  </si>
  <si>
    <r>
      <rPr>
        <sz val="14"/>
        <color rgb="FF000000"/>
        <rFont val="Times New Roman"/>
        <family val="1"/>
      </rPr>
      <t xml:space="preserve">2000003175 - 338G.T03.2025/HPDQ-QHP (giao nhịp 2 - nếu kịp) </t>
    </r>
    <r>
      <rPr>
        <sz val="14"/>
        <color rgb="FFFF0000"/>
        <rFont val="Times New Roman"/>
        <family val="1"/>
      </rPr>
      <t>- LSD:: 25/08</t>
    </r>
    <r>
      <rPr>
        <sz val="14"/>
        <color rgb="FF000000"/>
        <rFont val="Times New Roman"/>
        <family val="1"/>
      </rPr>
      <t xml:space="preserve"> - đã có LC
Đi chung đơn 338G
</t>
    </r>
    <r>
      <rPr>
        <b/>
        <sz val="14"/>
        <color rgb="FFFF0000"/>
        <rFont val="Times New Roman"/>
        <family val="1"/>
      </rPr>
      <t>DỠ TÂN THUẬN -&gt; PHÚ MỸ</t>
    </r>
  </si>
  <si>
    <t>20-21.08.2025</t>
  </si>
  <si>
    <t>21/8 BẾN 1</t>
  </si>
  <si>
    <t>Muộn nhất 22/8 phải xong để còn trả hàng trước nghỉ lễ</t>
  </si>
  <si>
    <t>2000003180 - 413B.T05.2025/HPDQ-TVP - 300 tấn - lệnh ok
(khách làm việc hết 30/8)</t>
  </si>
  <si>
    <t>2000003198 - 413B.T05.2025/HPDQ-TVP - 4.500 tấn - lệnh ok 
(khách làm việc hết 30/8)</t>
  </si>
  <si>
    <r>
      <rPr>
        <sz val="14"/>
        <color rgb="FF000000"/>
        <rFont val="Times New Roman"/>
      </rPr>
      <t xml:space="preserve">2200002114 - 2110.T07.2025/HPDQ-SPTLA-KH 4500TAN - </t>
    </r>
    <r>
      <rPr>
        <b/>
        <sz val="14"/>
        <color rgb="FFFF0000"/>
        <rFont val="Times New Roman"/>
      </rPr>
      <t>Cân tải</t>
    </r>
  </si>
  <si>
    <t>2000003229- 525.T08.2025/HPDQ-QM (đã có LC)</t>
  </si>
  <si>
    <r>
      <rPr>
        <sz val="14"/>
        <color rgb="FF000000"/>
        <rFont val="Times New Roman"/>
        <family val="1"/>
      </rPr>
      <t xml:space="preserve">2000003231 - 377G.T04.2025/HPDQ-QHP (đã có LC) </t>
    </r>
    <r>
      <rPr>
        <sz val="14"/>
        <color rgb="FFFF0000"/>
        <rFont val="Times New Roman"/>
        <family val="1"/>
      </rPr>
      <t xml:space="preserve"> - LSD: 05/09 - 2.000T
Muộn nhất 28/8 nhận hàng</t>
    </r>
  </si>
  <si>
    <r>
      <rPr>
        <sz val="14"/>
        <color rgb="FF000000"/>
        <rFont val="Times New Roman"/>
      </rPr>
      <t xml:space="preserve">2200002119 - 2118.T08.2025/HPDQ-OTBD-NKH 2713TAN đi Long Bình HRC2 
</t>
    </r>
    <r>
      <rPr>
        <sz val="14"/>
        <color rgb="FFFF0000"/>
        <rFont val="Times New Roman"/>
      </rPr>
      <t>DỠ THEO THUẬN LỢI CHO HẢI TRÌNH TÀU</t>
    </r>
  </si>
  <si>
    <t>21/08 bến 5</t>
  </si>
  <si>
    <t>Đã làm hàng xong tại DQ. Đang neo trú chờ giảm gió để chạy</t>
  </si>
  <si>
    <t>2200002085 - 2084.T07.2025/HPDQ-THP-KH 10500TAN đi Hải Phòng HRC2 - cân tải</t>
  </si>
  <si>
    <t>2000003247 - 505.T08.2025/HPDQ-TVĐ-KH - 1kt - LSD: 31/08 - đã có LC - lệnh oke</t>
  </si>
  <si>
    <r>
      <rPr>
        <sz val="14"/>
        <color rgb="FF000000"/>
        <rFont val="Times New Roman"/>
        <family val="1"/>
      </rPr>
      <t xml:space="preserve">2000003194 - 513D.T08.2025/HPDQ-HANOIS-KH - tổng đơn 4,400 tấn 
</t>
    </r>
    <r>
      <rPr>
        <sz val="14"/>
        <color rgb="FFFF0000"/>
        <rFont val="Times New Roman"/>
        <family val="1"/>
      </rPr>
      <t>LỆNH NÀY CW 27-30 TẤN, LƯU Ý KHI XẾP / DỠ HÀNG</t>
    </r>
  </si>
  <si>
    <t>19-20.08.2025</t>
  </si>
  <si>
    <t>22/8 bến 2</t>
  </si>
  <si>
    <t>2000003198 - 413B.T05.2025/HPDQ-TVP - 4.500 tấn - lệnh ok
(khách làm việc hết 30/8)</t>
  </si>
  <si>
    <r>
      <rPr>
        <b/>
        <sz val="14"/>
        <color rgb="FF7030A0"/>
        <rFont val="Times New Roman"/>
      </rPr>
      <t xml:space="preserve">HRC 1 Hàng hóa ok
</t>
    </r>
    <r>
      <rPr>
        <b/>
        <sz val="14"/>
        <color rgb="FFFF0000"/>
        <rFont val="Times New Roman"/>
      </rPr>
      <t>Nếu xuất không hết để loại size 2.30x126x cw&lt;23t</t>
    </r>
  </si>
  <si>
    <t>20-21.08.2025
Dỡ đá -&gt; nhận HRC</t>
  </si>
  <si>
    <t>21/8 BẾN 3</t>
  </si>
  <si>
    <t>2200002111 - 2108.T07.2025/HPDQ-OTHY-KH 300TAN đi Hải Phòng HRC2</t>
  </si>
  <si>
    <t>2200002122 - 2121.T08.2025/HPDQ-OTHY-NKH 2088TAN đi Hải Phòng HRC2</t>
  </si>
  <si>
    <t>2200002123 - 2122.T08.2025/HPDQ-OTHY-NKH 816TAN đi Hải Phòng HRC2</t>
  </si>
  <si>
    <t>2000003226 - 506.T08.2025/HPDQ-MV-KH lệnh ok</t>
  </si>
  <si>
    <t>HRC 2 - Đã map 472t, chốt SO</t>
  </si>
  <si>
    <t>2200002134 - 0005.T08.2025/HPDQ-OTHY-NKH 614TAN đi Hải Phòng HRC2 - XUẤT HẾT
(Thay cho lệnh 22*2112)</t>
  </si>
  <si>
    <t>2000003183 - 539A2.T07.2025/HPDQ-TMPHD-KH 2100TAN đi HP HRC2</t>
  </si>
  <si>
    <t>22.08.2025
Từ Nghi Sơn về</t>
  </si>
  <si>
    <t>23/8 Bến 1</t>
  </si>
  <si>
    <t>Muộn nhất 24/8 phải xong để còn trả hàng trước nghỉ lễ</t>
  </si>
  <si>
    <r>
      <rPr>
        <b/>
        <sz val="14"/>
        <color rgb="FF000000"/>
        <rFont val="Times New Roman"/>
      </rPr>
      <t xml:space="preserve">2000003224 - 457.T06.2025/HPDQ-VISA (NĐ) - cuối ngày 22/8 có lệnh
</t>
    </r>
    <r>
      <rPr>
        <b/>
        <sz val="14"/>
        <color rgb="FFFF0000"/>
        <rFont val="Times New Roman"/>
      </rPr>
      <t>22/8 khách thanh toán</t>
    </r>
  </si>
  <si>
    <t>HRC 2 - Đã map 450t, chốt SO</t>
  </si>
  <si>
    <t>2000003163 - 453.T06.2025/HPDQ-HANWA(VNO) - đã có LC - giao đầu nhịp 3 - 4.000T (Muộn nhất 30/8 nhận hàng)</t>
  </si>
  <si>
    <t>20.08.2025
Dỡ hàng từ Quy Nhơn về</t>
  </si>
  <si>
    <t>23/08 bến tl</t>
  </si>
  <si>
    <r>
      <rPr>
        <sz val="14"/>
        <color rgb="FF000000"/>
        <rFont val="Times New Roman"/>
      </rPr>
      <t xml:space="preserve">2000003209 - 439.T05.2025/HPDQ-KKNH (TVN) lot 3 - 4000t - lệnh ok 
(Nhận muộn nhất ngày 30) - xuất hết size 2.75  LSD 31/8
</t>
    </r>
    <r>
      <rPr>
        <sz val="14"/>
        <color rgb="FFFF0000"/>
        <rFont val="Times New Roman"/>
      </rPr>
      <t>DỠ THIÊN LỘC THÀNH =&gt; CẨM NGUYÊN</t>
    </r>
  </si>
  <si>
    <t>SEAGULL VICTORY</t>
  </si>
  <si>
    <t>23.08
Laycan 15-20/08/2025</t>
  </si>
  <si>
    <t>25-26/08 Bến 6</t>
  </si>
  <si>
    <t>2400001265 - 111.T08-25/HPDQ-GS - S275 NONSKIN - Hương</t>
  </si>
  <si>
    <t>Ưu tiên NK muộn nhất 20/8</t>
  </si>
  <si>
    <t>2400001266 - 111.T08-25/HPDQ-GS - S275 SKIN - Hương</t>
  </si>
  <si>
    <t>HRC 2 - Hàng hóa ok - đã map 1035t</t>
  </si>
  <si>
    <t>2400001244 - 112.T08-25/HPDQ-GS - SPHC - HẰNG</t>
  </si>
  <si>
    <t>HRC 2 - Hàng hóa ok - đã map 59t</t>
  </si>
  <si>
    <t>2400001247 - 112.T08-25/HPDQ-GS - S275JR SKIN - HẰNG</t>
  </si>
  <si>
    <t>HRC 2 - Đã map 38t, chốt SO</t>
  </si>
  <si>
    <t>2400001246 - 112.T08-25/HPDQ-GS - S275JR NON-SKIN - HẰNG</t>
  </si>
  <si>
    <t>HRC 2 - Đã map 161t, hết tồn kho</t>
  </si>
  <si>
    <t>2400001267 - 113.T08-25/HPDQ-GS - SKINPASS - GIANG</t>
  </si>
  <si>
    <t>HRC 2 - Hàng hóa ok - Đã map 514t</t>
  </si>
  <si>
    <t>2400001268 - 113.T08-25/HPDQ-GS - NON SKINPASS - GIANG</t>
  </si>
  <si>
    <t>HRC 2 - Hàng hóa ok - Đã map 917t</t>
  </si>
  <si>
    <t>2400001255 - 114A.T08-25/HPDQ-GS - LINH (S275JR NON-SKIN)</t>
  </si>
  <si>
    <t>2400001262 - 114B.T08-25/HPDQ-GS (LOT 1)- LINH (S275JR NON-SKIN)</t>
  </si>
  <si>
    <t>HRC 2 - Hàng hóa ok - Đã map 772t</t>
  </si>
  <si>
    <t>2400001256 - 114B.T08-25/HPDQ-GS (LOT 1)- LINH (S275JR SKIN)</t>
  </si>
  <si>
    <t>2400001263 - 114B.T08-25/HPDQ-GS (LOT 1)- LINH (S355JR NON-SKIN)</t>
  </si>
  <si>
    <t>HRC 2 - Hàng hóa ok, Đã map 346t</t>
  </si>
  <si>
    <t>2400001264 - 114B.T08-25/HPDQ-GS (LOT 2)- LINH (S355JR NON-SKIN)</t>
  </si>
  <si>
    <t>HRC 2 - Hàng hóa ok - Đã map 184t</t>
  </si>
  <si>
    <t>2400001257 - 114B.T08-25/HPDQ-GS (LOT 2)- LINH (S275JR NON-SKIN)</t>
  </si>
  <si>
    <t>HRC 2 - Hàng hóa ok, Đã map 634t</t>
  </si>
  <si>
    <t>2400001245 - 115.T08-25/HPDQ-GS - SPHC - HẰNG</t>
  </si>
  <si>
    <t>HRC 2 - Hàng hóa ok - Đã map 214t</t>
  </si>
  <si>
    <t>2400001249 - 115.T08-25/HPDQ-GS - SPHT1 - HẰNG</t>
  </si>
  <si>
    <t>HRC 2 - Hàng hóa ok - Đã map 215t</t>
  </si>
  <si>
    <t>24.08.2025
Chạy rỗng từ nam về</t>
  </si>
  <si>
    <t>24/8 bến 3</t>
  </si>
  <si>
    <t>Đang làm hàng, 26/8 load xong hàng trả trước nghỉ lễ</t>
  </si>
  <si>
    <r>
      <rPr>
        <b/>
        <sz val="14"/>
        <color rgb="FF000000"/>
        <rFont val="Times New Roman"/>
      </rPr>
      <t xml:space="preserve">2200002112 - 2108.T07.2025/HPDQ-OTHY-KH 6400TAN đi Hải Phòng HRC1
</t>
    </r>
    <r>
      <rPr>
        <sz val="14"/>
        <color rgb="FFFF0000"/>
        <rFont val="Times New Roman"/>
      </rPr>
      <t>(Muộn nhất 30/8 nhận hàng)</t>
    </r>
  </si>
  <si>
    <t>HRC 1 Hàng hóa ok
đã map 6574t</t>
  </si>
  <si>
    <r>
      <rPr>
        <sz val="14"/>
        <color rgb="FF000000"/>
        <rFont val="Times New Roman"/>
      </rPr>
      <t xml:space="preserve">2200002133 - 0004.T08.2025/HPDQ-OTHY-NKH 3373AN đi Hải Phòng HRC2
</t>
    </r>
    <r>
      <rPr>
        <sz val="14"/>
        <color rgb="FFFF0000"/>
        <rFont val="Times New Roman"/>
      </rPr>
      <t>(Muộn nhất 30/8 nhận hàng)</t>
    </r>
  </si>
  <si>
    <t>17.08.2025
NEO</t>
  </si>
  <si>
    <t>24/8 bến 3/5</t>
  </si>
  <si>
    <t>Load hàng trong tháng, trả sau nghỉ lễ</t>
  </si>
  <si>
    <r>
      <rPr>
        <b/>
        <sz val="14"/>
        <color rgb="FF000000"/>
        <rFont val="Times New Roman"/>
      </rPr>
      <t xml:space="preserve">2000003202 - 502.T08.2025/HPDQ-PVN(OTMN)-KH - lệnh ok
</t>
    </r>
    <r>
      <rPr>
        <b/>
        <sz val="14"/>
        <color rgb="FFFF0000"/>
        <rFont val="Times New Roman"/>
      </rPr>
      <t>XUẤT SIZE 2.75x121Y</t>
    </r>
  </si>
  <si>
    <t>2000003182 - 539A1.T07.2025/HPDQ-TMPHD-KH 10.000 TAN đi HP HRC1</t>
  </si>
  <si>
    <r>
      <rPr>
        <sz val="14"/>
        <color rgb="FF000000"/>
        <rFont val="Times New Roman"/>
      </rPr>
      <t xml:space="preserve">2200002121 - 2120.T08.2025/HPDQ-OTHY-NKH 1207TAN đi Hải Phòng HRC2
</t>
    </r>
    <r>
      <rPr>
        <sz val="14"/>
        <color rgb="FFFF0000"/>
        <rFont val="Times New Roman"/>
      </rPr>
      <t>XUẤT NỐT NHỮNG CUỘN &gt;28 TẤN CÒN LẠI LÊN ĐÂY</t>
    </r>
  </si>
  <si>
    <t>2200002130 - 0003.T08.2025/HPDQ-OTHY-NKH 1043TAN đi Hải Phòng HRC1</t>
  </si>
  <si>
    <t>2200002131 - 0003.T08.2025/HPDQ-OTHY-NKH 2035TAN đi Hải Phòng HRC2</t>
  </si>
  <si>
    <t>2200002132 - 0004.T08.2025/HPDQ-OTHY-NKH 236TAN đi Hải Phòng HRC1</t>
  </si>
  <si>
    <t>2200002127 - 0001.T08.2025/HPDQ-THP-NKH 1578TAN đi Hải Phòng HRC2</t>
  </si>
  <si>
    <t>2200002126 - 0001.T08.2025/HPDQ-THP-NKH 2385TAN đi Hải Phòng HRC1
(Không nhận hàng trong lễ)</t>
  </si>
  <si>
    <t>2200002084 - 2083.T07.2025/HPDQ-THP-KH 7000TAN đi Hải Phòng HRC1</t>
  </si>
  <si>
    <t>2000003206 - 504.T08.2025/HPDQ-TCĐ-KH - lệnh ok</t>
  </si>
  <si>
    <t>HRC 2 - Đã map 941t, chốt SO</t>
  </si>
  <si>
    <r>
      <rPr>
        <sz val="14"/>
        <color rgb="FF000000"/>
        <rFont val="Times New Roman"/>
      </rPr>
      <t xml:space="preserve">2000003211 - 496.T07.2025/HPDQ-TCĐ-KH - Khách TT - sáng 26/08 duyệt lệnh
</t>
    </r>
    <r>
      <rPr>
        <sz val="14"/>
        <color rgb="FFFF0000"/>
        <rFont val="Times New Roman"/>
      </rPr>
      <t>xếp cùng tàu với đơn 504.TCĐ</t>
    </r>
  </si>
  <si>
    <t>24.08.2025
NEO</t>
  </si>
  <si>
    <t>26/8 bến 3</t>
  </si>
  <si>
    <t>Muộn nhất 31/8 xong hàng,
trả hàng sau lễ</t>
  </si>
  <si>
    <t>2200002124 - 535.T08.2025/HPDQ-THP-KH đi Hải Phòng 15740TAN HRC1</t>
  </si>
  <si>
    <t>ĐÃ ĐẢO XONG LỆNH ĐỂ TÀU VÀO SỚM</t>
  </si>
  <si>
    <t>2200002125 - 535.T08.2025/HPDQ-THP-KH đi Hải Phòng 4260TAN HRC2 - CÂN TẢI</t>
  </si>
  <si>
    <t>HRC 2 - ĐÃ MAP 3K5
còn lại dự kiến 29/8 Nk</t>
  </si>
  <si>
    <t>2200002085 - 2084.T07.2025/HPDQ-THP-KH 10500TAN đi Hải Phòng HRC2 - XUẤT HẾT</t>
  </si>
  <si>
    <t>HRC 2 - HÀNG CÒN CHO XUẤT NỐT</t>
  </si>
  <si>
    <t>10h00 27/08 Bến tàu lai</t>
  </si>
  <si>
    <t>2000003250 - 516A.T08.2025/HPDQ-HSNS-KH - tổng đơn 10,480 tấn Lệnh ok</t>
  </si>
  <si>
    <t>27.08.2025
Dỡ phế -&gt; nhận HRC</t>
  </si>
  <si>
    <t>13h00 27/08 Bến 2</t>
  </si>
  <si>
    <t>Đang làm hàng,
trả hàng sau lễ</t>
  </si>
  <si>
    <t>2200002142 - 0008.T08.2025/HPDQ-OTHY-NKH 1303TAN đi Hải Phòng HRC1</t>
  </si>
  <si>
    <r>
      <rPr>
        <b/>
        <sz val="14"/>
        <color rgb="FF7030A0"/>
        <rFont val="Times New Roman"/>
      </rPr>
      <t xml:space="preserve">HRC 1 - HÀNG STOCK
Hàng hóa ok - </t>
    </r>
    <r>
      <rPr>
        <b/>
        <sz val="14"/>
        <color rgb="FFFF0000"/>
        <rFont val="Times New Roman"/>
      </rPr>
      <t>hụt 200t</t>
    </r>
  </si>
  <si>
    <t>2200002141 - 0007.T08.2025/HPDQ-THP-NKH 1486TAN đi Hải Phòng HRC1</t>
  </si>
  <si>
    <r>
      <rPr>
        <b/>
        <sz val="14"/>
        <color rgb="FF7030A0"/>
        <rFont val="Times New Roman"/>
      </rPr>
      <t xml:space="preserve">HRC 1 - HÀNG STOCK
Hàng hóa ok - </t>
    </r>
    <r>
      <rPr>
        <b/>
        <sz val="14"/>
        <color rgb="FFFF0000"/>
        <rFont val="Times New Roman"/>
      </rPr>
      <t>hụt 20t 27/08 map thêm 80t</t>
    </r>
  </si>
  <si>
    <t>2200002143 - 0009.T08.2025/HPDQ-OTHY-NKH 819TAN đi Hải Phòng HRC1</t>
  </si>
  <si>
    <t>HRC 1 - HÀNG STOCK
Hàng hóa ok - hụt 20t map 799t</t>
  </si>
  <si>
    <t>19.08.2025
TÀU ĐÃ NEO CHỜ NHẬN HÀNG</t>
  </si>
  <si>
    <t>28/08 Bến 3/5</t>
  </si>
  <si>
    <t>2000003162 - 421.T05.2025/HPDQ-TVN lot 9 - 3000T - lệnh ok (tách với lot 8 lệnh 3161-3168-dồn dập quá khách không nhận được hết ạ) - ưu tiên dỡ PM  LSD 31/8 - XUẤT HẾT</t>
  </si>
  <si>
    <t>ĐÃ ĐẢO LỆNH ĐỂ CÓ HÀNG SỚM HƠN CHO TÀU VÀO LÀM DẦN</t>
  </si>
  <si>
    <t>2000003210 - 518A.T08.2025/HPDQ-HSPM-KH - tổng đơn 5,540 tấn - lệnh ok
GIAO ĐỦ DUNG SAI, các size, tổng đơn - XUẤT HẾT</t>
  </si>
  <si>
    <r>
      <rPr>
        <b/>
        <sz val="14"/>
        <color rgb="FF7030A0"/>
        <rFont val="Times New Roman"/>
      </rPr>
      <t xml:space="preserve">HRC 1 Hàng hóa ok
</t>
    </r>
    <r>
      <rPr>
        <b/>
        <sz val="14"/>
        <color rgb="FFFF0000"/>
        <rFont val="Times New Roman"/>
      </rPr>
      <t>size 3.50 đạt 89% - Đã báo PKD chốt</t>
    </r>
  </si>
  <si>
    <t>2200002095 -  536A.T08.2025/HPDQ-HPC-KH 1670TAN HRC2 - XUẤT HẾT</t>
  </si>
  <si>
    <t>2200002097 - 536B.T08.2025/HPDQ-HPC-KH 7400TAN HRC2 - CÂN TẢI</t>
  </si>
  <si>
    <t>HRC 2 - Đã map 3530t, hết hàng tồn kho</t>
  </si>
  <si>
    <t>NM cán ko đạt, chỉ có 4.900 tấn</t>
  </si>
  <si>
    <t>28.08.2025
Chạy từ nam về</t>
  </si>
  <si>
    <t>29/8 Bến 5/10</t>
  </si>
  <si>
    <t>2200002133 - 0004.T08.2025/HPDQ-OTHY-NKH 3373AN đi Hải Phòng HRC2</t>
  </si>
  <si>
    <t>27.08.2025
Chạy rỗng từ nam về</t>
  </si>
  <si>
    <t>28/08 Bến 3</t>
  </si>
  <si>
    <t>2000003161 - 421.T05.2025/HPDQ-TVN lot 8 - 3700t - lệnh ok - ưu tiên dỡ PM - lsd 31/8</t>
  </si>
  <si>
    <t>2000003168 - 421.T05.2025/HPDQ-TVN lot 8 - 1000t - lệnh ok (không giao chung lot 9, hoặc chỉ giao 5kt/tàu để không về dồn dập ạ) - ưu tiên dỡ PM - LSD 31/8</t>
  </si>
  <si>
    <t>2000003249 - 501.T08.2025/HPDQ-HPL-KH 100TAN đi Phú Mỹ HRC1</t>
  </si>
  <si>
    <t>2000003280 - 519.T08.2025/KH/HPDQ-TDA (lệnh ok)</t>
  </si>
  <si>
    <t>2200002144 - 0006.T08.2025/HPDQ-OTBD-NKH 1903TAN đi Long Bình HRC2</t>
  </si>
  <si>
    <t>Lấy hàng stock đi Tân Thuận bù lại hàng 
của HPC</t>
  </si>
  <si>
    <t>2200002140 - 0006.T08.2025/HPDQ-OTBD-NKH 724TAN đi Long Bình HRC1</t>
  </si>
  <si>
    <r>
      <rPr>
        <sz val="14"/>
        <color rgb="FF000000"/>
        <rFont val="Times New Roman"/>
      </rPr>
      <t xml:space="preserve">2000003178 - 479.T07.2025/HPDQ-SEAH, LSD 10/09, lệnh ok, khách nhận từ 4/9
</t>
    </r>
    <r>
      <rPr>
        <b/>
        <sz val="14"/>
        <color rgb="FFFF0000"/>
        <rFont val="Times New Roman"/>
      </rPr>
      <t>DỠ TÂN THUẬN -&gt; PHÚ MỸ</t>
    </r>
  </si>
  <si>
    <t>25-26.08.2025
Dỡ đá -&gt; nhận HRC</t>
  </si>
  <si>
    <t>29/8 bến 1</t>
  </si>
  <si>
    <t>2000003254 - 539A3.T07.2025/HPDQ-TMPHD-KH 2900TAN đi LA HRC2 - CÂN TẢI
(Hàng khách hàng hạ bãi)</t>
  </si>
  <si>
    <r>
      <rPr>
        <sz val="14"/>
        <color rgb="FF000000"/>
        <rFont val="Times New Roman"/>
      </rPr>
      <t xml:space="preserve">2000003281 - 519.T08.2025/KH/HPDQ-TDA - lệnh ok 
</t>
    </r>
    <r>
      <rPr>
        <sz val="14"/>
        <color rgb="FFFF0000"/>
        <rFont val="Times New Roman"/>
      </rPr>
      <t>GIAO ĐỦ DUNG SAI ÂM</t>
    </r>
  </si>
  <si>
    <t>HRC 2 - Đã map 3k7 đủ dung sai âm</t>
  </si>
  <si>
    <t>26.08.2025
Dỡ đá -&gt; nhận HRC</t>
  </si>
  <si>
    <t>30/8 bến 3</t>
  </si>
  <si>
    <t>2000003225 - 508.T08.2025/HPDQ-CTC-KH lệnh ok - XUẤT HẾT</t>
  </si>
  <si>
    <t>Hàng BBC khả năng không kịp chốt trong tháng</t>
  </si>
  <si>
    <t>2000003259 - 583.T08.2025/HPDQ-TMPHD-NKH-BBC 485TAN đi Hải Phòng HRC1 - XUẤT HẾT</t>
  </si>
  <si>
    <t>HRC 1 - HÀNG BBC
Hàng hóa ok</t>
  </si>
  <si>
    <t>2000003260 - 583.T08.2025/HPDQ-TMPHD-NKH-BBC 105TAN đi Hải Phòng HRC2 - XUẤT HẾT</t>
  </si>
  <si>
    <t>HRC 2 - HÀNG BBC - Hàng hóa ok</t>
  </si>
  <si>
    <t>2000003182 - 539A1.T07.2025/HPDQ-TMPHD-KH 10.000 TAN đi HP HRC1 - CÂN TẢI</t>
  </si>
  <si>
    <t>26.08.2025
NEO</t>
  </si>
  <si>
    <t>29/8 Bến TL</t>
  </si>
  <si>
    <t>2000003261 -  522G.T08.2025/HPDQ-VNO -KH (DK 28/08 có LC) 3.000T - CÂN TẢI</t>
  </si>
  <si>
    <t>2000003287 - 522G.T08.2025/HPDQ-VNO -KH (DK 28/08 có LC) 2.000T- XUẤT HẾT</t>
  </si>
  <si>
    <t>29.08.2025
Từ Cam Ranh về</t>
  </si>
  <si>
    <t>30/8 bến 1</t>
  </si>
  <si>
    <t>2200002125 - 535.T08.2025/HPDQ-THP-KH đi Hải Phòng 4260TAN HRC2 - cân tải</t>
  </si>
  <si>
    <t>2000003202 - 502.T08.2025/HPDQ-PVN(OTMN)-KH - lệnh ok</t>
  </si>
  <si>
    <t>28.08.2025
Từ Quy Nhơn về</t>
  </si>
  <si>
    <t>30/8 BẾN 2</t>
  </si>
  <si>
    <t>2200002136 -  537A.T08.2025/HPDQ-OTHY-KH 7800TAN HRC1 đi Hải Phòng</t>
  </si>
  <si>
    <t>30.08.2025
Từ Huế về</t>
  </si>
  <si>
    <t>30/08</t>
  </si>
  <si>
    <t>Muộn nhất 31/8 xong hàng</t>
  </si>
  <si>
    <r>
      <rPr>
        <b/>
        <sz val="14"/>
        <color rgb="FF000000"/>
        <rFont val="Times New Roman"/>
        <family val="1"/>
      </rPr>
      <t xml:space="preserve">2000003254 - 539A3.T07.2025/HPDQ-TMPHD-KH 2900TAN đi LA HRC2
(Hàng khách hàng hạ bãi) - </t>
    </r>
    <r>
      <rPr>
        <b/>
        <sz val="14"/>
        <color rgb="FFFF0000"/>
        <rFont val="Times New Roman"/>
        <family val="1"/>
      </rPr>
      <t>CÂN TẢI</t>
    </r>
  </si>
  <si>
    <r>
      <rPr>
        <sz val="14"/>
        <color rgb="FF000000"/>
        <rFont val="Times New Roman"/>
      </rPr>
      <t xml:space="preserve">2000003294 - 541A.T08.2025/KH/HPDQ-JFE (hết ngày 29/8 duyệt lệnh) - 
</t>
    </r>
    <r>
      <rPr>
        <sz val="14"/>
        <color rgb="FFFF0000"/>
        <rFont val="Times New Roman"/>
      </rPr>
      <t>GIAO ĐỦ DUNG SAI ÂM, NẾU HÀNG ĐƯỢC MAP ĐỦ THÌ XUẤT HẾT MAPPING</t>
    </r>
  </si>
  <si>
    <t>31.08.2025
Ready lúc 18h</t>
  </si>
  <si>
    <r>
      <rPr>
        <b/>
        <sz val="14"/>
        <color rgb="FF000000"/>
        <rFont val="Times New Roman"/>
      </rPr>
      <t xml:space="preserve">2000003209 - 439.T05.2025/HPDQ-KKNH (TVN) lot 3 - 4000t - lệnh ok </t>
    </r>
    <r>
      <rPr>
        <sz val="14"/>
        <color rgb="FF000000"/>
        <rFont val="Times New Roman"/>
      </rPr>
      <t>(chỉ xuất tối đa 766t)  LSD 31/8 - xuất hết size 3.00x1325, nếu vẫn còn lượng thì xuất đến 2.75x1265</t>
    </r>
  </si>
  <si>
    <t>Tính SL tháng 8</t>
  </si>
  <si>
    <t>2200002113 - 2109.T07.2025/HPDQ-OTBD-KH 3800TAN đi Long Bình HRC2
CÂN TẢI</t>
  </si>
  <si>
    <t>HRC 2 - T8.4 dự kiến 29/8 NK</t>
  </si>
  <si>
    <t>22-24/08/2025</t>
  </si>
  <si>
    <t>2000003171 - 446B.T06.2025/HPDQ-THACO, LSD 20/07</t>
  </si>
  <si>
    <t>2000003170 - 446A.T06.2025/HPDQ-CKTC, LSD 20/07</t>
  </si>
  <si>
    <t>8-9/8/2025</t>
  </si>
  <si>
    <t>2000003022 - 405C.T05.2025/HPDQ-CKTC</t>
  </si>
  <si>
    <t>10-11/8/2025</t>
  </si>
  <si>
    <t>2200002102 - 2102.T08.2025/HPDQ-OTĐN-NKH 1038TAN đi Đà Nẵng HRC1</t>
  </si>
  <si>
    <t>08-09/8/2025</t>
  </si>
  <si>
    <t>2200002103 - 2103.T08.2025/HPDQ-OTĐN-NKH 1093TAN đi Đà Nẵng HRC2</t>
  </si>
  <si>
    <t>29-30/09/2025</t>
  </si>
  <si>
    <t>21-23/08/2025</t>
  </si>
  <si>
    <t>2200002128 - 0002.T08.2025/HPDQ-OTĐN-NKH 1400TAN đi Đà Nẵng HRC1</t>
  </si>
  <si>
    <t>2200002129 - 0002.T08.2025/HPDQ-OTĐN-NKH 815TAN đi Đà Nẵng HRC2</t>
  </si>
  <si>
    <t>25/08/2025</t>
  </si>
  <si>
    <t>Tổng map</t>
  </si>
  <si>
    <t>Đã xuất</t>
  </si>
  <si>
    <t>Tồn còn lại</t>
  </si>
  <si>
    <t>LỊCH XUẤT HRC THÁNG 07/2025
LƯU Ý CẦN NHẮC LẠI NHIỀU LẦN: XUẤT ĐỦ DUNG SAI CÁC SIZE HÀNG</t>
  </si>
  <si>
    <t>01-02.07.2025
Dỡ đá -&gt; nhận HRC</t>
  </si>
  <si>
    <t>01/07 Bến 2</t>
  </si>
  <si>
    <t>2000002961 - 384C.T04.2025/HPDQ-KKNH (Thép Việt Nhật) (lot 3) - 4000t - khách nhận 5/7 - lệnh ok -  chốt mapping</t>
  </si>
  <si>
    <t>2000003065 - 457.T06.2025/HPDQ-VISA - lệnh ok - chốt mapping</t>
  </si>
  <si>
    <t>01.07.2025
NEO</t>
  </si>
  <si>
    <t>21h00 02/07 Bến 3/5</t>
  </si>
  <si>
    <t>2000003015 - 449A.T06.2025/HPDQ-HSPM  - CÒN 500 tấn lẻ loi 
Giao cùng đơn 449B</t>
  </si>
  <si>
    <t>HRC 1 - Hàng hóa ok
chốt mapping</t>
  </si>
  <si>
    <t>2000003086 - 449B.T06.2025/HPDQ-HSPM - tổng đơn 10,800 tấn lệnh ok</t>
  </si>
  <si>
    <r>
      <rPr>
        <sz val="14"/>
        <color rgb="FF000000"/>
        <rFont val="Times New Roman"/>
        <family val="1"/>
      </rPr>
      <t xml:space="preserve">2000003051 - 206B.T10.2024/HPDQ-TNS - đã có LC - 5.000T - lệnh ok
</t>
    </r>
    <r>
      <rPr>
        <sz val="14"/>
        <color rgb="FFFF0000"/>
        <rFont val="Times New Roman"/>
        <family val="1"/>
      </rPr>
      <t>Khách cần hàng tại cảng PM trước 15/7</t>
    </r>
  </si>
  <si>
    <t>02.07.2025
NEO</t>
  </si>
  <si>
    <t>03/07 Bến 5/10</t>
  </si>
  <si>
    <r>
      <rPr>
        <b/>
        <sz val="14"/>
        <color rgb="FF000000"/>
        <rFont val="Times New Roman"/>
        <family val="1"/>
      </rPr>
      <t xml:space="preserve">2000003085 - 447C.T06.2025/HPDQ-HSNS - tổng đơn 6,300 tấn Lệnh ok
</t>
    </r>
    <r>
      <rPr>
        <b/>
        <sz val="14"/>
        <color rgb="FFFF0000"/>
        <rFont val="Times New Roman"/>
        <family val="1"/>
      </rPr>
      <t>Có lượng hàng đủ tàu 3-4k thì book tàu luôn do khách đang cần hàng</t>
    </r>
  </si>
  <si>
    <t>2200002046 - 2046.T06.2025/HPDQ-THP-NKH đi Hải Phòng 569TAN HRC1</t>
  </si>
  <si>
    <r>
      <rPr>
        <sz val="14"/>
        <color rgb="FF000000"/>
        <rFont val="Times New Roman"/>
        <family val="1"/>
      </rPr>
      <t xml:space="preserve">2000003025 - 403C.T05.2025/HPDQ-DST - 5.000T lệnh ok - </t>
    </r>
    <r>
      <rPr>
        <b/>
        <sz val="14"/>
        <color rgb="FFFF0000"/>
        <rFont val="Times New Roman"/>
        <family val="1"/>
      </rPr>
      <t>LSD: 10/7
DỠ NGHI SƠN -&gt; HẢI PHÒNG</t>
    </r>
  </si>
  <si>
    <t>HRC2 - Hàng hóa ok, 5122t</t>
  </si>
  <si>
    <t>04.07.2025
Dỡ đá -&gt; nhận HRC</t>
  </si>
  <si>
    <t>04/07 Bến 2</t>
  </si>
  <si>
    <t>2000003047 - 447B.T06.2025/HPDQ-HSNS - tổng đơn 10,200 tấn lệnh ok
khách kêu đi tàu nhỏ ko đi tàu to =))</t>
  </si>
  <si>
    <t>02-03.07.2025
NEO</t>
  </si>
  <si>
    <t>04/07 Bến Tàu lai</t>
  </si>
  <si>
    <r>
      <rPr>
        <b/>
        <sz val="14"/>
        <color rgb="FF000000"/>
        <rFont val="Times New Roman"/>
        <family val="1"/>
      </rPr>
      <t xml:space="preserve">2000003051 - 206B.T10.2024/HPDQ-TNS - đã có LC - 5.000T - lệnh ok
</t>
    </r>
    <r>
      <rPr>
        <b/>
        <sz val="14"/>
        <color rgb="FFFF0000"/>
        <rFont val="Times New Roman"/>
        <family val="1"/>
      </rPr>
      <t>Khách cần hàng tại cảng PM trước 15/7</t>
    </r>
  </si>
  <si>
    <t>2000002993 - 422.T05.2025/HPDQ-TPK - lệnh ok</t>
  </si>
  <si>
    <r>
      <rPr>
        <sz val="14"/>
        <color rgb="FF000000"/>
        <rFont val="Times New Roman"/>
        <family val="1"/>
      </rPr>
      <t xml:space="preserve">2000003052 - 452.T06.2025/HPDQ-TN (lệnh ok)
</t>
    </r>
    <r>
      <rPr>
        <b/>
        <sz val="14"/>
        <color rgb="FFFF0000"/>
        <rFont val="Times New Roman"/>
        <family val="1"/>
      </rPr>
      <t>DỠ THIÊN LỘC THÀNH -&gt; PHÚ MỸ</t>
    </r>
  </si>
  <si>
    <t>04.07.2025
Từ Quy Nhơn về</t>
  </si>
  <si>
    <t>05/07 Bến 1</t>
  </si>
  <si>
    <t>2000003052 - 452.T06.2025/HPDQ-TN - LỆNH OK</t>
  </si>
  <si>
    <r>
      <rPr>
        <sz val="14"/>
        <color rgb="FF000000"/>
        <rFont val="Times New Roman"/>
        <family val="1"/>
      </rPr>
      <t xml:space="preserve">2200002034 - 2034.T06.2025/HPDQ-OTBD-NKH đi Long Bình 1169TAN HRC2
</t>
    </r>
    <r>
      <rPr>
        <b/>
        <sz val="14"/>
        <color rgb="FFFF0000"/>
        <rFont val="Times New Roman"/>
        <family val="1"/>
      </rPr>
      <t>DỠ THIÊN LỘC THÀNH -&gt; LONG BÌNH</t>
    </r>
  </si>
  <si>
    <t>03-04.07.2025
Chạy rỗng về</t>
  </si>
  <si>
    <t>19H00 03/07 
Bến 3</t>
  </si>
  <si>
    <t>2000003061 - 444.T05.2025/HPDQ-OTMP-KH (SX) 5000TAN HRC2 đi Hải Phòng</t>
  </si>
  <si>
    <t>2000003033 - 445.T05.2025/HPDQ-TMPHD-KH (SX) 5000TAN HRC2 đi Hải Phòng</t>
  </si>
  <si>
    <t>HRC2 - 4811t đã map</t>
  </si>
  <si>
    <t>2200002011 - 2011.T06.2025/HPDQ-THP-KH đi Hải Phòng 575TAN HRC1</t>
  </si>
  <si>
    <t>2200002047 - 2047.T06.2025/HPDQ-OTHY-NKH đi Hải Phòng 90TAN HRC1</t>
  </si>
  <si>
    <t>2200002048 - 2048.T06.2025/HPDQ-OTHY-NKH đi Hải Phòng 1543TAN HRC1</t>
  </si>
  <si>
    <t>5h00 05/07 Bến 5/10</t>
  </si>
  <si>
    <r>
      <rPr>
        <b/>
        <sz val="14"/>
        <color rgb="FF000000"/>
        <rFont val="Times New Roman"/>
        <family val="1"/>
      </rPr>
      <t xml:space="preserve">2000003019 - 447A.T06.2025/HPDQ-HSNS - tổng đơn 15,500 tấn - lệnh ok
</t>
    </r>
    <r>
      <rPr>
        <b/>
        <sz val="14"/>
        <color rgb="FFFF0000"/>
        <rFont val="Times New Roman"/>
        <family val="1"/>
      </rPr>
      <t>Đã xuất 4k4 tháng 6</t>
    </r>
  </si>
  <si>
    <t>2000003040- 394A.T05.2025/HPDQ-OTVĐ - 5000T, lệnh oke</t>
  </si>
  <si>
    <t>2000003037- 394E.T05.2025/HPDQ-TVĐ - 5000T, lệnh oke</t>
  </si>
  <si>
    <t>HRC2 - Hàng hóa ok
MAPPING CÓ 4.712 TẤN THÔI</t>
  </si>
  <si>
    <t>2000003066  - 483.T06.2025/HPDQ-TMN - 5.000t đã có LC</t>
  </si>
  <si>
    <t>03.07.2025
NEO</t>
  </si>
  <si>
    <t>16h00 05/07 Bến 2</t>
  </si>
  <si>
    <t>2000003047 - 447B.T06.2025/HPDQ-HSNS - tổng đơn 10,200 tấn (4/7 có LC)
khách kêu đi tàu nhỏ ko đi tàu to =))</t>
  </si>
  <si>
    <t>06.07.2025
Chạy rỗng về</t>
  </si>
  <si>
    <t>06/07 Bến 3/5</t>
  </si>
  <si>
    <t>2000003066  - 483.T06.2025/HPDQ-TMN - 5.000t - đã có LC</t>
  </si>
  <si>
    <t>2200002049 - 2049.T07.2025/HPDQ-THP-NKH đi Hải Phòng 2890TAN HRC2</t>
  </si>
  <si>
    <t>HRC2 - HÀNG STOCK
 MAP 2.388 TẤN =&gt; CHỐT</t>
  </si>
  <si>
    <t>2200002051 - 2051.T07.2025/HPDQ-OTHY-NKH đi Hải Phòng 824TAN HRC2</t>
  </si>
  <si>
    <t>HRC2 - HÀNG STOCK
 MAP 781 TẤN =&gt; CHỐT</t>
  </si>
  <si>
    <t>2200002055 - 2052.T07.2025/HPDQ-OTHY-NKH đi Hải Phòng 4673TAN HRC2 - 
CÂN TẢI</t>
  </si>
  <si>
    <t>HRC2 - HÀNG STOCK
 MAP 4.654 TẤN -&gt; CHỐT</t>
  </si>
  <si>
    <t>2200002053 - 2053.T07.2025/HPDQ-OTHY-NKH đi Hải Phòng 1133TAN HRC2</t>
  </si>
  <si>
    <t>HRC2 - HÀNG STOCK
MAP 1.102 TẤN =&gt; CHỐT</t>
  </si>
  <si>
    <t>2200002020 - 2020.T06.2025/HPDQ-THP-NKH HRC1 đi Hải Phòng 3207TAN</t>
  </si>
  <si>
    <t>2000003053 - 442.T06.2025/HPDQ-XDTP (NĐ) - LSD 30/07, lệnh ok</t>
  </si>
  <si>
    <t>HRC 1 - Hàng hóa ok
Đơn này 1000t</t>
  </si>
  <si>
    <t>VIỆT THUẬN 05-03
(thay Hoàng Phúc 79)</t>
  </si>
  <si>
    <t>07.07.2025
NEO</t>
  </si>
  <si>
    <t>20h00 08/07 Bến 5</t>
  </si>
  <si>
    <t>2200002037 - 2011.T06.2025/HPDQ-THP-KH đi Hải Phòng 2000TAN HRC2</t>
  </si>
  <si>
    <t>HRC2 - Hàng hóa ok, 1971t</t>
  </si>
  <si>
    <t>VIỆT THUẬN 05-03</t>
  </si>
  <si>
    <r>
      <rPr>
        <sz val="14"/>
        <color rgb="FF000000"/>
        <rFont val="Times New Roman"/>
        <family val="1"/>
      </rPr>
      <t xml:space="preserve">2000003050 - 443.T06.2025/HPDQ-CTC - lệnh ok 
</t>
    </r>
    <r>
      <rPr>
        <sz val="14"/>
        <color rgb="FFFF0000"/>
        <rFont val="Times New Roman"/>
        <family val="1"/>
      </rPr>
      <t>Ra hóa đơn trước ngày 10/7</t>
    </r>
  </si>
  <si>
    <t>2000003041- 394B.T05.2025/HPDQ-TVĐ - 5000T, ngày 07/07 mở LC</t>
  </si>
  <si>
    <t>2200002016 - 2011.T06.2025/HPDQ-THP-KH đi Hải Phòng 220TAN HRC2</t>
  </si>
  <si>
    <t>2200002055 - 2052.T07.2025/HPDQ-OTHY-NKH đi Hải Phòng 4673TAN HRC2 - 
CÂN TẢI - CÒN HÀNG NÀO THÌ CHO XUẤT BẤT KỲ CŨNG ĐƯỢC</t>
  </si>
  <si>
    <t>HRC2 - Hàng stock, ok</t>
  </si>
  <si>
    <t>09.07.2025
NEO</t>
  </si>
  <si>
    <t>12h00 10/07 Bến 5</t>
  </si>
  <si>
    <t>2200002005 - 2004.T06.2025/HPDQ-HPC-KH còn 770TAN đi Phú Mỹ HRC2</t>
  </si>
  <si>
    <t>2000003087 - 421.T05.2025/HPDQ-TVN (Thép Việt Nhật lot 1) - 400t SPHC - 
lệnh ok</t>
  </si>
  <si>
    <t>2000003105 - 500B.T05.2025/HPDQ-OTSG-KH - 2400T - giao càng sớm càng tốt - dự kiến  10/7 có LC duyệt lệnh (đã có hàng, chuyển từ khách khác sang)</t>
  </si>
  <si>
    <r>
      <rPr>
        <sz val="14"/>
        <color rgb="FF000000"/>
        <rFont val="Times New Roman"/>
        <family val="1"/>
      </rPr>
      <t xml:space="preserve">2000003044 - 450B.T06.2025/HPDQ-TDA - </t>
    </r>
    <r>
      <rPr>
        <sz val="14"/>
        <color rgb="FFFF0000"/>
        <rFont val="Times New Roman"/>
        <family val="1"/>
      </rPr>
      <t>LSD 15/07 
Hết 9/7 có lệnh</t>
    </r>
  </si>
  <si>
    <r>
      <rPr>
        <sz val="14"/>
        <color rgb="FF000000"/>
        <rFont val="Times New Roman"/>
        <family val="1"/>
      </rPr>
      <t xml:space="preserve">2000003055 - 458.T06.2025/HPDQ-SEAH (NĐ) - LSD 30/07 - lệnh OK
</t>
    </r>
    <r>
      <rPr>
        <b/>
        <sz val="14"/>
        <color rgb="FFFF0000"/>
        <rFont val="Times New Roman"/>
        <family val="1"/>
      </rPr>
      <t>DỠ TÂN THUẬN -&gt; PHÚ MỸ</t>
    </r>
  </si>
  <si>
    <t>08.07.2025
NEO</t>
  </si>
  <si>
    <t>20H00 10/07 Bến 5
(08/07 Tàu dỡ đá xong)</t>
  </si>
  <si>
    <t>2000003005 - 383.T04.2025/HPDQ-PVN (2,500T) - lệnh ok
2000003116 - 383.T04.2025/HPDQ-PVN (500T 2.30x1219)</t>
  </si>
  <si>
    <t>HRC2 - 2939t đã map, chốt SO</t>
  </si>
  <si>
    <t>2000003088 - 456.T06.2025/HPDQ-TL (DK 09/7 có tt)</t>
  </si>
  <si>
    <r>
      <rPr>
        <sz val="14"/>
        <color rgb="FF000000"/>
        <rFont val="Times New Roman"/>
        <family val="1"/>
      </rPr>
      <t xml:space="preserve">2000003078 - 451A.T06.2025/HPDQ-NK - 10kt tách 2 tàu
</t>
    </r>
    <r>
      <rPr>
        <b/>
        <sz val="14"/>
        <color rgb="FFFF0000"/>
        <rFont val="Times New Roman"/>
        <family val="1"/>
      </rPr>
      <t>ƯU TIÊN XUẤT HẾT SIZE</t>
    </r>
    <r>
      <rPr>
        <b/>
        <sz val="14"/>
        <color rgb="FF000000"/>
        <rFont val="Times New Roman"/>
        <family val="1"/>
      </rPr>
      <t xml:space="preserve"> </t>
    </r>
    <r>
      <rPr>
        <b/>
        <sz val="14"/>
        <color rgb="FFFF0000"/>
        <rFont val="Times New Roman"/>
        <family val="1"/>
      </rPr>
      <t>2.0 + ghép size khác nếu chưa đủ tải
MỖI NGÀY CHỈ XUẤT 1 HÓA ĐƠN
DỠ TÂN THUẬN -&gt; PHÚ MỸ</t>
    </r>
  </si>
  <si>
    <t>6h00 11/07 Bến 2</t>
  </si>
  <si>
    <t>2000003047 - 447B.T06.2025/HPDQ-HSNS - tổng đơn 10,200 tấn (4/7 có LC)
lượng này cho đi giãn cách tàu HPS 01 tầm 1-2 ngày ạ</t>
  </si>
  <si>
    <t>2000003067  - 489.T06.2025/HPDQ-TCĐ - 10h ngày 11/07 có lệnh</t>
  </si>
  <si>
    <t>18h00 12/07 Bến 5/10</t>
  </si>
  <si>
    <t>TÀU VỀ CHỜ HÀNG</t>
  </si>
  <si>
    <r>
      <rPr>
        <sz val="14"/>
        <color rgb="FF000000"/>
        <rFont val="Times New Roman"/>
        <family val="1"/>
      </rPr>
      <t xml:space="preserve">2000003144 - 451B.T06.2025/HPDQ-NK - </t>
    </r>
    <r>
      <rPr>
        <b/>
        <sz val="14"/>
        <color rgb="FFFF0000"/>
        <rFont val="Times New Roman"/>
        <family val="1"/>
      </rPr>
      <t>lệnh mới thêm ngày 15/7
xuất hết mapping hiện có, xuất chung hóa đơn với lệnh 2*3078</t>
    </r>
    <r>
      <rPr>
        <b/>
        <sz val="14"/>
        <color rgb="FF000000"/>
        <rFont val="Times New Roman"/>
        <family val="1"/>
      </rPr>
      <t xml:space="preserve"> (2 số PO khác nhau không gộp được hóa đơn)</t>
    </r>
  </si>
  <si>
    <t>HRC 2 - xuất hết mapping hiện có 
(dự kiến 15/7 có 13 cuộn)</t>
  </si>
  <si>
    <r>
      <rPr>
        <b/>
        <sz val="14"/>
        <color rgb="FF000000"/>
        <rFont val="Times New Roman"/>
        <family val="1"/>
      </rPr>
      <t xml:space="preserve">2000003079 - 462.T06.2025/HPDQ-SUNSCO - dự kiến 14/7 TT - cuối ngày có lệnh
</t>
    </r>
    <r>
      <rPr>
        <b/>
        <sz val="14"/>
        <color rgb="FFFF0000"/>
        <rFont val="Times New Roman"/>
        <family val="1"/>
      </rPr>
      <t>giao càng sớm càng tốt</t>
    </r>
  </si>
  <si>
    <t>HRC2 - 480t đã map, chốt SO</t>
  </si>
  <si>
    <r>
      <rPr>
        <sz val="14"/>
        <color rgb="FF000000"/>
        <rFont val="Times New Roman"/>
        <family val="1"/>
      </rPr>
      <t xml:space="preserve">2000003083 - 477A.T07.2025/HPDQ-KD - lệnh ok
</t>
    </r>
    <r>
      <rPr>
        <b/>
        <sz val="14"/>
        <color rgb="FFFF0000"/>
        <rFont val="Times New Roman"/>
        <family val="1"/>
      </rPr>
      <t>giao sớm nhất có thể</t>
    </r>
  </si>
  <si>
    <t>HRC2 - Hàng hóa ok, 493t</t>
  </si>
  <si>
    <r>
      <rPr>
        <sz val="14"/>
        <color rgb="FF000000"/>
        <rFont val="Times New Roman"/>
        <family val="1"/>
      </rPr>
      <t xml:space="preserve">2000003078 - 451A.T06.2025/HPDQ-NK  - lệnh ok
</t>
    </r>
    <r>
      <rPr>
        <b/>
        <sz val="14"/>
        <color rgb="FFFF0000"/>
        <rFont val="Times New Roman"/>
        <family val="1"/>
      </rPr>
      <t>MỖI NGÀY CHỈ XUẤT 1 HÓA ĐƠN, xuất chung hóa đơn với lệnh 2*3144</t>
    </r>
  </si>
  <si>
    <r>
      <rPr>
        <sz val="14"/>
        <color rgb="FF000000"/>
        <rFont val="Times New Roman"/>
        <family val="1"/>
      </rPr>
      <t xml:space="preserve">HRC 1
15-16/07/25 dự kiến nk
</t>
    </r>
    <r>
      <rPr>
        <sz val="14"/>
        <color rgb="FFFF0000"/>
        <rFont val="Times New Roman"/>
        <family val="1"/>
      </rPr>
      <t>=&gt; ĐÃ THẤY NK 2.200 TẤN
Đã map 9706/10000
2.20x126X  2866/3000
2.00x126X  5758/6000
2.40x126X 1081/1000</t>
    </r>
  </si>
  <si>
    <t>2000003073 - 492.T06.2025/HPDQ-TMPHD-KH 1000TAN đi Long An HRC1</t>
  </si>
  <si>
    <t>2000003071 - 490.T06.2025/HPDQ-TMPHD-KH 9000TAN đi Long An HRC1</t>
  </si>
  <si>
    <t>2000003074 - 493.T06.2025/HPDQ-TMPHN-KH 1500TAN đi Long An HRC1</t>
  </si>
  <si>
    <t>2000003068 - 486.T06.2025/HPDQ-TMPHN-KH 2200TAN đi Long An HRC1</t>
  </si>
  <si>
    <r>
      <rPr>
        <sz val="14"/>
        <color rgb="FF000000"/>
        <rFont val="Times New Roman"/>
        <family val="1"/>
      </rPr>
      <t xml:space="preserve">2000003034 - 446.T05.2025/HPDQ-TMPHD-KH (TM) 5000TAN HRC2 đi Long An
</t>
    </r>
    <r>
      <rPr>
        <sz val="14"/>
        <color rgb="FFFF0000"/>
        <rFont val="Times New Roman"/>
        <family val="1"/>
      </rPr>
      <t>(MỚI BỔ SUNG THÊM LỆNH NÀY - XUẤT HẾT)</t>
    </r>
  </si>
  <si>
    <r>
      <rPr>
        <sz val="14"/>
        <color rgb="FF000000"/>
        <rFont val="Times New Roman"/>
        <family val="1"/>
      </rPr>
      <t xml:space="preserve">2000003108 - 500.T07.2025/HPDQ-TMPHD đi QT Long An 1000TAN HRC1
</t>
    </r>
    <r>
      <rPr>
        <b/>
        <sz val="14"/>
        <color rgb="FFFF0000"/>
        <rFont val="Times New Roman"/>
        <family val="1"/>
      </rPr>
      <t>DỠ TÂN THUẬN - QUỐC TẾ LONG AN</t>
    </r>
  </si>
  <si>
    <t>13.07.2025</t>
  </si>
  <si>
    <t>VTB HẢI DƯƠNG</t>
  </si>
  <si>
    <t>14h00 12/07 Bến 5/10</t>
  </si>
  <si>
    <t>2200002064 - 2064.T07.2025/HPDQ-OTHY-NKH 1817TAN đi Hải Phòng HRC1 - CÂN TẢI</t>
  </si>
  <si>
    <t>2200002062 - 2062.T07.2025/HPDQ-THP-NKH 337TAN đi Hải Phòng HRC1</t>
  </si>
  <si>
    <t>2200002059 - 2059.T07.2025/HPDQ-OTHY-NKH 1134TAN đi Hải Phòng HRC2</t>
  </si>
  <si>
    <t>2200002058 - 2058.T07.2025/HPDQ-OTHY-NKH 604TAN đi Hải Phòng HRC2</t>
  </si>
  <si>
    <t>2200002057 - 2057.T07.2025/HPDQ-THP-NKH 370TAN đi Hải Phòng HRC2</t>
  </si>
  <si>
    <t>2200002056 - 2056.T07.2025/HPDQ-OTHY-NKH 395TAN đi Hải Phòng HRC2</t>
  </si>
  <si>
    <t>2200002063 - 2063.T07.2025/HPDQ-OTHY-NKH 400TAN đi Hải Phòng HRC1</t>
  </si>
  <si>
    <t>15-16.07.2025</t>
  </si>
  <si>
    <t>17h00 15/07 Bến 1
(13/07 Tàu dỡ 
đá xong)</t>
  </si>
  <si>
    <t>Tàu đã đủ hàng, đêm nay vào làm dần được, chờ 1 lệnh mai có</t>
  </si>
  <si>
    <t>2200002014 - 2014.T06.2025/HPDQ-OTBD-KH đi Long Bình 300TAN HRC2 - lệnh ok</t>
  </si>
  <si>
    <t>2200002060 - 2060.T07.2025/HPDQ-SPTLA-NKH 812TAN đi Cẩm Nguyên HRC2</t>
  </si>
  <si>
    <t>HRC2 - Hàng hóa ok
Đã thấy map đủ</t>
  </si>
  <si>
    <t>2000003093 - 421.T05.2025/HPDQ-TVN (Thép Việt Nhật lot 1.1) - 1200t SS400 - lệnh ok</t>
  </si>
  <si>
    <t>2200002015 - 2015.T06.2025/HPDQ-SPTLA-KH đi Cẩm Nguyên 2150TAN HRC2</t>
  </si>
  <si>
    <t>PHƯƠNG NAM 189
(thay Hoàng Phúc 99)</t>
  </si>
  <si>
    <t>14.07.2025
NEO</t>
  </si>
  <si>
    <t>20h00 14/07 Bến 3
(13/07 Tàu đến neo)</t>
  </si>
  <si>
    <t>Tàu này cho vào làm được dần luôn rồi nhé Tâm, đã chốt xong</t>
  </si>
  <si>
    <t>2000003041- 394B.T05.2025/HPDQ-TVĐ - 5000T, đã mở LC, 8/47 duyệt lệnh</t>
  </si>
  <si>
    <r>
      <rPr>
        <sz val="14"/>
        <color rgb="FF000000"/>
        <rFont val="Times New Roman"/>
        <family val="1"/>
      </rPr>
      <t xml:space="preserve">2200002019 - 2019.T06.2025/HPDQ-OTHY-KH đi Hải Phòng 1200TAN HRC2
</t>
    </r>
    <r>
      <rPr>
        <sz val="14"/>
        <color rgb="FFFF0000"/>
        <rFont val="Times New Roman"/>
        <family val="1"/>
      </rPr>
      <t>(400 tấn đã xuất trước ở tháng 6)</t>
    </r>
  </si>
  <si>
    <t>2200002017 - 2017.T06.2025/HPDQ-OTHY-KH đi Hải Phòng 1000TAN HRC2</t>
  </si>
  <si>
    <t>2200002064 - 2064.T07.2025/HPDQ-OTHY-NKH 1817TAN đi Hải Phòng HRC1</t>
  </si>
  <si>
    <r>
      <rPr>
        <sz val="14"/>
        <color rgb="FF000000"/>
        <rFont val="Times New Roman"/>
        <family val="1"/>
      </rPr>
      <t xml:space="preserve">2200002055 - 2052.T07.2025/HPDQ-OTHY-NKH đi Hải Phòng 4673TAN HRC2
</t>
    </r>
    <r>
      <rPr>
        <sz val="14"/>
        <color rgb="FFFF0000"/>
        <rFont val="Times New Roman"/>
        <family val="1"/>
      </rPr>
      <t>CÒN 45 TẤN CHO XUẤT HẾT NỐT</t>
    </r>
  </si>
  <si>
    <t>16.07.2025
Chạy từ nam về</t>
  </si>
  <si>
    <t>18h00 16/07 Bến 3/5</t>
  </si>
  <si>
    <t>2200002006 - 2006.T07.2025/HPDQ-HPC-KH - CÂN TẢI</t>
  </si>
  <si>
    <t>2000003107 - 494.T06.2025/HPDQ-HPL-KH HRC1</t>
  </si>
  <si>
    <t>2000003091 - 384B.T04.2025/HPDQ-TVN (Thép Việt Nhật) (lot 6) - 4500t - lệnh ok</t>
  </si>
  <si>
    <t>2000003086 - 449B.T06.2025/HPDQ-HSPM - tổng đơn 10,800 tấn (4/7 có LC)</t>
  </si>
  <si>
    <t>17.07.2025
Từ Quy Nhơn về</t>
  </si>
  <si>
    <t>9h00 17/07 Bến 2</t>
  </si>
  <si>
    <r>
      <rPr>
        <b/>
        <sz val="14"/>
        <color rgb="FF000000"/>
        <rFont val="Times New Roman"/>
        <family val="1"/>
      </rPr>
      <t xml:space="preserve">2200002069 - 2069.T07.2025/HPDQ-OTHY-NKH 4830TAN đi Hải Phòng HRC2 - CÂN TẢI
</t>
    </r>
    <r>
      <rPr>
        <b/>
        <sz val="14"/>
        <color rgb="FFFF0000"/>
        <rFont val="Times New Roman"/>
        <family val="1"/>
      </rPr>
      <t>xuất size nào cũng được</t>
    </r>
  </si>
  <si>
    <t>HRC 2 - Hàng hóa 4742t, chốt SO</t>
  </si>
  <si>
    <t>2200002065 - 2065.T06.2025/HPDQ-THP-KH 6515TAN đi Hải Phòng HRC2 - 
XUẤT HẾT 569 TẤN MAPPING HIỆN CÓ</t>
  </si>
  <si>
    <t>17.07.2025
NEO</t>
  </si>
  <si>
    <t>18/07 Bến 2</t>
  </si>
  <si>
    <t>2200002066 - 2066.T07.2025/HPDQ-THP-NKH 947TAN đi Hải Phòng HRC2 - CÂN TẢI</t>
  </si>
  <si>
    <t>HRC 2 - Hàng stock - Hàng hóa ok</t>
  </si>
  <si>
    <t>2200002067 - 2067.T07.2025/HPDQ-OTHY-NKH 726TAN đi Hải Phòng HRC2 - XUẤT HẾT</t>
  </si>
  <si>
    <t>HRC 2 - Hàng stock - 504t, đã trao đổi với Duy và Cương</t>
  </si>
  <si>
    <t>2000003132 - 487.T07.2025/HPDQ-OTMN-KH - đã có LC - XUẤT HẾT - LỆNH OK</t>
  </si>
  <si>
    <t>HOÀNG SA 666</t>
  </si>
  <si>
    <t>19/007 Bến 3</t>
  </si>
  <si>
    <t>2200002070 - 2070.T07.2025/HPDQ-THP-NKH 892TAN đi Hải Phòng HRC1</t>
  </si>
  <si>
    <t>2200002073 - 2073.T07.2025/HPDQ-OTHY-NKH 2685TAN đi Hải Phòng HRC1</t>
  </si>
  <si>
    <t>18-19.07.2025</t>
  </si>
  <si>
    <t>13H00 19/07 Bến 3/5</t>
  </si>
  <si>
    <r>
      <rPr>
        <sz val="14"/>
        <color rgb="FF000000"/>
        <rFont val="Times New Roman"/>
        <family val="1"/>
      </rPr>
      <t xml:space="preserve">2000003106 - 414.T05.2025/HPDQ-TLPM (đơn xuất bù)
</t>
    </r>
    <r>
      <rPr>
        <sz val="14"/>
        <color rgb="FFFF0000"/>
        <rFont val="Times New Roman"/>
        <family val="1"/>
      </rPr>
      <t>Dự kiến nhập lại hàng cũ xong mới xuất được</t>
    </r>
  </si>
  <si>
    <r>
      <rPr>
        <sz val="14"/>
        <color rgb="FF000000"/>
        <rFont val="Times New Roman"/>
        <family val="1"/>
      </rPr>
      <t xml:space="preserve">2000003109 - 338A.T03.2025/HPDQ-QHP (đã có LC) </t>
    </r>
    <r>
      <rPr>
        <sz val="14"/>
        <color rgb="FFFF0000"/>
        <rFont val="Times New Roman"/>
        <family val="1"/>
      </rPr>
      <t>(LSD: 31/7)</t>
    </r>
  </si>
  <si>
    <r>
      <rPr>
        <sz val="14"/>
        <color rgb="FF000000"/>
        <rFont val="Times New Roman"/>
        <family val="1"/>
      </rPr>
      <t xml:space="preserve">2000003121 - 473A.T07.2025/HPDQ-HSPM - 18/7 mở LC - tổng đơn 11,700 tấn
</t>
    </r>
    <r>
      <rPr>
        <sz val="14"/>
        <color rgb="FFFF0000"/>
        <rFont val="Times New Roman"/>
        <family val="1"/>
      </rPr>
      <t>Giao 8730 tấn hàng 1260 trong tháng 7, 2970 tấn còn lại load cuối tháng 7 giao đầu tháng 8 Hàng giao tháng 7: cần hàng 23-24/7 có ở Phú Mỹ, chia tàu nhỏ 
Tàu này phải đi các size và KL như sau:
2.00 x 1260:	 100 tấn
2.50 x 1260:	  100 tấn
2.80 x 1260:	  100 tấn
3.20 x 1260:	  1560 tấn
3.50 x 1260:	  580 tấn
3.80 x 1260:	  696 tấn
4.00 x 1260:	  1650 tấn
Nếu xuất hết lượng 1 lần thì XUẤT ĐỦ DUNG SIZE CÁC SIZE HÀNG (ko thừa ko thiếu )</t>
    </r>
  </si>
  <si>
    <r>
      <rPr>
        <b/>
        <sz val="14"/>
        <color rgb="FF7030A0"/>
        <rFont val="Times New Roman"/>
        <family val="1"/>
      </rPr>
      <t xml:space="preserve">HRC 1 - Hàng hóa ok
</t>
    </r>
    <r>
      <rPr>
        <b/>
        <sz val="14"/>
        <color rgb="FFFF0000"/>
        <rFont val="Times New Roman"/>
        <family val="1"/>
      </rPr>
      <t>size 3.80 không đủ 920t để lấy trong đợt này Ms. NGA cân đối lại size khác giúp em</t>
    </r>
  </si>
  <si>
    <t>2000003124 - 495.T07.2025/HPDQ-HPL-KH 100TAN đi Phú Mỹ HRC1</t>
  </si>
  <si>
    <t>18-19.07.2025
Từ Đà Nẵng về</t>
  </si>
  <si>
    <t>16h00 19/07 Bến 6</t>
  </si>
  <si>
    <t>2000003089 - 463A.T06.2025/HPDQ-LPGBD - 2k5 (18/7 có lệnh)</t>
  </si>
  <si>
    <t>2000003147 - 412B.T05.2025/HPDQ-HWA(VNO) (dk 18/7 có LC)</t>
  </si>
  <si>
    <t>HRC2 - Hàng hóa ok, 2950t</t>
  </si>
  <si>
    <t>17-18.07.2025</t>
  </si>
  <si>
    <t>19-20/07 Bến 2</t>
  </si>
  <si>
    <t>2000003089 - 463A.T06.2025/HPDQ-LPGBD (tổng 5kt chia giao 2 đợt) - 2k5 - CÂN TẢI</t>
  </si>
  <si>
    <t>2000002964 - 384C.T04.2025/HPDQ-KKNH (Thép Việt nhật) (lot 5) - 4300t 
XUẤT 1.800 TẤN - sáng 19 có LC duyệt lệnh</t>
  </si>
  <si>
    <r>
      <rPr>
        <sz val="14"/>
        <color rgb="FFFF0000"/>
        <rFont val="Times New Roman"/>
        <family val="1"/>
      </rPr>
      <t>2000003115</t>
    </r>
    <r>
      <rPr>
        <sz val="14"/>
        <color rgb="FF000000"/>
        <rFont val="Times New Roman"/>
        <family val="1"/>
      </rPr>
      <t xml:space="preserve"> - 484.T07.2025/HPDQ-CSVC (NĐ) - LSD 20/07. lệnh ok</t>
    </r>
  </si>
  <si>
    <t>19-20.07.2025
Chạy từ nam về</t>
  </si>
  <si>
    <t>20/07 Bến 3</t>
  </si>
  <si>
    <t>2000003110 - 338B.T03.2025/HPDQ-CNQHP (đã có LC)</t>
  </si>
  <si>
    <r>
      <rPr>
        <sz val="14"/>
        <color rgb="FF000000"/>
        <rFont val="Times New Roman"/>
        <family val="1"/>
      </rPr>
      <t xml:space="preserve">2000003111 - 338C.T03.2025/HPDQ-QHP (đã có LC) </t>
    </r>
    <r>
      <rPr>
        <sz val="14"/>
        <color rgb="FFFF0000"/>
        <rFont val="Times New Roman"/>
        <family val="1"/>
      </rPr>
      <t>(LSD: 31/7)</t>
    </r>
  </si>
  <si>
    <r>
      <rPr>
        <sz val="14"/>
        <color rgb="FF000000"/>
        <rFont val="Times New Roman"/>
        <family val="1"/>
      </rPr>
      <t xml:space="preserve">2000003121 - 473A.T07.2025/HPDQ-HSPM - 18/7 mở LC - tổng đơn 11,700 tấn
</t>
    </r>
    <r>
      <rPr>
        <sz val="14"/>
        <color rgb="FFFF0000"/>
        <rFont val="Times New Roman"/>
        <family val="1"/>
      </rPr>
      <t>Giao 8730 tấn hàng 1260 trong tháng 7, 2970 tấn còn lại load cuối tháng 7 giao đầu tháng 8
Hàng giao tháng 7: cần hàng 23-24/7 có ở Phú Mỹ, chia tàu nhỏ 
Nếu xuất hết lượng 1 lần thì XUẤT ĐỦ DUNG SIZE CÁC SIZE HÀNG (ko thừa ko thiếu )</t>
    </r>
  </si>
  <si>
    <t>MING XI JIU YUE</t>
  </si>
  <si>
    <t>19-20/7/2025</t>
  </si>
  <si>
    <t>20/07 Bến 6/11</t>
  </si>
  <si>
    <t>2400001223 - 94.T07-25/HPDQ-GS - HẰNG - SKIN</t>
  </si>
  <si>
    <t>HRC2 - 431t đã map, chốt SO</t>
  </si>
  <si>
    <t>2400001225 - 94.T07-25/HPDQ-GS - HẰNG - NON SKIN</t>
  </si>
  <si>
    <t>HRC2 - 818t đã map, chốt SO</t>
  </si>
  <si>
    <t>2400001231 -  95.T07-25/HPDQ-GS - SPHC SKIN (LOT 1)- LINH</t>
  </si>
  <si>
    <t>HRC2 - 758t đã map, chốt SO</t>
  </si>
  <si>
    <t>2400001227 - 95.T07-25/HPDQ-GS - S275JR SKIN (LOT 1)- LINH</t>
  </si>
  <si>
    <t>2400001228 - 95.T07-25/HPDQ-GS - S275JR NON - SKIN (LOT 1)- LINH</t>
  </si>
  <si>
    <t>2400001218 - 95.T07-25/HPDQ-GS - S275JR NON - SKIN (LOT 2) - LINH</t>
  </si>
  <si>
    <t>2400001222 - 96.T07-25/HPDQ-GS - HẰNG</t>
  </si>
  <si>
    <t>2400001212 - 97.T07-25/HPDQ-GS (LOT 1) - GIANG</t>
  </si>
  <si>
    <t>2400001213 - 97.T07-25/HPDQ-GS (LOT 2) - GIANG</t>
  </si>
  <si>
    <t>HRC2 - Hàng hóa ok, 484t</t>
  </si>
  <si>
    <t>2400001214 - 97.T07-25/HPDQ-GS (LOT 3) - GIANG</t>
  </si>
  <si>
    <t>2400001219 - 98.T07-25/HPDQ-GS (S275JR) - Hương</t>
  </si>
  <si>
    <t>2400001220 - 98.T07-25/HPDQ-GS (S275JR SKINPASS) - Hương</t>
  </si>
  <si>
    <t>2400001221 - 98.T07-25/HPDQ-GS (SPHC SKINPASS) - Hương</t>
  </si>
  <si>
    <t>2400001215 - 99.T07-25/HPDQ-GS - GIANG</t>
  </si>
  <si>
    <t>2400001216 - 100.T07-25/HPDQ-GS (SKINPASS) - GIANG</t>
  </si>
  <si>
    <t>HRC2 - 82t, chốt SO</t>
  </si>
  <si>
    <t>2400001217 - 100.T07-25/HPDQ-GS (NON-SKINPASS) - GIANG</t>
  </si>
  <si>
    <t>20-21.07.2025
Dỡ đá -&gt; nhận HRC</t>
  </si>
  <si>
    <t>18h00 22/07 Bến 3</t>
  </si>
  <si>
    <t>2200002069 - 2069.T07.2025/HPDQ-OTHY-NKH 4830TAN đi Hải Phòng HRC2 - CÂN TẢI</t>
  </si>
  <si>
    <r>
      <rPr>
        <sz val="14"/>
        <color rgb="FF000000"/>
        <rFont val="Times New Roman"/>
        <family val="1"/>
      </rPr>
      <t xml:space="preserve">2000003077 - 403D.T05.2025/HPDQ-DST - lệnh ok
</t>
    </r>
    <r>
      <rPr>
        <b/>
        <sz val="14"/>
        <color rgb="FFFF0000"/>
        <rFont val="Times New Roman"/>
        <family val="1"/>
      </rPr>
      <t>XẾP ĐẦU TIÊN</t>
    </r>
  </si>
  <si>
    <t>21.07.2025</t>
  </si>
  <si>
    <t>21h00 21/07 Bến 3/5
(Tàu đã sẵn sàng 21/07)</t>
  </si>
  <si>
    <t>2000003134 - 488.T07.2025/HPDQ-TMMN-KH - đã có LC, cuối ngày 21/07 có lệnh - CÂN TẢI</t>
  </si>
  <si>
    <t>HRC 1 
Hàng hóa ok (map +250t)</t>
  </si>
  <si>
    <t>2000003135 - 488.T07.2025/HPDQ-TMMN-KH - đã có LC, cuối ngày 21/07 có lệnh</t>
  </si>
  <si>
    <t>2000003148 -467.T07.2025/HPDQ-MV - 500 tấn - hết 21/7 có lệnh</t>
  </si>
  <si>
    <t>HRC 1 
Hàng hóa ok</t>
  </si>
  <si>
    <t>23-24.07.2025
Dỡ đá -&gt; nhận HRC</t>
  </si>
  <si>
    <r>
      <rPr>
        <b/>
        <sz val="14"/>
        <color rgb="FF000000"/>
        <rFont val="Times New Roman"/>
        <family val="1"/>
      </rPr>
      <t xml:space="preserve">2000002964 - 384C.T04.2025/HPDQ-KKNH (Thép Việt nhật) (lot 5) - 4300t </t>
    </r>
    <r>
      <rPr>
        <b/>
        <sz val="14"/>
        <color rgb="FFFF0000"/>
        <rFont val="Times New Roman"/>
        <family val="1"/>
      </rPr>
      <t>- lệnh ok - ưu tiên dỡ Cẩm Nguyên trước ạ - XUẤT HẾT</t>
    </r>
  </si>
  <si>
    <t>2000003147 - 412B.T05.2025/HPDQ-HWA(VNO) - XUẤT HẾT</t>
  </si>
  <si>
    <r>
      <rPr>
        <sz val="14"/>
        <color rgb="FF000000"/>
        <rFont val="Times New Roman"/>
        <family val="1"/>
      </rPr>
      <t xml:space="preserve">2000003154 - 475.T07.2025/HPDQ-TN (dk 21/07 có LC) - 5kt - XUẤT HẾT
</t>
    </r>
    <r>
      <rPr>
        <b/>
        <sz val="14"/>
        <color rgb="FFFF0000"/>
        <rFont val="Times New Roman"/>
        <family val="1"/>
      </rPr>
      <t>DỠ CẨM NGUYÊN -&gt; THIÊN LỘC THÀNH</t>
    </r>
  </si>
  <si>
    <t>24.07.2025
Từ Quy Nhơn về</t>
  </si>
  <si>
    <t>24/07 Bến 5</t>
  </si>
  <si>
    <r>
      <rPr>
        <b/>
        <sz val="14"/>
        <color rgb="FF000000"/>
        <rFont val="Times New Roman"/>
        <family val="1"/>
      </rPr>
      <t xml:space="preserve">2000003122 - 232A.T11.2024/HPDQ-TNS - đã có LC - 3000 tấn
</t>
    </r>
    <r>
      <rPr>
        <b/>
        <sz val="14"/>
        <color rgb="FFFF0000"/>
        <rFont val="Times New Roman"/>
        <family val="1"/>
      </rPr>
      <t>Khách hàng yêu cầu hàng có tại cảng dỡ trước 31/7</t>
    </r>
  </si>
  <si>
    <t>2000003080 - 477B.T07.2025/HPDQ-KD - 5k2</t>
  </si>
  <si>
    <r>
      <rPr>
        <sz val="14"/>
        <color rgb="FF000000"/>
        <rFont val="Times New Roman"/>
        <family val="1"/>
      </rPr>
      <t xml:space="preserve">2000003114 - 478.T07.2025/HPDQ-TL - 100T
</t>
    </r>
    <r>
      <rPr>
        <b/>
        <sz val="14"/>
        <color rgb="FFFF0000"/>
        <rFont val="Times New Roman"/>
        <family val="1"/>
      </rPr>
      <t>DỠ PHÚ MỸ -&gt; TÂN THUẬN</t>
    </r>
  </si>
  <si>
    <t>22-23.07.2025
Dỡ đá -&gt; nhận HRC</t>
  </si>
  <si>
    <t>2000003151 - 485.T07.2025/HPDQ-JFE - lệnh ok</t>
  </si>
  <si>
    <t>2000003080 - 477B.T07.2025/HPDQ-KD - 5k2 - CÂN TẢI</t>
  </si>
  <si>
    <t>2000003084 - 477E.T07.2025/HPDQ-KD - 150T</t>
  </si>
  <si>
    <t>HRC2 - Đã map 125t,
1 cuộn skin không kịp Hương báo xuất sau
(giao cùng đơn 477C - tháng 8)</t>
  </si>
  <si>
    <t>25-26.07.2025</t>
  </si>
  <si>
    <t>2200002076 - 2076.T07.2025/HPDQ-OTHY-NKH 4560TAN đi Hải Phòng HRC2 - CÂN TẢI</t>
  </si>
  <si>
    <t>HRC2 - 3703t đã map, chốt SO</t>
  </si>
  <si>
    <t>2200002077 - 2077.T07.2025/HPDQ-THP-NKH 2148TAN đi Hải Phòng HRC2 - XUẤT HẾT</t>
  </si>
  <si>
    <t>HRC2 - 2140t đã map, chốt SO</t>
  </si>
  <si>
    <t>2200002078 - 2078.T07.2025/HPDQ-OTHY-NKH 1262TAN đi Hải Phòng HRC2 - XUẤT HẾT</t>
  </si>
  <si>
    <t>2200002081 - 2081.T07.2025/HPDQ-OTHY-NKH 1724TAN đi Hải Phòng HRC1 - XUẤT HẾT</t>
  </si>
  <si>
    <t>HRC 1 Hàng hóa ok 
hàng spot</t>
  </si>
  <si>
    <t>2200002082 - 2082.T07.2025/HPDQ-THP-NKH 462TAN đi Hải Phòng HRC1 - XUẤT HẾT</t>
  </si>
  <si>
    <t>2000003119</t>
  </si>
  <si>
    <t>25-26.07.2025
Dỡ slab -&gt; nhận HRC</t>
  </si>
  <si>
    <t>26/07 Bến 3/5</t>
  </si>
  <si>
    <r>
      <rPr>
        <b/>
        <sz val="14"/>
        <color rgb="FF000000"/>
        <rFont val="Times New Roman"/>
        <family val="1"/>
      </rPr>
      <t xml:space="preserve">2000003119 - 471A.T07.2025/HPDQ-HSNS - 18/7 mở LC - tổng đơn 12,550 tấn
</t>
    </r>
    <r>
      <rPr>
        <b/>
        <sz val="14"/>
        <color rgb="FFFF0000"/>
        <rFont val="Times New Roman"/>
        <family val="1"/>
      </rPr>
      <t xml:space="preserve">Load hết size 1260x, không đủ thì thì load size 121x
</t>
    </r>
    <r>
      <rPr>
        <b/>
        <sz val="14"/>
        <color rgb="FF000000"/>
        <rFont val="Times New Roman"/>
        <family val="1"/>
      </rPr>
      <t>XUẤT ĐỦ DUNG SIZE CÁC SIZE HÀNG (ko thừa ko thiếu )</t>
    </r>
  </si>
  <si>
    <r>
      <rPr>
        <sz val="14"/>
        <color rgb="FF000000"/>
        <rFont val="Times New Roman"/>
        <family val="1"/>
      </rPr>
      <t xml:space="preserve">2000003125 - 399A.T05.2025/HPDQ-HWA(NP) - đã có LC - 4300 tấn
</t>
    </r>
    <r>
      <rPr>
        <b/>
        <sz val="14"/>
        <color rgb="FFFF0000"/>
        <rFont val="Times New Roman"/>
        <family val="1"/>
      </rPr>
      <t>DỠ NGHI SƠN -&gt; HOÀNG DIỆU</t>
    </r>
  </si>
  <si>
    <t>HRC2 - Hàng hóa ok, 4265t</t>
  </si>
  <si>
    <t>17.07.2025
NEO chờ hàng</t>
  </si>
  <si>
    <t>20h00 26/07 Bến 5</t>
  </si>
  <si>
    <t>PHẢI XONG HẾT TRONG THÁNG 7</t>
  </si>
  <si>
    <t>2000003144 - 451B.T06.2025/HPDQ-NK - lấy 3 cuộn 2.50
(lệnh mới thêm 28/7)</t>
  </si>
  <si>
    <t>2000003145 - 477F.T07.2025/HPDQ-KD - 700T - lệnh ok
chỉ lấy size 2.0*1250</t>
  </si>
  <si>
    <t>2000003129 - 451B.T06.2025/HPDQ-NK - LSD: 15/08, 6380T
nhận hàng khoảng 5/8, nếu ghép đc tàu load hàng cuối tháng 7 thì cho đi</t>
  </si>
  <si>
    <t>HRC2 - HÀNG HÓA OK
ĐÃ MAP 4K3</t>
  </si>
  <si>
    <t xml:space="preserve">2000003137 - 485.T07.2025/HPDQ-JFE </t>
  </si>
  <si>
    <r>
      <rPr>
        <sz val="14"/>
        <color rgb="FF000000"/>
        <rFont val="Times New Roman"/>
        <family val="1"/>
      </rPr>
      <t xml:space="preserve">HRC2 - Hàng hóa ok
</t>
    </r>
    <r>
      <rPr>
        <sz val="14"/>
        <color rgb="FFFF0000"/>
        <rFont val="Times New Roman"/>
        <family val="1"/>
      </rPr>
      <t>ĐÃ MAP 5.031 TẤN</t>
    </r>
  </si>
  <si>
    <t>2000003152 - 485.T07.2025/HPDQ-JFE</t>
  </si>
  <si>
    <t xml:space="preserve">HRC 1
Hàng hóa ok </t>
  </si>
  <si>
    <t>2000003069 - 486.T06.2025/HPDQ-TMPHN-KH 1000TAN đi Long An HRC2 - lệnh ok</t>
  </si>
  <si>
    <t>HRC2 - HÀNG HÓA OK
ĐÃ MAP 1.020T</t>
  </si>
  <si>
    <t>2000003070 - 490.T06.2025/HPDQ-TMPHD-KH 100TAN đi Long An HRC2 - lệnh ok</t>
  </si>
  <si>
    <t>HRC2 - HÀNG HÓA OK
ĐÃ MAP 95T</t>
  </si>
  <si>
    <t>2000003075 - 493.T06.2025/HPDQ-TMPHN-KH 2000TAN đi Long An HRC2 - lệnh ok</t>
  </si>
  <si>
    <t>HRC2 - Đã map 1894t, chốt SO</t>
  </si>
  <si>
    <t>2000003112 - 486.T06.2025/HPDQ-TMPHN-KH 3000TAN đi Long An HRC2 - lệnh ok</t>
  </si>
  <si>
    <t>2000003071 - 490.T06.2025/HPDQ-TMPHD-KH đi Long An HRC1 - lệnh ok</t>
  </si>
  <si>
    <t>2000003139 - 497B1.T05.2025/HPDQ-MISV-KH - 2500t (lệnh ok) - khách muốn nhận hàng sau 3/8</t>
  </si>
  <si>
    <t>2000003140 - 497B2.T05.2025/HPDQ-MISV-KH - 2500t (lệnh ok) - khách muốn nhận hàng sau 3/8</t>
  </si>
  <si>
    <t>Phú Mỹ -&gt; Tân Thuận</t>
  </si>
  <si>
    <t>2000003146 - 421B.T05.2025/HPDQ-TVN - 1000t - lệnh ok</t>
  </si>
  <si>
    <t>HRC2 - Đã map 983t, hết hàng tồn</t>
  </si>
  <si>
    <t>28.07.2025</t>
  </si>
  <si>
    <t>28/07 Bén 3/5</t>
  </si>
  <si>
    <t>2000003126 - 469.T07.2025/HPDQ-PT (LSD 15/8) - lệnh ok - XUẤT HẾT TRONG THÁNG 7</t>
  </si>
  <si>
    <t>HRC2 - Hàng hóa ok, 195t</t>
  </si>
  <si>
    <r>
      <rPr>
        <sz val="14"/>
        <color rgb="FF000000"/>
        <rFont val="Times New Roman"/>
        <family val="1"/>
      </rPr>
      <t xml:space="preserve">2000003131 - 496.T07.2025/HPDQ-TCĐ-KH - XUẤT HẾT
</t>
    </r>
    <r>
      <rPr>
        <sz val="14"/>
        <color rgb="FFFF0000"/>
        <rFont val="Times New Roman"/>
        <family val="1"/>
      </rPr>
      <t>(khách yêu cầu cho nhận hàng vào đầu tháng 8)</t>
    </r>
  </si>
  <si>
    <t>HRC2 -HÀNG HÓA OK</t>
  </si>
  <si>
    <t>2000003133 - 487.T07.2025/HPDQ-OTMN-KH - 12kt đã có LC - CÂN TẢI, lệnh ok</t>
  </si>
  <si>
    <t>2200002076 - 2076.T07.2025/HPDQ-OTHY-NKH 4560TAN đi Hải Phòng HRC2 - XUẤT HẾT</t>
  </si>
  <si>
    <t>ĐĂNG KHOA 79
 (thay thế HẢI NAM 68)</t>
  </si>
  <si>
    <t>28-29.07.2025
Từ Đà Nẵng về</t>
  </si>
  <si>
    <t>13h00 29/07 Bến 1</t>
  </si>
  <si>
    <r>
      <rPr>
        <b/>
        <sz val="14"/>
        <color rgb="FF000000"/>
        <rFont val="Times New Roman"/>
        <family val="1"/>
      </rPr>
      <t xml:space="preserve">2000003119 - 471A.T07.2025/HPDQ-HSNS - 18/7 mở LC - tổng đơn 12,550 tấn
</t>
    </r>
    <r>
      <rPr>
        <b/>
        <sz val="14"/>
        <color rgb="FFFF0000"/>
        <rFont val="Times New Roman"/>
        <family val="1"/>
      </rPr>
      <t>XUẤT HẾT HẾT CÁC SIZE HÀNG, ĐẢM BẢO ĐỦ DUNG SAI CÁC SIZE, CÂN TẢI TÀU</t>
    </r>
  </si>
  <si>
    <t>29.07.2025
NEO</t>
  </si>
  <si>
    <t>7h00 30/07 Bến 3/5</t>
  </si>
  <si>
    <t>2200002089 - 2089.T07.2025/HPDQ-OTHY-NKH 3684TAN đi Hải Phòng HRC2</t>
  </si>
  <si>
    <t>HRC 2 - HÀNG STOCK - hàng hóa ok</t>
  </si>
  <si>
    <t>2200002090 - 2090.T07.2025/HPDQ-OTHY-NKH 310TAN đi Hải Phòng HRC2</t>
  </si>
  <si>
    <t>LEM GLADIOLUS</t>
  </si>
  <si>
    <t>22/07/2025</t>
  </si>
  <si>
    <t>29/07 Bến 6</t>
  </si>
  <si>
    <t>Antwerp Port</t>
  </si>
  <si>
    <t>2400001226 - 92.T07-25/HPDQ-CLT - HẰNG</t>
  </si>
  <si>
    <t>Nhãn màu xanh (Blue)</t>
  </si>
  <si>
    <t>2400001236 - 104.T07-25/HPDQ-HPI - GIANG</t>
  </si>
  <si>
    <t>2400001238 - 107.T08-25/HPDQ-POSCO - LINH (S235JR)</t>
  </si>
  <si>
    <t>2400001239 - 107.T08-25/HPDQ-POSCO - LINH (S355MC)</t>
  </si>
  <si>
    <t>CARTAGENA, SPAIN</t>
  </si>
  <si>
    <t>2400001232 - 93.T07-25/HPDQ-CVASL</t>
  </si>
  <si>
    <t>Nhãn màu đỏ (RED)</t>
  </si>
  <si>
    <t>2400001233 - 93.T07-25/HPDQ-CVASL</t>
  </si>
  <si>
    <t>2400001234 - 93.T07-25/HPDQ-CVASL</t>
  </si>
  <si>
    <t>2400001235 - 93.T07-25/HPDQ-CVASL</t>
  </si>
  <si>
    <t>28.07.2025
NEO</t>
  </si>
  <si>
    <t>8h00 30/07 Bến 1</t>
  </si>
  <si>
    <t>2200002087 - 2087.T07.2025/HPDQ-OTHY-NKH 2280TAN đi Hải Phòng HRC1</t>
  </si>
  <si>
    <t>2200002088 - 2088.T07.2025/HPDQ-THP-NKH 1516TAN đi Hải Phòng HRC2 - cân tải</t>
  </si>
  <si>
    <t>30.07.2025
Dỡ đá -&gt; nhận HRC</t>
  </si>
  <si>
    <t>5h00 31/07 Bến 3/5</t>
  </si>
  <si>
    <t>2000003113 - 475.T07.2025/HPDQ-TN - 5kt -lệnh ok</t>
  </si>
  <si>
    <r>
      <rPr>
        <sz val="14"/>
        <color rgb="FF000000"/>
        <rFont val="Times New Roman"/>
        <family val="1"/>
      </rPr>
      <t xml:space="preserve">2000003123 - 399.T05.2025/HPDQ-NPSG - đã có LC - 700 tấn
</t>
    </r>
    <r>
      <rPr>
        <b/>
        <sz val="14"/>
        <color rgb="FFFF0000"/>
        <rFont val="Times New Roman"/>
        <family val="1"/>
      </rPr>
      <t>DỠ THIÊN LỘC THÀNH - CẨM NGUYÊN</t>
    </r>
  </si>
  <si>
    <t>26.07.2025</t>
  </si>
  <si>
    <t>31/07 Bến Tàu lai
(Tàu đã sẵn sàng 26/07)</t>
  </si>
  <si>
    <r>
      <rPr>
        <b/>
        <sz val="14"/>
        <color rgb="FF000000"/>
        <rFont val="Times New Roman"/>
        <family val="1"/>
      </rPr>
      <t xml:space="preserve">2000003117 - 413A.T05.2025/HPDQ-TVP - 10kt - LC quy định giao từ 20/7-5/8
xuất 2.30 + 2.70 SAE1006 + toàn bộ hàng SS400
</t>
    </r>
    <r>
      <rPr>
        <b/>
        <sz val="14"/>
        <color rgb="FFFF0000"/>
        <rFont val="Times New Roman"/>
        <family val="1"/>
      </rPr>
      <t>CÂN TẢI LỆNH NÀY</t>
    </r>
  </si>
  <si>
    <t xml:space="preserve">HRC2 - Hàng hóa ok, SO đã map 4320t </t>
  </si>
  <si>
    <t>32 TẤN</t>
  </si>
  <si>
    <r>
      <rPr>
        <sz val="14"/>
        <color rgb="FF000000"/>
        <rFont val="Times New Roman"/>
        <family val="1"/>
      </rPr>
      <t>2200002079 - 2079.T07.2025/HPDQ-OTBD-NKH 300TAN đi Long Bình HRC2 -</t>
    </r>
    <r>
      <rPr>
        <b/>
        <sz val="14"/>
        <color rgb="FFFF0000"/>
        <rFont val="Times New Roman"/>
        <family val="1"/>
      </rPr>
      <t xml:space="preserve"> XUẤT HẾT</t>
    </r>
  </si>
  <si>
    <t>HRC2 - 267t đã map, chốt SO</t>
  </si>
  <si>
    <t>ĐỂ LẠI 3 LỆNH NÀY KHÔNG XUẤT NỮA, TÍNH TÀU GHÉP SAU</t>
  </si>
  <si>
    <t>GHÉP TÀU NĐ ĐI PM</t>
  </si>
  <si>
    <t>Phú Mỹ / Italy's port</t>
  </si>
  <si>
    <t>2400001259 - 105.T07-25/HPDQ-MI - GIANG</t>
  </si>
  <si>
    <t>HRC2 - 1 cuộn 5.00x1500, 1 cuộn 6.00x1500 đạt chất lượng
9 cuộn chuyển mác S650MC. Tổng khối lượng khoảng 250t dự kiến 31/7 NK. PKD chốt với khách 9 cuộn mác S650MC</t>
  </si>
  <si>
    <t>ETA PM - 03/08</t>
  </si>
  <si>
    <t>2400001211 - 106.T07-25/HPDQ-MI - LINH</t>
  </si>
  <si>
    <t>2400001240 - 116.T08-25/HPDQ-MI</t>
  </si>
  <si>
    <t>08-11.07.2025</t>
  </si>
  <si>
    <t>2000003031 - 404A.T05.2025/HPDQ-TPH - LSD 20/07</t>
  </si>
  <si>
    <t>HRC2 - 726t chốt SO</t>
  </si>
  <si>
    <t>2000003062 - 404B.T05.2025/HPDQ-TPH - LSD 30/07</t>
  </si>
  <si>
    <t>05-11.07.2025</t>
  </si>
  <si>
    <t>2200002050 - 2050.T07.2025/HPDQ-OTĐN-NKH đi Đà Nẵng 6670TAN HRC2</t>
  </si>
  <si>
    <t>HRC2 - 5751t đã map, chốt SO
 do hàng đã xuất bán cho đơn hàng khách đặt hết tồn kho</t>
  </si>
  <si>
    <t>11.07.2025</t>
  </si>
  <si>
    <t>2000003020 - 405B.T05.2025/HPDQ-CKTC</t>
  </si>
  <si>
    <t>HRC2 - Hàng hóa ok, 128t</t>
  </si>
  <si>
    <t>14-16.07.2025</t>
  </si>
  <si>
    <t>HRC2 - 1298t đã map,
46t sx bù dự kiến 23/7</t>
  </si>
  <si>
    <t>16-20.07.2025</t>
  </si>
  <si>
    <t>2200002061 - 2061.T07.2025HPDQ-OTĐN-NKH 3179TAN đi Đà Nẵng HRC2</t>
  </si>
  <si>
    <t>2000003072 - 491.T06.2025/HPDQ-TMPHD-KH 300TAN đi Đà Nẵng HRC2</t>
  </si>
  <si>
    <t>HRC2 - Đã map 278t, chốt SO</t>
  </si>
  <si>
    <t>16-21.07.2025</t>
  </si>
  <si>
    <t>2200002068 - 2068.T07.2025/HPDQ-OTĐN-NKH 2322TAN đi Đà Nẵng HRC2</t>
  </si>
  <si>
    <t>HRC2 - 2301t đã map, chốt SO</t>
  </si>
  <si>
    <t>23-26.7.2025</t>
  </si>
  <si>
    <t>2200002071- 2071.T07.2025/HPDQ-OTĐN-NKH 3043TAN đi Đà Nẵng HRC1</t>
  </si>
  <si>
    <t>24-27.7.2025</t>
  </si>
  <si>
    <t>2200002080 - 2080.T07.2025/HPDQ-OTĐN-NKH 2045TAN đi Đà Nẵng HRC1</t>
  </si>
  <si>
    <t>HRC 1 - Hàng hóa ok
Hàng spot (chốt hụt 1 cuộn)</t>
  </si>
  <si>
    <t>29-30.7.2025</t>
  </si>
  <si>
    <t>2000003062 - 404B.T05.2025/HPDQ-TPH - LSD 30/7</t>
  </si>
  <si>
    <t>HRC 2 - Hàng hóa ok, 382t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</si>
</sst>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43" formatCode="_(* #,##0.00_);_(* \(#,##0.00\);_(* &quot;-&quot;??_);_(@_)"/>
    <numFmt numFmtId="164" formatCode="_(* #,##0_);_(* \(#,##0\);_(* &quot;-&quot;??_);_(@_)"/>
    <numFmt numFmtId="165" formatCode="[$-409]d\-mmm\-yy;@"/>
    <numFmt numFmtId="166" formatCode="_(* #,##0.0_);_(* \(#,##0.0\);_(* &quot;-&quot;??_);_(@_)"/>
    <numFmt numFmtId="167" formatCode="_-* #,##0.0\ _₫_-;\-* #,##0.0\ _₫_-;_-* &quot;-&quot;?\ _₫_-;_-@_-"/>
    <numFmt numFmtId="168" formatCode="_-* #,##0_-;\-* #,##0_-;_-* &quot;-&quot;??_-;_-@_-"/>
    <numFmt numFmtId="169" formatCode=";;"/>
  </numFmts>
  <fonts count="144">
    <font>
      <sz val="11"/>
      <color theme="1"/>
      <name val="Calibri"/>
      <family val="2"/>
      <scheme val="minor"/>
    </font>
    <font>
      <sz val="11"/>
      <color theme="1"/>
      <name val="Calibri"/>
      <family val="2"/>
      <scheme val="minor"/>
    </font>
    <font>
      <sz val="11"/>
      <color theme="1"/>
      <name val="Calibri"/>
      <family val="2"/>
      <scheme val="minor"/>
    </font>
    <font>
      <sz val="14"/>
      <color theme="1"/>
      <name val="Times New Roman"/>
      <family val="1"/>
    </font>
    <font>
      <b/>
      <sz val="20"/>
      <color rgb="FFFF0000"/>
      <name val="Times New Roman"/>
      <family val="1"/>
    </font>
    <font>
      <b/>
      <sz val="18"/>
      <color rgb="FFFF0000"/>
      <name val="Times New Roman"/>
      <family val="1"/>
    </font>
    <font>
      <b/>
      <sz val="20"/>
      <color theme="1"/>
      <name val="Times New Roman"/>
      <family val="1"/>
    </font>
    <font>
      <b/>
      <sz val="16"/>
      <color theme="1"/>
      <name val="Times New Roman"/>
      <family val="1"/>
    </font>
    <font>
      <b/>
      <sz val="16"/>
      <color rgb="FFFF0000"/>
      <name val="Times New Roman"/>
      <family val="1"/>
    </font>
    <font>
      <b/>
      <sz val="14"/>
      <color rgb="FFFF0000"/>
      <name val="Times New Roman"/>
      <family val="1"/>
    </font>
    <font>
      <b/>
      <sz val="14"/>
      <name val="Times New Roman"/>
      <family val="1"/>
    </font>
    <font>
      <sz val="14"/>
      <name val="Times New Roman"/>
      <family val="1"/>
    </font>
    <font>
      <sz val="14"/>
      <color rgb="FFFF0000"/>
      <name val="Times New Roman"/>
      <family val="1"/>
    </font>
    <font>
      <b/>
      <sz val="14"/>
      <color theme="1"/>
      <name val="Times New Roman"/>
      <family val="1"/>
    </font>
    <font>
      <sz val="14"/>
      <color rgb="FF0070C0"/>
      <name val="Times New Roman"/>
      <family val="1"/>
    </font>
    <font>
      <sz val="14"/>
      <color rgb="FF000000"/>
      <name val="Times New Roman"/>
      <family val="1"/>
    </font>
    <font>
      <b/>
      <sz val="14"/>
      <color rgb="FF000000"/>
      <name val="Times New Roman"/>
      <family val="1"/>
    </font>
    <font>
      <sz val="11"/>
      <color theme="1"/>
      <name val="Times New Roman"/>
      <family val="1"/>
    </font>
    <font>
      <b/>
      <sz val="13"/>
      <color theme="1"/>
      <name val="Times New Roman"/>
      <family val="1"/>
    </font>
    <font>
      <sz val="13"/>
      <color theme="1"/>
      <name val="Times New Roman"/>
      <family val="1"/>
    </font>
    <font>
      <b/>
      <sz val="13"/>
      <color rgb="FFFF0000"/>
      <name val="Times New Roman"/>
      <family val="1"/>
    </font>
    <font>
      <b/>
      <sz val="13"/>
      <name val="Times New Roman"/>
      <family val="1"/>
    </font>
    <font>
      <sz val="13"/>
      <color rgb="FF000000"/>
      <name val="Times New Roman"/>
      <family val="1"/>
    </font>
    <font>
      <b/>
      <sz val="13"/>
      <color rgb="FF000000"/>
      <name val="Times New Roman"/>
      <family val="1"/>
    </font>
    <font>
      <sz val="13"/>
      <color rgb="FFFF0000"/>
      <name val="Times New Roman"/>
      <family val="1"/>
    </font>
    <font>
      <sz val="11"/>
      <color rgb="FF001A33"/>
      <name val="Segoe UI"/>
      <family val="2"/>
    </font>
    <font>
      <b/>
      <sz val="11"/>
      <color rgb="FFFF0000"/>
      <name val="Segoe UI"/>
      <family val="2"/>
    </font>
    <font>
      <b/>
      <sz val="12"/>
      <color theme="1"/>
      <name val="Times New Roman"/>
      <family val="1"/>
    </font>
    <font>
      <sz val="12"/>
      <color theme="1"/>
      <name val="Times New Roman"/>
      <family val="1"/>
    </font>
    <font>
      <b/>
      <sz val="12"/>
      <name val="Times New Roman"/>
      <family val="1"/>
    </font>
    <font>
      <sz val="12"/>
      <color rgb="FF000000"/>
      <name val="Times New Roman"/>
      <family val="1"/>
    </font>
    <font>
      <b/>
      <sz val="12"/>
      <color rgb="FFFF0000"/>
      <name val="Times New Roman"/>
      <family val="1"/>
    </font>
    <font>
      <sz val="12"/>
      <color rgb="FFC65911"/>
      <name val="Times New Roman"/>
      <family val="1"/>
    </font>
    <font>
      <sz val="14"/>
      <color rgb="FFC65911"/>
      <name val="Times New Roman"/>
      <family val="1"/>
    </font>
    <font>
      <b/>
      <sz val="14"/>
      <color rgb="FFC65911"/>
      <name val="Times New Roman"/>
      <family val="1"/>
    </font>
    <font>
      <sz val="13"/>
      <color rgb="FFC65911"/>
      <name val="Times New Roman"/>
      <family val="1"/>
    </font>
    <font>
      <sz val="14"/>
      <color rgb="FF375623"/>
      <name val="Times New Roman"/>
      <family val="1"/>
    </font>
    <font>
      <sz val="14"/>
      <color theme="1"/>
      <name val="Times New Roman"/>
      <family val="1"/>
    </font>
    <font>
      <sz val="12"/>
      <color rgb="FF000000"/>
      <name val="Times New Roman"/>
      <family val="2"/>
    </font>
    <font>
      <sz val="12"/>
      <color rgb="FFFF0000"/>
      <name val="Times New Roman"/>
      <family val="1"/>
    </font>
    <font>
      <sz val="14"/>
      <color rgb="FF002060"/>
      <name val="Times New Roman"/>
      <family val="1"/>
    </font>
    <font>
      <sz val="14"/>
      <color rgb="FF4472C4"/>
      <name val="Times New Roman"/>
      <family val="1"/>
    </font>
    <font>
      <sz val="14"/>
      <color rgb="FF7030A0"/>
      <name val="Times New Roman"/>
      <family val="1"/>
    </font>
    <font>
      <sz val="18"/>
      <color rgb="FFFF0000"/>
      <name val="Times New Roman"/>
      <family val="1"/>
    </font>
    <font>
      <b/>
      <sz val="14"/>
      <color rgb="FF0070C0"/>
      <name val="Times New Roman"/>
      <family val="1"/>
    </font>
    <font>
      <b/>
      <sz val="14"/>
      <color rgb="FF4472C4"/>
      <name val="Times New Roman"/>
      <family val="1"/>
    </font>
    <font>
      <sz val="14"/>
      <color rgb="FF00B0F0"/>
      <name val="Times New Roman"/>
      <family val="1"/>
    </font>
    <font>
      <sz val="20"/>
      <color rgb="FFFF0000"/>
      <name val="Times New Roman"/>
      <family val="1"/>
    </font>
    <font>
      <sz val="16"/>
      <color rgb="FFFF0000"/>
      <name val="Times New Roman"/>
      <family val="1"/>
    </font>
    <font>
      <b/>
      <sz val="16"/>
      <color rgb="FF000000"/>
      <name val="Times New Roman"/>
      <family val="1"/>
    </font>
    <font>
      <sz val="26"/>
      <color rgb="FFFF0000"/>
      <name val="Times New Roman"/>
      <family val="1"/>
    </font>
    <font>
      <b/>
      <sz val="26"/>
      <color rgb="FFFF0000"/>
      <name val="Times New Roman"/>
      <family val="1"/>
    </font>
    <font>
      <b/>
      <sz val="24"/>
      <color rgb="FFFF0000"/>
      <name val="Times New Roman"/>
      <family val="1"/>
    </font>
    <font>
      <b/>
      <sz val="22"/>
      <color rgb="FFFF0000"/>
      <name val="Times New Roman"/>
      <family val="1"/>
    </font>
    <font>
      <sz val="16"/>
      <color theme="1"/>
      <name val="Times New Roman"/>
      <family val="1"/>
    </font>
    <font>
      <sz val="12"/>
      <name val="Times New Roman"/>
      <family val="1"/>
    </font>
    <font>
      <sz val="13"/>
      <name val="Times New Roman"/>
      <family val="1"/>
    </font>
    <font>
      <sz val="16"/>
      <color rgb="FF000000"/>
      <name val="Times New Roman"/>
      <family val="1"/>
    </font>
    <font>
      <sz val="24"/>
      <color rgb="FFFF0000"/>
      <name val="Times New Roman"/>
      <family val="1"/>
    </font>
    <font>
      <sz val="22"/>
      <color rgb="FFFF0000"/>
      <name val="Times New Roman"/>
      <family val="1"/>
    </font>
    <font>
      <sz val="14"/>
      <color rgb="FF0D0D0D"/>
      <name val="Times New Roman"/>
      <family val="1"/>
    </font>
    <font>
      <b/>
      <sz val="36"/>
      <color rgb="FFFF0000"/>
      <name val="Times New Roman"/>
      <family val="1"/>
    </font>
    <font>
      <b/>
      <sz val="24"/>
      <color theme="1"/>
      <name val="Times New Roman"/>
      <family val="1"/>
    </font>
    <font>
      <sz val="20"/>
      <color theme="1"/>
      <name val="Times New Roman"/>
      <family val="1"/>
    </font>
    <font>
      <sz val="11"/>
      <color rgb="FF000000"/>
      <name val="Calibri"/>
      <family val="2"/>
    </font>
    <font>
      <sz val="11"/>
      <color theme="1"/>
      <name val="Calibri"/>
      <family val="2"/>
    </font>
    <font>
      <b/>
      <i/>
      <sz val="26"/>
      <color rgb="FFFF0000"/>
      <name val="Times New Roman"/>
      <family val="1"/>
    </font>
    <font>
      <b/>
      <sz val="36"/>
      <color theme="1"/>
      <name val="Times New Roman"/>
      <family val="1"/>
    </font>
    <font>
      <b/>
      <i/>
      <sz val="14"/>
      <color rgb="FFFF0000"/>
      <name val="Times New Roman"/>
      <family val="1"/>
    </font>
    <font>
      <i/>
      <sz val="14"/>
      <color rgb="FFFF0000"/>
      <name val="Times New Roman"/>
      <family val="1"/>
    </font>
    <font>
      <sz val="14"/>
      <color rgb="FF323130"/>
      <name val="Times New Roman"/>
      <family val="1"/>
    </font>
    <font>
      <sz val="14"/>
      <color rgb="FF262626"/>
      <name val="Times New Roman"/>
      <family val="1"/>
    </font>
    <font>
      <u/>
      <sz val="14"/>
      <color rgb="FFFF0000"/>
      <name val="Times New Roman"/>
      <family val="1"/>
    </font>
    <font>
      <sz val="14"/>
      <color rgb="FF00B050"/>
      <name val="Times New Roman"/>
      <family val="1"/>
    </font>
    <font>
      <b/>
      <sz val="14"/>
      <color rgb="FF7030A0"/>
      <name val="Times New Roman"/>
      <family val="1"/>
    </font>
    <font>
      <sz val="14"/>
      <color rgb="FF1F4E78"/>
      <name val="Times New Roman"/>
      <family val="1"/>
    </font>
    <font>
      <sz val="14"/>
      <color rgb="FF2F75B5"/>
      <name val="Times New Roman"/>
      <family val="1"/>
    </font>
    <font>
      <b/>
      <sz val="18"/>
      <color rgb="FF7030A0"/>
      <name val="Times New Roman"/>
      <family val="1"/>
    </font>
    <font>
      <sz val="36"/>
      <color rgb="FFFF0000"/>
      <name val="Times New Roman"/>
      <family val="1"/>
    </font>
    <font>
      <b/>
      <sz val="72"/>
      <color rgb="FF000000"/>
      <name val="Times New Roman"/>
      <family val="1"/>
    </font>
    <font>
      <b/>
      <sz val="18"/>
      <color theme="1"/>
      <name val="Times New Roman"/>
      <family val="1"/>
    </font>
    <font>
      <b/>
      <sz val="72"/>
      <color theme="1"/>
      <name val="Times New Roman"/>
      <family val="1"/>
    </font>
    <font>
      <i/>
      <u/>
      <sz val="14"/>
      <color theme="1"/>
      <name val="Times New Roman"/>
      <family val="1"/>
    </font>
    <font>
      <i/>
      <u/>
      <sz val="14"/>
      <color rgb="FF000000"/>
      <name val="Times New Roman"/>
      <family val="1"/>
    </font>
    <font>
      <sz val="14"/>
      <color rgb="FF081B3A"/>
      <name val="Times New Roman"/>
      <family val="1"/>
    </font>
    <font>
      <sz val="13"/>
      <color rgb="FF7030A0"/>
      <name val="Times New Roman"/>
      <family val="1"/>
    </font>
    <font>
      <b/>
      <sz val="14"/>
      <color theme="8"/>
      <name val="Times New Roman"/>
      <family val="1"/>
    </font>
    <font>
      <sz val="14"/>
      <color theme="8"/>
      <name val="Times New Roman"/>
      <family val="1"/>
    </font>
    <font>
      <b/>
      <sz val="13"/>
      <color rgb="FF7030A0"/>
      <name val="Times New Roman"/>
      <family val="1"/>
    </font>
    <font>
      <b/>
      <sz val="28"/>
      <color rgb="FFFF0000"/>
      <name val="Times New Roman"/>
      <family val="1"/>
    </font>
    <font>
      <b/>
      <i/>
      <u/>
      <sz val="14"/>
      <color rgb="FF000000"/>
      <name val="Times New Roman"/>
      <family val="1"/>
    </font>
    <font>
      <i/>
      <sz val="14"/>
      <color rgb="FF000000"/>
      <name val="Times New Roman"/>
      <family val="1"/>
    </font>
    <font>
      <b/>
      <i/>
      <sz val="14"/>
      <color rgb="FF000000"/>
      <name val="Times New Roman"/>
      <family val="1"/>
    </font>
    <font>
      <b/>
      <sz val="12"/>
      <color rgb="FF000000"/>
      <name val="Times New Roman"/>
      <family val="1"/>
    </font>
    <font>
      <sz val="14"/>
      <color theme="1"/>
      <name val="-Apple-System"/>
      <charset val="1"/>
    </font>
    <font>
      <b/>
      <sz val="14"/>
      <color rgb="FF081B3A"/>
      <name val="Times New Roman"/>
      <family val="1"/>
    </font>
    <font>
      <sz val="11"/>
      <color rgb="FF242424"/>
      <name val="Aptos"/>
      <family val="2"/>
    </font>
    <font>
      <sz val="11"/>
      <color theme="1"/>
      <name val="Aptos"/>
      <family val="2"/>
    </font>
    <font>
      <b/>
      <sz val="11"/>
      <color theme="1"/>
      <name val="Aptos"/>
      <family val="2"/>
    </font>
    <font>
      <sz val="11"/>
      <color rgb="FF000000"/>
      <name val="Aptos"/>
      <family val="2"/>
    </font>
    <font>
      <b/>
      <sz val="14"/>
      <color rgb="FF000000"/>
      <name val="Times New Roman"/>
    </font>
    <font>
      <sz val="14"/>
      <color rgb="FF000000"/>
      <name val="Times New Roman"/>
    </font>
    <font>
      <b/>
      <sz val="14"/>
      <color rgb="FFFF0000"/>
      <name val="Times New Roman"/>
    </font>
    <font>
      <sz val="14"/>
      <color rgb="FFFF0000"/>
      <name val="Times New Roman"/>
    </font>
    <font>
      <sz val="14"/>
      <color theme="1"/>
      <name val="Times New Roman"/>
    </font>
    <font>
      <b/>
      <sz val="14"/>
      <color rgb="FF7030A0"/>
      <name val="Times New Roman"/>
    </font>
    <font>
      <b/>
      <sz val="14"/>
      <color theme="1"/>
      <name val="Times New Roman"/>
    </font>
    <font>
      <b/>
      <sz val="26"/>
      <color rgb="FFFF0000"/>
      <name val="Times New Roman"/>
    </font>
    <font>
      <b/>
      <sz val="20"/>
      <color rgb="FFFF0000"/>
      <name val="Times New Roman"/>
    </font>
    <font>
      <sz val="11"/>
      <color theme="1"/>
      <name val="Aptos"/>
    </font>
    <font>
      <b/>
      <sz val="16"/>
      <color rgb="FF7030A0"/>
      <name val="Times New Roman"/>
      <family val="1"/>
    </font>
    <font>
      <b/>
      <sz val="13"/>
      <color rgb="FFFF0000"/>
      <name val="Times New Roman"/>
    </font>
    <font>
      <b/>
      <sz val="16"/>
      <color rgb="FFFF0000"/>
      <name val="Times New Roman"/>
    </font>
    <font>
      <sz val="13"/>
      <color theme="1"/>
      <name val="Times New Roman"/>
    </font>
    <font>
      <sz val="13"/>
      <color rgb="FFFF0000"/>
      <name val="Times New Roman"/>
    </font>
    <font>
      <sz val="16"/>
      <color rgb="FFFF0000"/>
      <name val="Times New Roman"/>
    </font>
    <font>
      <b/>
      <sz val="12"/>
      <color theme="1"/>
      <name val="Times New Roman"/>
    </font>
    <font>
      <sz val="12"/>
      <color theme="1"/>
      <name val="Times New Roman"/>
    </font>
    <font>
      <sz val="14"/>
      <color rgb="FF7030A0"/>
      <name val="Times New Roman"/>
    </font>
    <font>
      <sz val="13"/>
      <color rgb="FF000000"/>
      <name val="Times New Roman"/>
    </font>
    <font>
      <b/>
      <sz val="12"/>
      <color rgb="FFFF0000"/>
      <name val="Times New Roman"/>
    </font>
    <font>
      <sz val="11"/>
      <color theme="1"/>
      <name val="time"/>
    </font>
    <font>
      <sz val="11"/>
      <color rgb="FFFF0000"/>
      <name val="time"/>
    </font>
    <font>
      <b/>
      <sz val="14"/>
      <color rgb="FFFF0000"/>
      <name val="Times New Roman"/>
      <charset val="1"/>
    </font>
    <font>
      <sz val="14"/>
      <color rgb="FF00B0F0"/>
      <name val="Times New Roman"/>
    </font>
    <font>
      <b/>
      <sz val="11"/>
      <color rgb="FF081B3A"/>
      <name val="SegoeuiPc"/>
      <charset val="1"/>
    </font>
    <font>
      <b/>
      <sz val="12"/>
      <color rgb="FF000000"/>
      <name val="Times New Roman"/>
    </font>
    <font>
      <b/>
      <sz val="13"/>
      <color theme="1"/>
      <name val="Times New Roman"/>
    </font>
    <font>
      <sz val="11"/>
      <color rgb="FF000000"/>
      <name val="Aptos"/>
    </font>
    <font>
      <sz val="14"/>
      <color rgb="FF000000"/>
      <name val="Times New Roman"/>
      <charset val="1"/>
    </font>
    <font>
      <b/>
      <sz val="11"/>
      <color theme="1"/>
      <name val="Aptos"/>
    </font>
    <font>
      <sz val="14"/>
      <color rgb="FFFF0000"/>
      <name val="Times New Roman"/>
      <charset val="1"/>
    </font>
    <font>
      <b/>
      <sz val="14"/>
      <color rgb="FF00B0F0"/>
      <name val="Times New Roman"/>
    </font>
    <font>
      <b/>
      <sz val="14"/>
      <color rgb="FF00B0F0"/>
      <name val="Times New Roman"/>
      <family val="1"/>
    </font>
    <font>
      <b/>
      <sz val="14"/>
      <color rgb="FF000000"/>
      <name val="Times New Roman"/>
      <charset val="1"/>
    </font>
    <font>
      <sz val="12"/>
      <color rgb="FF000000"/>
      <name val="Times New Roman"/>
    </font>
    <font>
      <b/>
      <sz val="14"/>
      <color rgb="FF002060"/>
      <name val="Times New Roman"/>
    </font>
    <font>
      <sz val="11"/>
      <color rgb="FFFF0000"/>
      <name val="Aptos"/>
      <family val="2"/>
    </font>
    <font>
      <b/>
      <sz val="13"/>
      <color rgb="FF000000"/>
      <name val="Times New Roman"/>
    </font>
    <font>
      <b/>
      <sz val="14"/>
      <color rgb="FFC00000"/>
      <name val="Times New Roman"/>
    </font>
    <font>
      <sz val="14"/>
      <color theme="1"/>
      <name val="Times New Roman"/>
      <charset val="1"/>
    </font>
    <font>
      <b/>
      <sz val="14"/>
      <color theme="0"/>
      <name val="Times New Roman"/>
      <family val="1"/>
    </font>
    <font>
      <b/>
      <sz val="14"/>
      <color theme="1"/>
      <name val="Times New Roman"/>
      <charset val="1"/>
    </font>
    <font>
      <sz val="12"/>
      <color rgb="FFFF0000"/>
      <name val="Times New Roman"/>
    </font>
  </fonts>
  <fills count="39">
    <fill>
      <patternFill patternType="none"/>
    </fill>
    <fill>
      <patternFill patternType="gray125"/>
    </fill>
    <fill>
      <patternFill patternType="solid">
        <fgColor rgb="FFFFFF00"/>
        <bgColor indexed="64"/>
      </patternFill>
    </fill>
    <fill>
      <patternFill patternType="solid">
        <fgColor theme="5" tint="0.59999389629810485"/>
        <bgColor indexed="64"/>
      </patternFill>
    </fill>
    <fill>
      <patternFill patternType="solid">
        <fgColor theme="7" tint="0.79998168889431442"/>
        <bgColor indexed="64"/>
      </patternFill>
    </fill>
    <fill>
      <patternFill patternType="solid">
        <fgColor theme="9" tint="0.79998168889431442"/>
        <bgColor indexed="64"/>
      </patternFill>
    </fill>
    <fill>
      <patternFill patternType="solid">
        <fgColor rgb="FFFFF2CC"/>
        <bgColor indexed="64"/>
      </patternFill>
    </fill>
    <fill>
      <patternFill patternType="solid">
        <fgColor rgb="FFE2EFDA"/>
        <bgColor indexed="64"/>
      </patternFill>
    </fill>
    <fill>
      <patternFill patternType="solid">
        <fgColor rgb="FFFCE4D6"/>
        <bgColor indexed="64"/>
      </patternFill>
    </fill>
    <fill>
      <patternFill patternType="solid">
        <fgColor rgb="FFD0CECE"/>
        <bgColor indexed="64"/>
      </patternFill>
    </fill>
    <fill>
      <patternFill patternType="solid">
        <fgColor rgb="FFE7E6E6"/>
        <bgColor indexed="64"/>
      </patternFill>
    </fill>
    <fill>
      <patternFill patternType="solid">
        <fgColor theme="9" tint="0.79998168889431442"/>
        <bgColor indexed="65"/>
      </patternFill>
    </fill>
    <fill>
      <patternFill patternType="solid">
        <fgColor rgb="FF8497B0"/>
        <bgColor indexed="64"/>
      </patternFill>
    </fill>
    <fill>
      <patternFill patternType="solid">
        <fgColor rgb="FFD9E1F2"/>
        <bgColor indexed="64"/>
      </patternFill>
    </fill>
    <fill>
      <patternFill patternType="solid">
        <fgColor rgb="FFEDEDED"/>
        <bgColor indexed="64"/>
      </patternFill>
    </fill>
    <fill>
      <patternFill patternType="solid">
        <fgColor rgb="FFAEAAAA"/>
        <bgColor indexed="64"/>
      </patternFill>
    </fill>
    <fill>
      <patternFill patternType="solid">
        <fgColor rgb="FFFFFFFF"/>
        <bgColor indexed="64"/>
      </patternFill>
    </fill>
    <fill>
      <patternFill patternType="solid">
        <fgColor rgb="FFC9C9C9"/>
        <bgColor indexed="64"/>
      </patternFill>
    </fill>
    <fill>
      <patternFill patternType="solid">
        <fgColor rgb="FF808080"/>
        <bgColor indexed="64"/>
      </patternFill>
    </fill>
    <fill>
      <patternFill patternType="solid">
        <fgColor rgb="FFC6E0B4"/>
        <bgColor indexed="64"/>
      </patternFill>
    </fill>
    <fill>
      <patternFill patternType="solid">
        <fgColor rgb="FFA5A5A5"/>
        <bgColor indexed="64"/>
      </patternFill>
    </fill>
    <fill>
      <patternFill patternType="solid">
        <fgColor rgb="FFB4C6E7"/>
        <bgColor indexed="64"/>
      </patternFill>
    </fill>
    <fill>
      <patternFill patternType="solid">
        <fgColor rgb="FFDDEBF7"/>
        <bgColor indexed="64"/>
      </patternFill>
    </fill>
    <fill>
      <patternFill patternType="solid">
        <fgColor theme="8" tint="0.79998168889431442"/>
        <bgColor indexed="64"/>
      </patternFill>
    </fill>
    <fill>
      <patternFill patternType="solid">
        <fgColor theme="4" tint="0.79998168889431442"/>
        <bgColor indexed="64"/>
      </patternFill>
    </fill>
    <fill>
      <patternFill patternType="solid">
        <fgColor rgb="FFF4B084"/>
        <bgColor indexed="64"/>
      </patternFill>
    </fill>
    <fill>
      <patternFill patternType="solid">
        <fgColor rgb="FFD9E1F2"/>
        <bgColor rgb="FF000000"/>
      </patternFill>
    </fill>
    <fill>
      <patternFill patternType="solid">
        <fgColor theme="2"/>
        <bgColor indexed="64"/>
      </patternFill>
    </fill>
    <fill>
      <patternFill patternType="solid">
        <fgColor theme="6" tint="0.59999389629810485"/>
        <bgColor indexed="64"/>
      </patternFill>
    </fill>
    <fill>
      <patternFill patternType="solid">
        <fgColor theme="6" tint="0.79998168889431442"/>
        <bgColor indexed="64"/>
      </patternFill>
    </fill>
    <fill>
      <patternFill patternType="solid">
        <fgColor theme="3" tint="0.79998168889431442"/>
        <bgColor indexed="64"/>
      </patternFill>
    </fill>
    <fill>
      <patternFill patternType="solid">
        <fgColor rgb="FF00B050"/>
        <bgColor indexed="64"/>
      </patternFill>
    </fill>
    <fill>
      <patternFill patternType="solid">
        <fgColor theme="5" tint="0.79998168889431442"/>
        <bgColor indexed="64"/>
      </patternFill>
    </fill>
    <fill>
      <patternFill patternType="solid">
        <fgColor theme="0"/>
        <bgColor indexed="64"/>
      </patternFill>
    </fill>
    <fill>
      <patternFill patternType="solid">
        <fgColor rgb="FFF5BFAB"/>
        <bgColor indexed="64"/>
      </patternFill>
    </fill>
    <fill>
      <patternFill patternType="solid">
        <fgColor rgb="FFF5BA9F"/>
        <bgColor indexed="64"/>
      </patternFill>
    </fill>
    <fill>
      <patternFill patternType="solid">
        <fgColor rgb="FF92D050"/>
        <bgColor indexed="64"/>
      </patternFill>
    </fill>
    <fill>
      <patternFill patternType="solid">
        <fgColor theme="4"/>
        <bgColor indexed="64"/>
      </patternFill>
    </fill>
    <fill>
      <patternFill patternType="solid">
        <fgColor theme="1" tint="0.499984740745262"/>
        <bgColor indexed="64"/>
      </patternFill>
    </fill>
  </fills>
  <borders count="52">
    <border>
      <left/>
      <right/>
      <top/>
      <bottom/>
      <diagonal/>
    </border>
    <border>
      <left/>
      <right/>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indexed="64"/>
      </left>
      <right style="thin">
        <color indexed="64"/>
      </right>
      <top style="thin">
        <color indexed="64"/>
      </top>
      <bottom style="thin">
        <color indexed="64"/>
      </bottom>
      <diagonal/>
    </border>
    <border>
      <left style="thin">
        <color auto="1"/>
      </left>
      <right style="thin">
        <color auto="1"/>
      </right>
      <top/>
      <bottom style="thin">
        <color auto="1"/>
      </bottom>
      <diagonal/>
    </border>
    <border>
      <left style="thin">
        <color indexed="64"/>
      </left>
      <right style="thin">
        <color indexed="64"/>
      </right>
      <top style="thin">
        <color indexed="64"/>
      </top>
      <bottom/>
      <diagonal/>
    </border>
    <border>
      <left style="thin">
        <color rgb="FF000000"/>
      </left>
      <right style="thin">
        <color rgb="FF000000"/>
      </right>
      <top style="thin">
        <color rgb="FF000000"/>
      </top>
      <bottom style="thin">
        <color rgb="FF000000"/>
      </bottom>
      <diagonal/>
    </border>
    <border>
      <left style="thin">
        <color indexed="64"/>
      </left>
      <right/>
      <top style="thin">
        <color indexed="64"/>
      </top>
      <bottom/>
      <diagonal/>
    </border>
    <border>
      <left style="thin">
        <color rgb="FF000000"/>
      </left>
      <right/>
      <top style="thin">
        <color rgb="FF000000"/>
      </top>
      <bottom style="thin">
        <color rgb="FF000000"/>
      </bottom>
      <diagonal/>
    </border>
    <border>
      <left/>
      <right style="thin">
        <color indexed="64"/>
      </right>
      <top style="thin">
        <color indexed="64"/>
      </top>
      <bottom/>
      <diagonal/>
    </border>
    <border>
      <left style="thin">
        <color rgb="FF000000"/>
      </left>
      <right style="thin">
        <color rgb="FF000000"/>
      </right>
      <top style="thin">
        <color rgb="FF000000"/>
      </top>
      <bottom/>
      <diagonal/>
    </border>
    <border>
      <left/>
      <right style="thin">
        <color indexed="64"/>
      </right>
      <top/>
      <bottom style="thin">
        <color indexed="64"/>
      </bottom>
      <diagonal/>
    </border>
    <border>
      <left style="thin">
        <color auto="1"/>
      </left>
      <right style="thin">
        <color auto="1"/>
      </right>
      <top/>
      <bottom/>
      <diagonal/>
    </border>
    <border>
      <left/>
      <right style="thin">
        <color indexed="64"/>
      </right>
      <top/>
      <bottom/>
      <diagonal/>
    </border>
    <border>
      <left/>
      <right style="thin">
        <color rgb="FF000000"/>
      </right>
      <top style="thin">
        <color rgb="FF000000"/>
      </top>
      <bottom style="thin">
        <color rgb="FF000000"/>
      </bottom>
      <diagonal/>
    </border>
    <border>
      <left style="thin">
        <color rgb="FF000000"/>
      </left>
      <right/>
      <top style="thin">
        <color rgb="FF000000"/>
      </top>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right style="thin">
        <color rgb="FF000000"/>
      </right>
      <top/>
      <bottom style="thin">
        <color rgb="FF000000"/>
      </bottom>
      <diagonal/>
    </border>
    <border>
      <left/>
      <right style="thin">
        <color rgb="FF000000"/>
      </right>
      <top/>
      <bottom/>
      <diagonal/>
    </border>
    <border>
      <left style="thin">
        <color rgb="FF000000"/>
      </left>
      <right style="thin">
        <color rgb="FF000000"/>
      </right>
      <top/>
      <bottom/>
      <diagonal/>
    </border>
    <border>
      <left/>
      <right/>
      <top style="thin">
        <color rgb="FF000000"/>
      </top>
      <bottom style="thin">
        <color rgb="FF000000"/>
      </bottom>
      <diagonal/>
    </border>
    <border>
      <left/>
      <right/>
      <top style="thin">
        <color rgb="FF000000"/>
      </top>
      <bottom/>
      <diagonal/>
    </border>
    <border>
      <left/>
      <right style="thin">
        <color rgb="FF000000"/>
      </right>
      <top style="thin">
        <color rgb="FF000000"/>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diagonal/>
    </border>
    <border>
      <left/>
      <right style="medium">
        <color rgb="FF000000"/>
      </right>
      <top/>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top/>
      <bottom style="thin">
        <color rgb="FF000000"/>
      </bottom>
      <diagonal/>
    </border>
    <border>
      <left style="thin">
        <color rgb="FF000000"/>
      </left>
      <right/>
      <top/>
      <bottom/>
      <diagonal/>
    </border>
    <border>
      <left style="thin">
        <color auto="1"/>
      </left>
      <right/>
      <top/>
      <bottom style="thin">
        <color auto="1"/>
      </bottom>
      <diagonal/>
    </border>
    <border>
      <left style="thin">
        <color auto="1"/>
      </left>
      <right/>
      <top/>
      <bottom/>
      <diagonal/>
    </border>
    <border>
      <left/>
      <right/>
      <top style="thin">
        <color indexed="64"/>
      </top>
      <bottom/>
      <diagonal/>
    </border>
    <border>
      <left style="thin">
        <color indexed="64"/>
      </left>
      <right style="thin">
        <color indexed="64"/>
      </right>
      <top style="thin">
        <color indexed="64"/>
      </top>
      <bottom style="thin">
        <color rgb="FF000000"/>
      </bottom>
      <diagonal/>
    </border>
    <border>
      <left style="thin">
        <color indexed="64"/>
      </left>
      <right style="thin">
        <color indexed="64"/>
      </right>
      <top/>
      <bottom style="thin">
        <color rgb="FF000000"/>
      </bottom>
      <diagonal/>
    </border>
    <border>
      <left style="thin">
        <color rgb="FF000000"/>
      </left>
      <right style="thin">
        <color rgb="FF000000"/>
      </right>
      <top style="thin">
        <color indexed="64"/>
      </top>
      <bottom/>
      <diagonal/>
    </border>
    <border>
      <left style="thin">
        <color rgb="FF000000"/>
      </left>
      <right style="thin">
        <color rgb="FF000000"/>
      </right>
      <top style="thin">
        <color indexed="64"/>
      </top>
      <bottom style="thin">
        <color indexed="64"/>
      </bottom>
      <diagonal/>
    </border>
    <border>
      <left/>
      <right style="thin">
        <color auto="1"/>
      </right>
      <top style="thin">
        <color rgb="FF000000"/>
      </top>
      <bottom/>
      <diagonal/>
    </border>
    <border>
      <left/>
      <right style="thin">
        <color rgb="FF000000"/>
      </right>
      <top style="thin">
        <color indexed="64"/>
      </top>
      <bottom/>
      <diagonal/>
    </border>
    <border>
      <left style="thin">
        <color rgb="FF000000"/>
      </left>
      <right style="thin">
        <color rgb="FF000000"/>
      </right>
      <top style="thin">
        <color rgb="FF000000"/>
      </top>
      <bottom style="thin">
        <color indexed="64"/>
      </bottom>
      <diagonal/>
    </border>
    <border>
      <left style="thin">
        <color indexed="64"/>
      </left>
      <right/>
      <top style="thin">
        <color indexed="64"/>
      </top>
      <bottom style="thin">
        <color rgb="FF000000"/>
      </bottom>
      <diagonal/>
    </border>
    <border>
      <left style="thin">
        <color rgb="FF000000"/>
      </left>
      <right style="thin">
        <color indexed="64"/>
      </right>
      <top style="thin">
        <color rgb="FF000000"/>
      </top>
      <bottom/>
      <diagonal/>
    </border>
    <border>
      <left style="thin">
        <color rgb="FF000000"/>
      </left>
      <right style="thin">
        <color indexed="64"/>
      </right>
      <top/>
      <bottom/>
      <diagonal/>
    </border>
    <border>
      <left style="thin">
        <color rgb="FF000000"/>
      </left>
      <right style="thin">
        <color indexed="64"/>
      </right>
      <top/>
      <bottom style="thin">
        <color rgb="FF000000"/>
      </bottom>
      <diagonal/>
    </border>
    <border>
      <left/>
      <right style="thin">
        <color indexed="64"/>
      </right>
      <top/>
      <bottom style="thin">
        <color rgb="FF000000"/>
      </bottom>
      <diagonal/>
    </border>
    <border>
      <left/>
      <right/>
      <top style="thin">
        <color theme="8" tint="0.39997558519241921"/>
      </top>
      <bottom style="thin">
        <color theme="8" tint="0.39997558519241921"/>
      </bottom>
      <diagonal/>
    </border>
  </borders>
  <cellStyleXfs count="5">
    <xf numFmtId="0" fontId="0" fillId="0" borderId="0"/>
    <xf numFmtId="43" fontId="2" fillId="0" borderId="0" applyFont="0" applyFill="0" applyBorder="0" applyAlignment="0" applyProtection="0"/>
    <xf numFmtId="43" fontId="2" fillId="0" borderId="0" applyFont="0" applyFill="0" applyBorder="0" applyAlignment="0" applyProtection="0"/>
    <xf numFmtId="0" fontId="1" fillId="11" borderId="0" applyNumberFormat="0" applyBorder="0" applyAlignment="0" applyProtection="0"/>
    <xf numFmtId="9" fontId="1" fillId="0" borderId="0" applyFont="0" applyFill="0" applyBorder="0" applyAlignment="0" applyProtection="0"/>
  </cellStyleXfs>
  <cellXfs count="3843">
    <xf numFmtId="0" fontId="0" fillId="0" borderId="0" xfId="0"/>
    <xf numFmtId="0" fontId="3" fillId="0" borderId="0" xfId="0" applyFont="1" applyAlignment="1">
      <alignment horizontal="center" vertical="center"/>
    </xf>
    <xf numFmtId="164" fontId="3" fillId="0" borderId="0" xfId="1" applyNumberFormat="1" applyFont="1" applyFill="1" applyAlignment="1">
      <alignment vertical="center"/>
    </xf>
    <xf numFmtId="0" fontId="3" fillId="0" borderId="0" xfId="0" applyFont="1" applyAlignment="1">
      <alignment vertical="center"/>
    </xf>
    <xf numFmtId="164" fontId="3" fillId="0" borderId="0" xfId="0" applyNumberFormat="1" applyFont="1" applyAlignment="1">
      <alignment vertical="center"/>
    </xf>
    <xf numFmtId="0" fontId="3" fillId="0" borderId="2" xfId="0" applyFont="1" applyBorder="1" applyAlignment="1">
      <alignment horizontal="center" vertical="center"/>
    </xf>
    <xf numFmtId="0" fontId="3" fillId="0" borderId="4" xfId="0" applyFont="1" applyBorder="1" applyAlignment="1">
      <alignment horizontal="center" vertical="center"/>
    </xf>
    <xf numFmtId="0" fontId="3" fillId="0" borderId="0" xfId="0" applyFont="1" applyAlignment="1">
      <alignment vertical="center" wrapText="1"/>
    </xf>
    <xf numFmtId="0" fontId="13" fillId="0" borderId="0" xfId="0" applyFont="1" applyAlignment="1">
      <alignment vertical="center"/>
    </xf>
    <xf numFmtId="0" fontId="3" fillId="0" borderId="0" xfId="0" applyFont="1" applyAlignment="1">
      <alignment horizontal="left" vertical="center"/>
    </xf>
    <xf numFmtId="0" fontId="4" fillId="0" borderId="0" xfId="0" applyFont="1" applyAlignment="1">
      <alignment horizontal="center" vertical="center"/>
    </xf>
    <xf numFmtId="164" fontId="3" fillId="0" borderId="0" xfId="1" applyNumberFormat="1" applyFont="1" applyFill="1" applyBorder="1" applyAlignment="1">
      <alignment vertical="center"/>
    </xf>
    <xf numFmtId="166" fontId="3" fillId="0" borderId="0" xfId="1" applyNumberFormat="1" applyFont="1" applyFill="1" applyBorder="1" applyAlignment="1">
      <alignment horizontal="center" vertical="center"/>
    </xf>
    <xf numFmtId="0" fontId="11" fillId="4" borderId="5" xfId="0" quotePrefix="1" applyFont="1" applyFill="1" applyBorder="1" applyAlignment="1">
      <alignment horizontal="center" vertical="center" wrapText="1"/>
    </xf>
    <xf numFmtId="0" fontId="11" fillId="4" borderId="5" xfId="0" applyFont="1" applyFill="1" applyBorder="1" applyAlignment="1">
      <alignment horizontal="center" vertical="center"/>
    </xf>
    <xf numFmtId="164" fontId="11" fillId="4" borderId="5" xfId="1" applyNumberFormat="1" applyFont="1" applyFill="1" applyBorder="1" applyAlignment="1">
      <alignment horizontal="center" vertical="center"/>
    </xf>
    <xf numFmtId="0" fontId="11" fillId="4" borderId="5" xfId="0" quotePrefix="1" applyFont="1" applyFill="1" applyBorder="1" applyAlignment="1">
      <alignment horizontal="left" vertical="center" wrapText="1"/>
    </xf>
    <xf numFmtId="0" fontId="3" fillId="4" borderId="5" xfId="0" applyFont="1" applyFill="1" applyBorder="1" applyAlignment="1">
      <alignment horizontal="center" vertical="center"/>
    </xf>
    <xf numFmtId="164" fontId="3" fillId="0" borderId="5" xfId="1" applyNumberFormat="1" applyFont="1" applyFill="1" applyBorder="1" applyAlignment="1">
      <alignment horizontal="center" vertical="center"/>
    </xf>
    <xf numFmtId="0" fontId="11" fillId="4" borderId="5" xfId="1" quotePrefix="1" applyNumberFormat="1" applyFont="1" applyFill="1" applyBorder="1" applyAlignment="1">
      <alignment horizontal="left" vertical="center" wrapText="1"/>
    </xf>
    <xf numFmtId="164" fontId="3" fillId="4" borderId="5" xfId="1" applyNumberFormat="1" applyFont="1" applyFill="1" applyBorder="1" applyAlignment="1">
      <alignment horizontal="center" vertical="center"/>
    </xf>
    <xf numFmtId="0" fontId="3" fillId="4" borderId="5" xfId="0" applyFont="1" applyFill="1" applyBorder="1" applyAlignment="1">
      <alignment horizontal="left" vertical="center" wrapText="1"/>
    </xf>
    <xf numFmtId="0" fontId="3" fillId="4" borderId="5" xfId="0" quotePrefix="1" applyFont="1" applyFill="1" applyBorder="1" applyAlignment="1">
      <alignment horizontal="left" vertical="center" wrapText="1"/>
    </xf>
    <xf numFmtId="0" fontId="3" fillId="4" borderId="5" xfId="0" applyFont="1" applyFill="1" applyBorder="1" applyAlignment="1">
      <alignment horizontal="center" vertical="center" wrapText="1"/>
    </xf>
    <xf numFmtId="164" fontId="3" fillId="4" borderId="5" xfId="1" applyNumberFormat="1" applyFont="1" applyFill="1" applyBorder="1" applyAlignment="1">
      <alignment vertical="center"/>
    </xf>
    <xf numFmtId="0" fontId="3" fillId="4" borderId="5" xfId="0" applyFont="1" applyFill="1" applyBorder="1" applyAlignment="1">
      <alignment vertical="center" wrapText="1"/>
    </xf>
    <xf numFmtId="0" fontId="9" fillId="4" borderId="5" xfId="0" quotePrefix="1" applyFont="1" applyFill="1" applyBorder="1" applyAlignment="1">
      <alignment horizontal="left" vertical="center" wrapText="1"/>
    </xf>
    <xf numFmtId="164" fontId="3" fillId="5" borderId="5" xfId="1" applyNumberFormat="1" applyFont="1" applyFill="1" applyBorder="1" applyAlignment="1">
      <alignment horizontal="center" vertical="center"/>
    </xf>
    <xf numFmtId="0" fontId="12" fillId="4" borderId="5" xfId="0" applyFont="1" applyFill="1" applyBorder="1" applyAlignment="1">
      <alignment horizontal="center" vertical="center"/>
    </xf>
    <xf numFmtId="0" fontId="13" fillId="4" borderId="0" xfId="0" applyFont="1" applyFill="1" applyAlignment="1">
      <alignment horizontal="left" vertical="center"/>
    </xf>
    <xf numFmtId="0" fontId="13" fillId="4" borderId="5" xfId="0" quotePrefix="1" applyFont="1" applyFill="1" applyBorder="1" applyAlignment="1">
      <alignment horizontal="left" vertical="center" wrapText="1"/>
    </xf>
    <xf numFmtId="46" fontId="3" fillId="4" borderId="5" xfId="0" quotePrefix="1" applyNumberFormat="1" applyFont="1" applyFill="1" applyBorder="1" applyAlignment="1">
      <alignment horizontal="left" vertical="center" wrapText="1"/>
    </xf>
    <xf numFmtId="0" fontId="12" fillId="4" borderId="5" xfId="0" quotePrefix="1" applyFont="1" applyFill="1" applyBorder="1" applyAlignment="1">
      <alignment horizontal="left" vertical="center" wrapText="1"/>
    </xf>
    <xf numFmtId="164" fontId="3" fillId="4" borderId="5" xfId="2" applyNumberFormat="1" applyFont="1" applyFill="1" applyBorder="1" applyAlignment="1">
      <alignment horizontal="center" vertical="center"/>
    </xf>
    <xf numFmtId="0" fontId="3" fillId="4" borderId="5" xfId="0" quotePrefix="1" applyFont="1" applyFill="1" applyBorder="1" applyAlignment="1">
      <alignment vertical="center" wrapText="1"/>
    </xf>
    <xf numFmtId="164" fontId="3" fillId="0" borderId="6" xfId="1" applyNumberFormat="1" applyFont="1" applyFill="1" applyBorder="1" applyAlignment="1">
      <alignment horizontal="center" vertical="center"/>
    </xf>
    <xf numFmtId="0" fontId="3" fillId="4" borderId="5" xfId="0" applyFont="1" applyFill="1" applyBorder="1" applyAlignment="1">
      <alignment horizontal="left" vertical="center"/>
    </xf>
    <xf numFmtId="164" fontId="3" fillId="0" borderId="5" xfId="1" applyNumberFormat="1" applyFont="1" applyFill="1" applyBorder="1" applyAlignment="1">
      <alignment vertical="center"/>
    </xf>
    <xf numFmtId="166" fontId="3" fillId="0" borderId="5" xfId="1" applyNumberFormat="1" applyFont="1" applyFill="1" applyBorder="1" applyAlignment="1">
      <alignment horizontal="center" vertical="center"/>
    </xf>
    <xf numFmtId="0" fontId="3" fillId="0" borderId="5" xfId="0" applyFont="1" applyBorder="1" applyAlignment="1">
      <alignment vertical="center"/>
    </xf>
    <xf numFmtId="164" fontId="3" fillId="0" borderId="0" xfId="0" applyNumberFormat="1" applyFont="1" applyAlignment="1">
      <alignment vertical="center" wrapText="1"/>
    </xf>
    <xf numFmtId="0" fontId="3" fillId="0" borderId="5" xfId="0" applyFont="1" applyBorder="1" applyAlignment="1">
      <alignment horizontal="center" vertical="center"/>
    </xf>
    <xf numFmtId="0" fontId="3" fillId="4" borderId="5" xfId="0" quotePrefix="1" applyFont="1" applyFill="1" applyBorder="1" applyAlignment="1">
      <alignment horizontal="left" vertical="center"/>
    </xf>
    <xf numFmtId="0" fontId="3" fillId="4" borderId="5" xfId="0" applyFont="1" applyFill="1" applyBorder="1" applyAlignment="1">
      <alignment horizontal="left" vertical="top" wrapText="1"/>
    </xf>
    <xf numFmtId="0" fontId="3" fillId="0" borderId="5" xfId="0" applyFont="1" applyBorder="1" applyAlignment="1">
      <alignment horizontal="left" vertical="center"/>
    </xf>
    <xf numFmtId="164" fontId="3" fillId="5" borderId="5" xfId="1" applyNumberFormat="1" applyFont="1" applyFill="1" applyBorder="1" applyAlignment="1">
      <alignment vertical="center"/>
    </xf>
    <xf numFmtId="0" fontId="6" fillId="0" borderId="5" xfId="0" applyFont="1" applyBorder="1" applyAlignment="1">
      <alignment vertical="center"/>
    </xf>
    <xf numFmtId="0" fontId="6" fillId="0" borderId="5" xfId="0" applyFont="1" applyBorder="1" applyAlignment="1">
      <alignment horizontal="center" vertical="center"/>
    </xf>
    <xf numFmtId="14" fontId="7" fillId="0" borderId="5" xfId="0" applyNumberFormat="1" applyFont="1" applyBorder="1" applyAlignment="1">
      <alignment horizontal="center" vertical="center"/>
    </xf>
    <xf numFmtId="164" fontId="7" fillId="3" borderId="5" xfId="1" applyNumberFormat="1" applyFont="1" applyFill="1" applyBorder="1" applyAlignment="1">
      <alignment vertical="center"/>
    </xf>
    <xf numFmtId="14" fontId="7" fillId="0" borderId="5" xfId="0" applyNumberFormat="1" applyFont="1" applyBorder="1" applyAlignment="1">
      <alignment vertical="center"/>
    </xf>
    <xf numFmtId="14" fontId="7" fillId="0" borderId="5" xfId="0" applyNumberFormat="1" applyFont="1" applyBorder="1" applyAlignment="1">
      <alignment horizontal="left" vertical="center"/>
    </xf>
    <xf numFmtId="14" fontId="9" fillId="0" borderId="5" xfId="1" applyNumberFormat="1" applyFont="1" applyFill="1" applyBorder="1" applyAlignment="1">
      <alignment vertical="center"/>
    </xf>
    <xf numFmtId="0" fontId="10" fillId="2" borderId="5" xfId="0" applyFont="1" applyFill="1" applyBorder="1" applyAlignment="1">
      <alignment horizontal="center" vertical="center" wrapText="1"/>
    </xf>
    <xf numFmtId="164" fontId="10" fillId="2" borderId="5" xfId="1" applyNumberFormat="1" applyFont="1" applyFill="1" applyBorder="1" applyAlignment="1">
      <alignment horizontal="center" vertical="center" wrapText="1"/>
    </xf>
    <xf numFmtId="0" fontId="10" fillId="2" borderId="5" xfId="0" applyFont="1" applyFill="1" applyBorder="1" applyAlignment="1">
      <alignment horizontal="left" vertical="center" wrapText="1"/>
    </xf>
    <xf numFmtId="0" fontId="11" fillId="4" borderId="5" xfId="0" quotePrefix="1" applyFont="1" applyFill="1" applyBorder="1" applyAlignment="1">
      <alignment vertical="center" wrapText="1"/>
    </xf>
    <xf numFmtId="164" fontId="3" fillId="4" borderId="5" xfId="0" applyNumberFormat="1" applyFont="1" applyFill="1" applyBorder="1" applyAlignment="1">
      <alignment horizontal="center" vertical="center"/>
    </xf>
    <xf numFmtId="0" fontId="11" fillId="4" borderId="5" xfId="0" applyFont="1" applyFill="1" applyBorder="1" applyAlignment="1">
      <alignment horizontal="left" vertical="center" wrapText="1"/>
    </xf>
    <xf numFmtId="164" fontId="12" fillId="0" borderId="5" xfId="1" applyNumberFormat="1" applyFont="1" applyFill="1" applyBorder="1" applyAlignment="1">
      <alignment horizontal="center" vertical="center"/>
    </xf>
    <xf numFmtId="166" fontId="3" fillId="4" borderId="5" xfId="1" applyNumberFormat="1" applyFont="1" applyFill="1" applyBorder="1" applyAlignment="1">
      <alignment horizontal="center" vertical="center"/>
    </xf>
    <xf numFmtId="0" fontId="11" fillId="4" borderId="5" xfId="0" applyFont="1" applyFill="1" applyBorder="1" applyAlignment="1">
      <alignment horizontal="center" vertical="center" wrapText="1"/>
    </xf>
    <xf numFmtId="14" fontId="3" fillId="4" borderId="5" xfId="0" applyNumberFormat="1" applyFont="1" applyFill="1" applyBorder="1" applyAlignment="1">
      <alignment horizontal="center" vertical="center"/>
    </xf>
    <xf numFmtId="0" fontId="3" fillId="4" borderId="5" xfId="0" applyFont="1" applyFill="1" applyBorder="1" applyAlignment="1">
      <alignment vertical="center"/>
    </xf>
    <xf numFmtId="0" fontId="9" fillId="4" borderId="5" xfId="0" applyFont="1" applyFill="1" applyBorder="1" applyAlignment="1">
      <alignment horizontal="left" vertical="center" wrapText="1"/>
    </xf>
    <xf numFmtId="0" fontId="9" fillId="4" borderId="5" xfId="0" quotePrefix="1" applyFont="1" applyFill="1" applyBorder="1" applyAlignment="1">
      <alignment vertical="center" wrapText="1"/>
    </xf>
    <xf numFmtId="0" fontId="11" fillId="2" borderId="5" xfId="0" applyFont="1" applyFill="1" applyBorder="1" applyAlignment="1">
      <alignment horizontal="center" vertical="center" wrapText="1"/>
    </xf>
    <xf numFmtId="0" fontId="12" fillId="4" borderId="5" xfId="0" quotePrefix="1" applyFont="1" applyFill="1" applyBorder="1" applyAlignment="1">
      <alignment horizontal="left" vertical="center"/>
    </xf>
    <xf numFmtId="0" fontId="11" fillId="4" borderId="5" xfId="0" applyFont="1" applyFill="1" applyBorder="1" applyAlignment="1">
      <alignment horizontal="left" vertical="center"/>
    </xf>
    <xf numFmtId="0" fontId="12" fillId="4" borderId="5" xfId="0" applyFont="1" applyFill="1" applyBorder="1" applyAlignment="1">
      <alignment horizontal="left" vertical="center" wrapText="1"/>
    </xf>
    <xf numFmtId="0" fontId="11" fillId="4" borderId="5" xfId="0" quotePrefix="1" applyFont="1" applyFill="1" applyBorder="1" applyAlignment="1">
      <alignment horizontal="left" vertical="top" wrapText="1"/>
    </xf>
    <xf numFmtId="22" fontId="3" fillId="4" borderId="5" xfId="0" quotePrefix="1" applyNumberFormat="1" applyFont="1" applyFill="1" applyBorder="1" applyAlignment="1">
      <alignment horizontal="left" vertical="center" wrapText="1"/>
    </xf>
    <xf numFmtId="0" fontId="3" fillId="6" borderId="5" xfId="0" applyFont="1" applyFill="1" applyBorder="1" applyAlignment="1">
      <alignment horizontal="center" vertical="center"/>
    </xf>
    <xf numFmtId="164" fontId="3" fillId="6" borderId="5" xfId="1" applyNumberFormat="1" applyFont="1" applyFill="1" applyBorder="1" applyAlignment="1">
      <alignment vertical="center"/>
    </xf>
    <xf numFmtId="0" fontId="3" fillId="6" borderId="5" xfId="0" applyFont="1" applyFill="1" applyBorder="1" applyAlignment="1">
      <alignment horizontal="left" vertical="center" wrapText="1"/>
    </xf>
    <xf numFmtId="164" fontId="3" fillId="0" borderId="7" xfId="1" applyNumberFormat="1" applyFont="1" applyFill="1" applyBorder="1" applyAlignment="1">
      <alignment vertical="center"/>
    </xf>
    <xf numFmtId="0" fontId="3" fillId="6" borderId="7" xfId="0" applyFont="1" applyFill="1" applyBorder="1" applyAlignment="1">
      <alignment horizontal="center" vertical="center"/>
    </xf>
    <xf numFmtId="164" fontId="3" fillId="6" borderId="2" xfId="1" applyNumberFormat="1" applyFont="1" applyFill="1" applyBorder="1" applyAlignment="1">
      <alignment vertical="center"/>
    </xf>
    <xf numFmtId="0" fontId="3" fillId="6" borderId="4" xfId="0" applyFont="1" applyFill="1" applyBorder="1" applyAlignment="1">
      <alignment horizontal="center" vertical="center"/>
    </xf>
    <xf numFmtId="0" fontId="15" fillId="0" borderId="0" xfId="0" applyFont="1"/>
    <xf numFmtId="164" fontId="3" fillId="0" borderId="11" xfId="1" applyNumberFormat="1" applyFont="1" applyFill="1" applyBorder="1" applyAlignment="1">
      <alignment vertical="center"/>
    </xf>
    <xf numFmtId="0" fontId="3" fillId="6" borderId="5" xfId="0" applyFont="1" applyFill="1" applyBorder="1" applyAlignment="1">
      <alignment horizontal="left" vertical="center"/>
    </xf>
    <xf numFmtId="164" fontId="3" fillId="6" borderId="9" xfId="1" applyNumberFormat="1" applyFont="1" applyFill="1" applyBorder="1" applyAlignment="1">
      <alignment vertical="center"/>
    </xf>
    <xf numFmtId="0" fontId="3" fillId="6" borderId="11" xfId="0" applyFont="1" applyFill="1" applyBorder="1" applyAlignment="1">
      <alignment horizontal="center" vertical="center"/>
    </xf>
    <xf numFmtId="0" fontId="3" fillId="6" borderId="7" xfId="0" applyFont="1" applyFill="1" applyBorder="1" applyAlignment="1">
      <alignment horizontal="left" vertical="center" wrapText="1"/>
    </xf>
    <xf numFmtId="0" fontId="3" fillId="6" borderId="7" xfId="0" applyFont="1" applyFill="1" applyBorder="1" applyAlignment="1">
      <alignment horizontal="left" vertical="center"/>
    </xf>
    <xf numFmtId="0" fontId="3" fillId="6" borderId="9" xfId="0" applyFont="1" applyFill="1" applyBorder="1" applyAlignment="1">
      <alignment horizontal="center" vertical="center"/>
    </xf>
    <xf numFmtId="0" fontId="3" fillId="6" borderId="8" xfId="0" applyFont="1" applyFill="1" applyBorder="1" applyAlignment="1">
      <alignment horizontal="center" vertical="center"/>
    </xf>
    <xf numFmtId="164" fontId="3" fillId="6" borderId="10" xfId="1" applyNumberFormat="1" applyFont="1" applyFill="1" applyBorder="1" applyAlignment="1">
      <alignment vertical="center"/>
    </xf>
    <xf numFmtId="0" fontId="3" fillId="6" borderId="10" xfId="0" applyFont="1" applyFill="1" applyBorder="1" applyAlignment="1">
      <alignment horizontal="center" vertical="center"/>
    </xf>
    <xf numFmtId="0" fontId="3" fillId="0" borderId="5" xfId="0" applyFont="1" applyBorder="1" applyAlignment="1">
      <alignment horizontal="center" vertical="center" wrapText="1"/>
    </xf>
    <xf numFmtId="0" fontId="3" fillId="6" borderId="12" xfId="0" applyFont="1" applyFill="1" applyBorder="1" applyAlignment="1">
      <alignment horizontal="center" vertical="center"/>
    </xf>
    <xf numFmtId="0" fontId="11" fillId="6" borderId="8" xfId="0" applyFont="1" applyFill="1" applyBorder="1" applyAlignment="1">
      <alignment horizontal="left" vertical="center" wrapText="1"/>
    </xf>
    <xf numFmtId="0" fontId="3" fillId="6" borderId="8" xfId="0" applyFont="1" applyFill="1" applyBorder="1" applyAlignment="1">
      <alignment horizontal="left" vertical="center" wrapText="1"/>
    </xf>
    <xf numFmtId="164" fontId="3" fillId="6" borderId="8" xfId="1" applyNumberFormat="1" applyFont="1" applyFill="1" applyBorder="1" applyAlignment="1">
      <alignment vertical="center"/>
    </xf>
    <xf numFmtId="164" fontId="3" fillId="0" borderId="4" xfId="1" applyNumberFormat="1" applyFont="1" applyFill="1" applyBorder="1" applyAlignment="1">
      <alignment vertical="center"/>
    </xf>
    <xf numFmtId="164" fontId="3" fillId="6" borderId="7" xfId="1" applyNumberFormat="1" applyFont="1" applyFill="1" applyBorder="1" applyAlignment="1">
      <alignment vertical="center"/>
    </xf>
    <xf numFmtId="0" fontId="3" fillId="6" borderId="5" xfId="0" applyFont="1" applyFill="1" applyBorder="1" applyAlignment="1">
      <alignment horizontal="center" vertical="center" wrapText="1"/>
    </xf>
    <xf numFmtId="0" fontId="3" fillId="6" borderId="5" xfId="0" quotePrefix="1" applyFont="1" applyFill="1" applyBorder="1" applyAlignment="1">
      <alignment vertical="center" wrapText="1"/>
    </xf>
    <xf numFmtId="0" fontId="3" fillId="6" borderId="5" xfId="0" quotePrefix="1" applyFont="1" applyFill="1" applyBorder="1" applyAlignment="1">
      <alignment horizontal="left" vertical="center" wrapText="1"/>
    </xf>
    <xf numFmtId="164" fontId="3" fillId="6" borderId="5" xfId="1" applyNumberFormat="1" applyFont="1" applyFill="1" applyBorder="1" applyAlignment="1">
      <alignment horizontal="center" vertical="center"/>
    </xf>
    <xf numFmtId="166" fontId="3" fillId="6" borderId="5" xfId="1" applyNumberFormat="1" applyFont="1" applyFill="1" applyBorder="1" applyAlignment="1">
      <alignment horizontal="center" vertical="center"/>
    </xf>
    <xf numFmtId="0" fontId="3" fillId="0" borderId="8" xfId="0" applyFont="1" applyBorder="1" applyAlignment="1">
      <alignment horizontal="center" vertical="center"/>
    </xf>
    <xf numFmtId="0" fontId="3" fillId="0" borderId="10" xfId="0" applyFont="1" applyBorder="1" applyAlignment="1">
      <alignment horizontal="center" vertical="center"/>
    </xf>
    <xf numFmtId="164" fontId="3" fillId="0" borderId="8" xfId="1" applyNumberFormat="1" applyFont="1" applyFill="1" applyBorder="1" applyAlignment="1">
      <alignment horizontal="center" vertical="center"/>
    </xf>
    <xf numFmtId="164" fontId="3" fillId="0" borderId="7" xfId="1" applyNumberFormat="1" applyFont="1" applyFill="1" applyBorder="1" applyAlignment="1">
      <alignment horizontal="center" vertical="center"/>
    </xf>
    <xf numFmtId="0" fontId="3" fillId="0" borderId="10" xfId="0" applyFont="1" applyBorder="1" applyAlignment="1">
      <alignment horizontal="center" vertical="center" wrapText="1"/>
    </xf>
    <xf numFmtId="0" fontId="15" fillId="6" borderId="16" xfId="0" applyFont="1" applyFill="1" applyBorder="1" applyAlignment="1">
      <alignment vertical="center" wrapText="1"/>
    </xf>
    <xf numFmtId="0" fontId="3" fillId="6" borderId="8" xfId="0" applyFont="1" applyFill="1" applyBorder="1" applyAlignment="1">
      <alignment horizontal="left" vertical="center"/>
    </xf>
    <xf numFmtId="0" fontId="3" fillId="0" borderId="8" xfId="0" applyFont="1" applyBorder="1" applyAlignment="1">
      <alignment horizontal="center" vertical="center" wrapText="1"/>
    </xf>
    <xf numFmtId="0" fontId="3" fillId="0" borderId="17" xfId="0" applyFont="1" applyBorder="1" applyAlignment="1">
      <alignment horizontal="center" vertical="center" wrapText="1"/>
    </xf>
    <xf numFmtId="0" fontId="3" fillId="0" borderId="12" xfId="0" applyFont="1" applyBorder="1" applyAlignment="1">
      <alignment horizontal="center" vertical="center" wrapText="1"/>
    </xf>
    <xf numFmtId="0" fontId="3" fillId="0" borderId="18" xfId="0" applyFont="1" applyBorder="1" applyAlignment="1">
      <alignment horizontal="center" vertical="center"/>
    </xf>
    <xf numFmtId="0" fontId="3" fillId="6" borderId="18" xfId="0" applyFont="1" applyFill="1" applyBorder="1" applyAlignment="1">
      <alignment horizontal="center" vertical="center"/>
    </xf>
    <xf numFmtId="164" fontId="3" fillId="6" borderId="18" xfId="1" applyNumberFormat="1" applyFont="1" applyFill="1" applyBorder="1" applyAlignment="1">
      <alignment vertical="center"/>
    </xf>
    <xf numFmtId="0" fontId="3" fillId="6" borderId="17" xfId="0" applyFont="1" applyFill="1" applyBorder="1" applyAlignment="1">
      <alignment horizontal="center" vertical="center"/>
    </xf>
    <xf numFmtId="0" fontId="3" fillId="6" borderId="18" xfId="0" applyFont="1" applyFill="1" applyBorder="1" applyAlignment="1">
      <alignment horizontal="left" vertical="center"/>
    </xf>
    <xf numFmtId="0" fontId="3" fillId="6" borderId="19" xfId="0" applyFont="1" applyFill="1" applyBorder="1" applyAlignment="1">
      <alignment horizontal="center" vertical="center"/>
    </xf>
    <xf numFmtId="164" fontId="3" fillId="6" borderId="8" xfId="1" applyNumberFormat="1" applyFont="1" applyFill="1" applyBorder="1" applyAlignment="1">
      <alignment horizontal="center" vertical="center"/>
    </xf>
    <xf numFmtId="0" fontId="3" fillId="6" borderId="12" xfId="0" applyFont="1" applyFill="1" applyBorder="1" applyAlignment="1">
      <alignment horizontal="left" vertical="center" wrapText="1"/>
    </xf>
    <xf numFmtId="164" fontId="3" fillId="6" borderId="12" xfId="1" applyNumberFormat="1" applyFont="1" applyFill="1" applyBorder="1" applyAlignment="1">
      <alignment vertical="center"/>
    </xf>
    <xf numFmtId="164" fontId="12" fillId="6" borderId="12" xfId="1" applyNumberFormat="1" applyFont="1" applyFill="1" applyBorder="1" applyAlignment="1">
      <alignment horizontal="center" vertical="center"/>
    </xf>
    <xf numFmtId="0" fontId="12" fillId="6" borderId="12" xfId="0" applyFont="1" applyFill="1" applyBorder="1" applyAlignment="1">
      <alignment horizontal="left" vertical="center" wrapText="1"/>
    </xf>
    <xf numFmtId="0" fontId="3" fillId="6" borderId="12" xfId="0" applyFont="1" applyFill="1" applyBorder="1" applyAlignment="1">
      <alignment horizontal="left" vertical="center"/>
    </xf>
    <xf numFmtId="0" fontId="3" fillId="6" borderId="20" xfId="0" applyFont="1" applyFill="1" applyBorder="1" applyAlignment="1">
      <alignment horizontal="left" vertical="center" wrapText="1"/>
    </xf>
    <xf numFmtId="0" fontId="3" fillId="6" borderId="20" xfId="0" applyFont="1" applyFill="1" applyBorder="1" applyAlignment="1">
      <alignment horizontal="center" vertical="center"/>
    </xf>
    <xf numFmtId="0" fontId="3" fillId="6" borderId="21" xfId="0" applyFont="1" applyFill="1" applyBorder="1" applyAlignment="1">
      <alignment horizontal="center" vertical="center"/>
    </xf>
    <xf numFmtId="0" fontId="3" fillId="6" borderId="16" xfId="0" applyFont="1" applyFill="1" applyBorder="1" applyAlignment="1">
      <alignment horizontal="left" vertical="center" wrapText="1"/>
    </xf>
    <xf numFmtId="0" fontId="3" fillId="0" borderId="20" xfId="0" applyFont="1" applyBorder="1" applyAlignment="1">
      <alignment horizontal="center" vertical="center"/>
    </xf>
    <xf numFmtId="0" fontId="3" fillId="6" borderId="16" xfId="0" applyFont="1" applyFill="1" applyBorder="1" applyAlignment="1">
      <alignment horizontal="center" vertical="center"/>
    </xf>
    <xf numFmtId="0" fontId="3" fillId="6" borderId="22" xfId="0" applyFont="1" applyFill="1" applyBorder="1" applyAlignment="1">
      <alignment horizontal="center" vertical="center"/>
    </xf>
    <xf numFmtId="0" fontId="3" fillId="6" borderId="22" xfId="0" applyFont="1" applyFill="1" applyBorder="1" applyAlignment="1">
      <alignment horizontal="left" vertical="center" wrapText="1"/>
    </xf>
    <xf numFmtId="164" fontId="3" fillId="0" borderId="16" xfId="1" applyNumberFormat="1" applyFont="1" applyFill="1" applyBorder="1" applyAlignment="1">
      <alignment horizontal="center" vertical="center"/>
    </xf>
    <xf numFmtId="0" fontId="3" fillId="6" borderId="8" xfId="0" applyFont="1" applyFill="1" applyBorder="1" applyAlignment="1">
      <alignment horizontal="center" vertical="center" wrapText="1"/>
    </xf>
    <xf numFmtId="46" fontId="3" fillId="6" borderId="8" xfId="0" applyNumberFormat="1" applyFont="1" applyFill="1" applyBorder="1" applyAlignment="1">
      <alignment horizontal="left" vertical="center" wrapText="1"/>
    </xf>
    <xf numFmtId="164" fontId="3" fillId="0" borderId="12" xfId="1" applyNumberFormat="1" applyFont="1" applyBorder="1" applyAlignment="1">
      <alignment horizontal="center" vertical="center"/>
    </xf>
    <xf numFmtId="0" fontId="3" fillId="0" borderId="17" xfId="0" applyFont="1" applyBorder="1" applyAlignment="1">
      <alignment horizontal="center" vertical="center"/>
    </xf>
    <xf numFmtId="0" fontId="3" fillId="7" borderId="17" xfId="0" applyFont="1" applyFill="1" applyBorder="1" applyAlignment="1">
      <alignment horizontal="center" vertical="center"/>
    </xf>
    <xf numFmtId="164" fontId="3" fillId="7" borderId="8" xfId="1" applyNumberFormat="1" applyFont="1" applyFill="1" applyBorder="1" applyAlignment="1">
      <alignment horizontal="center" vertical="center"/>
    </xf>
    <xf numFmtId="0" fontId="3" fillId="7" borderId="0" xfId="0" applyFont="1" applyFill="1" applyAlignment="1">
      <alignment vertical="center"/>
    </xf>
    <xf numFmtId="0" fontId="12" fillId="6" borderId="8" xfId="0" applyFont="1" applyFill="1" applyBorder="1" applyAlignment="1">
      <alignment horizontal="left" vertical="center" wrapText="1"/>
    </xf>
    <xf numFmtId="0" fontId="13" fillId="6" borderId="8" xfId="0" applyFont="1" applyFill="1" applyBorder="1" applyAlignment="1">
      <alignment horizontal="left" vertical="center"/>
    </xf>
    <xf numFmtId="0" fontId="13" fillId="6" borderId="8" xfId="0" applyFont="1" applyFill="1" applyBorder="1" applyAlignment="1">
      <alignment horizontal="left" vertical="center" wrapText="1"/>
    </xf>
    <xf numFmtId="0" fontId="3" fillId="0" borderId="8" xfId="0" applyFont="1" applyBorder="1" applyAlignment="1">
      <alignment horizontal="left" vertical="center"/>
    </xf>
    <xf numFmtId="0" fontId="3" fillId="0" borderId="12" xfId="0" applyFont="1" applyBorder="1" applyAlignment="1">
      <alignment horizontal="center" vertical="center"/>
    </xf>
    <xf numFmtId="164" fontId="3" fillId="0" borderId="12" xfId="1" applyNumberFormat="1" applyFont="1" applyFill="1" applyBorder="1" applyAlignment="1">
      <alignment horizontal="center" vertical="center"/>
    </xf>
    <xf numFmtId="0" fontId="3" fillId="6" borderId="10" xfId="0" applyFont="1" applyFill="1" applyBorder="1" applyAlignment="1">
      <alignment horizontal="left" vertical="center" wrapText="1"/>
    </xf>
    <xf numFmtId="0" fontId="15" fillId="6" borderId="8" xfId="0" applyFont="1" applyFill="1" applyBorder="1" applyAlignment="1">
      <alignment vertical="center"/>
    </xf>
    <xf numFmtId="0" fontId="3" fillId="6" borderId="23" xfId="0" applyFont="1" applyFill="1" applyBorder="1" applyAlignment="1">
      <alignment horizontal="center" vertical="center"/>
    </xf>
    <xf numFmtId="0" fontId="16" fillId="6" borderId="8" xfId="0" applyFont="1" applyFill="1" applyBorder="1" applyAlignment="1">
      <alignment vertical="center" wrapText="1"/>
    </xf>
    <xf numFmtId="0" fontId="15" fillId="6" borderId="0" xfId="0" applyFont="1" applyFill="1" applyAlignment="1">
      <alignment vertical="center"/>
    </xf>
    <xf numFmtId="0" fontId="15" fillId="6" borderId="12" xfId="0" applyFont="1" applyFill="1" applyBorder="1" applyAlignment="1">
      <alignment vertical="center"/>
    </xf>
    <xf numFmtId="0" fontId="3" fillId="6" borderId="24" xfId="0" applyFont="1" applyFill="1" applyBorder="1" applyAlignment="1">
      <alignment horizontal="center" vertical="center"/>
    </xf>
    <xf numFmtId="164" fontId="3" fillId="6" borderId="17" xfId="1" applyNumberFormat="1" applyFont="1" applyFill="1" applyBorder="1" applyAlignment="1">
      <alignment vertical="center"/>
    </xf>
    <xf numFmtId="0" fontId="3" fillId="6" borderId="25" xfId="0" applyFont="1" applyFill="1" applyBorder="1" applyAlignment="1">
      <alignment horizontal="center" vertical="center"/>
    </xf>
    <xf numFmtId="0" fontId="15" fillId="6" borderId="8" xfId="0" applyFont="1" applyFill="1" applyBorder="1" applyAlignment="1">
      <alignment vertical="center" wrapText="1"/>
    </xf>
    <xf numFmtId="0" fontId="15" fillId="6" borderId="12" xfId="0" applyFont="1" applyFill="1" applyBorder="1" applyAlignment="1">
      <alignment vertical="center" wrapText="1"/>
    </xf>
    <xf numFmtId="0" fontId="12" fillId="0" borderId="8" xfId="0" applyFont="1" applyBorder="1" applyAlignment="1">
      <alignment horizontal="left" vertical="center" wrapText="1"/>
    </xf>
    <xf numFmtId="0" fontId="3" fillId="4" borderId="8" xfId="0" applyFont="1" applyFill="1" applyBorder="1" applyAlignment="1">
      <alignment horizontal="center" vertical="center"/>
    </xf>
    <xf numFmtId="164" fontId="3" fillId="4" borderId="8" xfId="1" applyNumberFormat="1" applyFont="1" applyFill="1" applyBorder="1" applyAlignment="1">
      <alignment vertical="center"/>
    </xf>
    <xf numFmtId="0" fontId="15" fillId="4" borderId="8" xfId="0" applyFont="1" applyFill="1" applyBorder="1" applyAlignment="1">
      <alignment vertical="center" wrapText="1"/>
    </xf>
    <xf numFmtId="0" fontId="3" fillId="4" borderId="8" xfId="0" applyFont="1" applyFill="1" applyBorder="1" applyAlignment="1">
      <alignment horizontal="left" vertical="center"/>
    </xf>
    <xf numFmtId="0" fontId="17" fillId="0" borderId="0" xfId="0" applyFont="1" applyAlignment="1">
      <alignment horizontal="center" vertical="center"/>
    </xf>
    <xf numFmtId="0" fontId="15" fillId="6" borderId="5" xfId="0" applyFont="1" applyFill="1" applyBorder="1" applyAlignment="1">
      <alignment horizontal="center"/>
    </xf>
    <xf numFmtId="0" fontId="15" fillId="6" borderId="4" xfId="0" applyFont="1" applyFill="1" applyBorder="1" applyAlignment="1">
      <alignment horizontal="center"/>
    </xf>
    <xf numFmtId="0" fontId="15" fillId="6" borderId="4" xfId="0" applyFont="1" applyFill="1" applyBorder="1" applyAlignment="1">
      <alignment horizontal="left" vertical="center" wrapText="1"/>
    </xf>
    <xf numFmtId="0" fontId="15" fillId="6" borderId="4" xfId="0" applyFont="1" applyFill="1" applyBorder="1" applyAlignment="1">
      <alignment horizontal="center" wrapText="1"/>
    </xf>
    <xf numFmtId="0" fontId="15" fillId="0" borderId="4" xfId="0" applyFont="1" applyBorder="1" applyAlignment="1">
      <alignment horizontal="center" wrapText="1"/>
    </xf>
    <xf numFmtId="0" fontId="15" fillId="6" borderId="6" xfId="0" applyFont="1" applyFill="1" applyBorder="1" applyAlignment="1">
      <alignment horizontal="center"/>
    </xf>
    <xf numFmtId="0" fontId="15" fillId="6" borderId="13" xfId="0" applyFont="1" applyFill="1" applyBorder="1" applyAlignment="1">
      <alignment horizontal="center"/>
    </xf>
    <xf numFmtId="0" fontId="15" fillId="6" borderId="13" xfId="0" applyFont="1" applyFill="1" applyBorder="1" applyAlignment="1">
      <alignment horizontal="center" vertical="center" wrapText="1"/>
    </xf>
    <xf numFmtId="0" fontId="15" fillId="6" borderId="15" xfId="0" applyFont="1" applyFill="1" applyBorder="1" applyAlignment="1">
      <alignment horizontal="center"/>
    </xf>
    <xf numFmtId="0" fontId="15" fillId="6" borderId="13" xfId="0" applyFont="1" applyFill="1" applyBorder="1" applyAlignment="1">
      <alignment horizontal="left" vertical="center" wrapText="1"/>
    </xf>
    <xf numFmtId="0" fontId="15" fillId="0" borderId="13" xfId="0" applyFont="1" applyBorder="1" applyAlignment="1">
      <alignment horizontal="center" wrapText="1"/>
    </xf>
    <xf numFmtId="0" fontId="15" fillId="6" borderId="14" xfId="0" applyFont="1" applyFill="1" applyBorder="1" applyAlignment="1">
      <alignment horizontal="center" vertical="center"/>
    </xf>
    <xf numFmtId="0" fontId="15" fillId="6" borderId="15" xfId="0" applyFont="1" applyFill="1" applyBorder="1" applyAlignment="1">
      <alignment horizontal="center" vertical="center"/>
    </xf>
    <xf numFmtId="3" fontId="15" fillId="6" borderId="15" xfId="0" applyNumberFormat="1" applyFont="1" applyFill="1" applyBorder="1" applyAlignment="1">
      <alignment horizontal="right" vertical="center"/>
    </xf>
    <xf numFmtId="0" fontId="15" fillId="6" borderId="8" xfId="0" applyFont="1" applyFill="1" applyBorder="1" applyAlignment="1">
      <alignment horizontal="center" vertical="center"/>
    </xf>
    <xf numFmtId="0" fontId="15" fillId="6" borderId="15" xfId="0" applyFont="1" applyFill="1" applyBorder="1" applyAlignment="1">
      <alignment horizontal="left" vertical="center" wrapText="1"/>
    </xf>
    <xf numFmtId="0" fontId="15" fillId="0" borderId="15" xfId="0" applyFont="1" applyBorder="1" applyAlignment="1">
      <alignment horizontal="center" vertical="center" wrapText="1"/>
    </xf>
    <xf numFmtId="0" fontId="15" fillId="6" borderId="12" xfId="0" applyFont="1" applyFill="1" applyBorder="1" applyAlignment="1">
      <alignment horizontal="center" vertical="center"/>
    </xf>
    <xf numFmtId="0" fontId="15" fillId="6" borderId="16" xfId="0" applyFont="1" applyFill="1" applyBorder="1" applyAlignment="1">
      <alignment horizontal="center" vertical="center"/>
    </xf>
    <xf numFmtId="0" fontId="15" fillId="6" borderId="18" xfId="0" applyFont="1" applyFill="1" applyBorder="1" applyAlignment="1">
      <alignment horizontal="center" vertical="center"/>
    </xf>
    <xf numFmtId="0" fontId="15" fillId="6" borderId="16" xfId="0" applyFont="1" applyFill="1" applyBorder="1" applyAlignment="1">
      <alignment horizontal="left" vertical="center" wrapText="1"/>
    </xf>
    <xf numFmtId="0" fontId="15" fillId="6" borderId="12" xfId="0" applyFont="1" applyFill="1" applyBorder="1" applyAlignment="1">
      <alignment horizontal="left" vertical="center" wrapText="1"/>
    </xf>
    <xf numFmtId="0" fontId="15" fillId="6" borderId="5" xfId="0" applyFont="1" applyFill="1" applyBorder="1" applyAlignment="1">
      <alignment horizontal="center" vertical="center"/>
    </xf>
    <xf numFmtId="164" fontId="15" fillId="6" borderId="8" xfId="1" applyNumberFormat="1" applyFont="1" applyFill="1" applyBorder="1" applyAlignment="1">
      <alignment vertical="center"/>
    </xf>
    <xf numFmtId="16" fontId="15" fillId="6" borderId="8" xfId="0" applyNumberFormat="1" applyFont="1" applyFill="1" applyBorder="1" applyAlignment="1">
      <alignment horizontal="center" vertical="center"/>
    </xf>
    <xf numFmtId="0" fontId="15" fillId="6" borderId="8" xfId="0" applyFont="1" applyFill="1" applyBorder="1" applyAlignment="1">
      <alignment horizontal="left" vertical="center" wrapText="1"/>
    </xf>
    <xf numFmtId="0" fontId="15" fillId="6" borderId="6" xfId="0" applyFont="1" applyFill="1" applyBorder="1" applyAlignment="1">
      <alignment horizontal="center" vertical="center"/>
    </xf>
    <xf numFmtId="164" fontId="15" fillId="6" borderId="12" xfId="1" applyNumberFormat="1" applyFont="1" applyFill="1" applyBorder="1" applyAlignment="1">
      <alignment vertical="center"/>
    </xf>
    <xf numFmtId="16" fontId="15" fillId="6" borderId="12" xfId="0" applyNumberFormat="1" applyFont="1" applyFill="1" applyBorder="1" applyAlignment="1">
      <alignment horizontal="center" vertical="center"/>
    </xf>
    <xf numFmtId="16" fontId="15" fillId="4" borderId="12" xfId="0" applyNumberFormat="1" applyFont="1" applyFill="1" applyBorder="1" applyAlignment="1">
      <alignment horizontal="center" vertical="center"/>
    </xf>
    <xf numFmtId="164" fontId="15" fillId="0" borderId="8" xfId="1" applyNumberFormat="1" applyFont="1" applyFill="1" applyBorder="1" applyAlignment="1">
      <alignment vertical="center"/>
    </xf>
    <xf numFmtId="0" fontId="18" fillId="0" borderId="5" xfId="0" applyFont="1" applyBorder="1" applyAlignment="1">
      <alignment vertical="center"/>
    </xf>
    <xf numFmtId="0" fontId="18" fillId="0" borderId="5" xfId="0" applyFont="1" applyBorder="1" applyAlignment="1">
      <alignment horizontal="center" vertical="center"/>
    </xf>
    <xf numFmtId="164" fontId="19" fillId="0" borderId="0" xfId="0" applyNumberFormat="1" applyFont="1" applyAlignment="1">
      <alignment vertical="center"/>
    </xf>
    <xf numFmtId="0" fontId="19" fillId="0" borderId="0" xfId="0" applyFont="1" applyAlignment="1">
      <alignment vertical="center"/>
    </xf>
    <xf numFmtId="0" fontId="19" fillId="0" borderId="5" xfId="0" applyFont="1" applyBorder="1" applyAlignment="1">
      <alignment horizontal="center" vertical="center"/>
    </xf>
    <xf numFmtId="14" fontId="18" fillId="0" borderId="5" xfId="0" applyNumberFormat="1" applyFont="1" applyBorder="1" applyAlignment="1">
      <alignment horizontal="center" vertical="center"/>
    </xf>
    <xf numFmtId="164" fontId="18" fillId="3" borderId="5" xfId="1" applyNumberFormat="1" applyFont="1" applyFill="1" applyBorder="1" applyAlignment="1">
      <alignment vertical="center"/>
    </xf>
    <xf numFmtId="14" fontId="18" fillId="0" borderId="5" xfId="0" applyNumberFormat="1" applyFont="1" applyBorder="1" applyAlignment="1">
      <alignment vertical="center"/>
    </xf>
    <xf numFmtId="14" fontId="18" fillId="0" borderId="5" xfId="0" applyNumberFormat="1" applyFont="1" applyBorder="1" applyAlignment="1">
      <alignment horizontal="left" vertical="center"/>
    </xf>
    <xf numFmtId="165" fontId="20" fillId="0" borderId="4" xfId="1" applyNumberFormat="1" applyFont="1" applyFill="1" applyBorder="1" applyAlignment="1">
      <alignment horizontal="center" vertical="center"/>
    </xf>
    <xf numFmtId="0" fontId="21" fillId="2" borderId="5" xfId="0" applyFont="1" applyFill="1" applyBorder="1" applyAlignment="1">
      <alignment horizontal="center" vertical="center" wrapText="1"/>
    </xf>
    <xf numFmtId="164" fontId="21" fillId="2" borderId="5" xfId="1" applyNumberFormat="1" applyFont="1" applyFill="1" applyBorder="1" applyAlignment="1">
      <alignment horizontal="center" vertical="center" wrapText="1"/>
    </xf>
    <xf numFmtId="0" fontId="21" fillId="2" borderId="5" xfId="0" applyFont="1" applyFill="1" applyBorder="1" applyAlignment="1">
      <alignment horizontal="left" vertical="center" wrapText="1"/>
    </xf>
    <xf numFmtId="164" fontId="19" fillId="0" borderId="0" xfId="0" applyNumberFormat="1" applyFont="1" applyAlignment="1">
      <alignment vertical="center" wrapText="1"/>
    </xf>
    <xf numFmtId="0" fontId="19" fillId="4" borderId="5" xfId="0" applyFont="1" applyFill="1" applyBorder="1" applyAlignment="1">
      <alignment horizontal="center" vertical="center"/>
    </xf>
    <xf numFmtId="0" fontId="22" fillId="6" borderId="16" xfId="0" applyFont="1" applyFill="1" applyBorder="1" applyAlignment="1">
      <alignment horizontal="center" vertical="center"/>
    </xf>
    <xf numFmtId="164" fontId="22" fillId="6" borderId="8" xfId="1" applyNumberFormat="1" applyFont="1" applyFill="1" applyBorder="1" applyAlignment="1">
      <alignment vertical="center"/>
    </xf>
    <xf numFmtId="16" fontId="22" fillId="6" borderId="8" xfId="0" applyNumberFormat="1" applyFont="1" applyFill="1" applyBorder="1" applyAlignment="1">
      <alignment horizontal="center" vertical="center"/>
    </xf>
    <xf numFmtId="0" fontId="22" fillId="6" borderId="8" xfId="0" applyFont="1" applyFill="1" applyBorder="1" applyAlignment="1">
      <alignment horizontal="center" vertical="center"/>
    </xf>
    <xf numFmtId="0" fontId="22" fillId="6" borderId="8" xfId="0" applyFont="1" applyFill="1" applyBorder="1" applyAlignment="1">
      <alignment vertical="center" wrapText="1"/>
    </xf>
    <xf numFmtId="0" fontId="22" fillId="6" borderId="8" xfId="0" applyFont="1" applyFill="1" applyBorder="1" applyAlignment="1">
      <alignment horizontal="left" vertical="center" wrapText="1"/>
    </xf>
    <xf numFmtId="0" fontId="19" fillId="0" borderId="12" xfId="0" applyFont="1" applyBorder="1" applyAlignment="1">
      <alignment horizontal="center" vertical="center"/>
    </xf>
    <xf numFmtId="164" fontId="19" fillId="0" borderId="5" xfId="1" applyNumberFormat="1" applyFont="1" applyFill="1" applyBorder="1" applyAlignment="1">
      <alignment vertical="center"/>
    </xf>
    <xf numFmtId="16" fontId="22" fillId="6" borderId="12" xfId="0" applyNumberFormat="1" applyFont="1" applyFill="1" applyBorder="1" applyAlignment="1">
      <alignment horizontal="center" vertical="center"/>
    </xf>
    <xf numFmtId="0" fontId="19" fillId="0" borderId="8" xfId="0" applyFont="1" applyBorder="1" applyAlignment="1">
      <alignment horizontal="center" vertical="center"/>
    </xf>
    <xf numFmtId="0" fontId="22" fillId="6" borderId="25" xfId="0" applyFont="1" applyFill="1" applyBorder="1" applyAlignment="1">
      <alignment horizontal="center" vertical="center"/>
    </xf>
    <xf numFmtId="164" fontId="22" fillId="6" borderId="12" xfId="1" applyNumberFormat="1" applyFont="1" applyFill="1" applyBorder="1" applyAlignment="1">
      <alignment vertical="center"/>
    </xf>
    <xf numFmtId="0" fontId="22" fillId="6" borderId="12" xfId="0" applyFont="1" applyFill="1" applyBorder="1" applyAlignment="1">
      <alignment horizontal="center" vertical="center"/>
    </xf>
    <xf numFmtId="0" fontId="22" fillId="6" borderId="12" xfId="0" applyFont="1" applyFill="1" applyBorder="1" applyAlignment="1">
      <alignment vertical="center" wrapText="1"/>
    </xf>
    <xf numFmtId="166" fontId="19" fillId="0" borderId="5" xfId="1" applyNumberFormat="1" applyFont="1" applyFill="1" applyBorder="1" applyAlignment="1">
      <alignment horizontal="center" vertical="center"/>
    </xf>
    <xf numFmtId="164" fontId="19" fillId="0" borderId="5" xfId="1" applyNumberFormat="1" applyFont="1" applyFill="1" applyBorder="1" applyAlignment="1">
      <alignment horizontal="center" vertical="center"/>
    </xf>
    <xf numFmtId="0" fontId="22" fillId="6" borderId="25" xfId="0" applyFont="1" applyFill="1" applyBorder="1" applyAlignment="1">
      <alignment horizontal="left" vertical="center" wrapText="1"/>
    </xf>
    <xf numFmtId="0" fontId="22" fillId="6" borderId="4" xfId="0" applyFont="1" applyFill="1" applyBorder="1" applyAlignment="1">
      <alignment horizontal="center" vertical="center"/>
    </xf>
    <xf numFmtId="1" fontId="19" fillId="6" borderId="5" xfId="0" applyNumberFormat="1" applyFont="1" applyFill="1" applyBorder="1" applyAlignment="1">
      <alignment vertical="center"/>
    </xf>
    <xf numFmtId="0" fontId="22" fillId="6" borderId="5" xfId="0" applyFont="1" applyFill="1" applyBorder="1" applyAlignment="1">
      <alignment horizontal="center" vertical="center"/>
    </xf>
    <xf numFmtId="0" fontId="22" fillId="6" borderId="5" xfId="0" applyFont="1" applyFill="1" applyBorder="1" applyAlignment="1">
      <alignment vertical="center" wrapText="1"/>
    </xf>
    <xf numFmtId="0" fontId="22" fillId="6" borderId="5" xfId="0" applyFont="1" applyFill="1" applyBorder="1" applyAlignment="1">
      <alignment horizontal="left" vertical="center" wrapText="1"/>
    </xf>
    <xf numFmtId="0" fontId="19" fillId="6" borderId="4" xfId="0" applyFont="1" applyFill="1" applyBorder="1" applyAlignment="1">
      <alignment horizontal="center" vertical="center"/>
    </xf>
    <xf numFmtId="164" fontId="19" fillId="6" borderId="5" xfId="1" applyNumberFormat="1" applyFont="1" applyFill="1" applyBorder="1" applyAlignment="1">
      <alignment vertical="center"/>
    </xf>
    <xf numFmtId="0" fontId="19" fillId="6" borderId="5" xfId="0" applyFont="1" applyFill="1" applyBorder="1" applyAlignment="1">
      <alignment horizontal="center" vertical="center"/>
    </xf>
    <xf numFmtId="0" fontId="19" fillId="6" borderId="5" xfId="0" applyFont="1" applyFill="1" applyBorder="1" applyAlignment="1">
      <alignment horizontal="left" vertical="center"/>
    </xf>
    <xf numFmtId="0" fontId="19" fillId="6" borderId="11" xfId="0" applyFont="1" applyFill="1" applyBorder="1" applyAlignment="1">
      <alignment horizontal="center" vertical="center"/>
    </xf>
    <xf numFmtId="164" fontId="19" fillId="6" borderId="7" xfId="1" applyNumberFormat="1" applyFont="1" applyFill="1" applyBorder="1" applyAlignment="1">
      <alignment vertical="center"/>
    </xf>
    <xf numFmtId="0" fontId="22" fillId="6" borderId="7" xfId="0" applyFont="1" applyFill="1" applyBorder="1" applyAlignment="1">
      <alignment horizontal="center" vertical="center"/>
    </xf>
    <xf numFmtId="0" fontId="19" fillId="6" borderId="7" xfId="0" applyFont="1" applyFill="1" applyBorder="1" applyAlignment="1">
      <alignment horizontal="center" vertical="center"/>
    </xf>
    <xf numFmtId="0" fontId="23" fillId="6" borderId="5" xfId="0" applyFont="1" applyFill="1" applyBorder="1" applyAlignment="1">
      <alignment horizontal="left" vertical="center" wrapText="1"/>
    </xf>
    <xf numFmtId="0" fontId="19" fillId="0" borderId="7" xfId="0" applyFont="1" applyBorder="1" applyAlignment="1">
      <alignment horizontal="center" vertical="center"/>
    </xf>
    <xf numFmtId="0" fontId="19" fillId="6" borderId="16" xfId="0" applyFont="1" applyFill="1" applyBorder="1" applyAlignment="1">
      <alignment horizontal="center" vertical="center"/>
    </xf>
    <xf numFmtId="164" fontId="19" fillId="6" borderId="8" xfId="1" applyNumberFormat="1" applyFont="1" applyFill="1" applyBorder="1" applyAlignment="1">
      <alignment vertical="center"/>
    </xf>
    <xf numFmtId="0" fontId="19" fillId="6" borderId="8" xfId="0" applyFont="1" applyFill="1" applyBorder="1" applyAlignment="1">
      <alignment horizontal="center" vertical="center"/>
    </xf>
    <xf numFmtId="0" fontId="19" fillId="6" borderId="8" xfId="0" applyFont="1" applyFill="1" applyBorder="1" applyAlignment="1">
      <alignment horizontal="left" vertical="center"/>
    </xf>
    <xf numFmtId="0" fontId="18" fillId="6" borderId="8" xfId="0" applyFont="1" applyFill="1" applyBorder="1" applyAlignment="1">
      <alignment horizontal="left" vertical="center" wrapText="1"/>
    </xf>
    <xf numFmtId="0" fontId="19" fillId="6" borderId="5" xfId="0" applyFont="1" applyFill="1" applyBorder="1" applyAlignment="1">
      <alignment horizontal="left" vertical="center" wrapText="1"/>
    </xf>
    <xf numFmtId="0" fontId="19" fillId="6" borderId="25" xfId="0" applyFont="1" applyFill="1" applyBorder="1" applyAlignment="1">
      <alignment horizontal="center" vertical="center"/>
    </xf>
    <xf numFmtId="164" fontId="19" fillId="6" borderId="12" xfId="1" applyNumberFormat="1" applyFont="1" applyFill="1" applyBorder="1" applyAlignment="1">
      <alignment vertical="center"/>
    </xf>
    <xf numFmtId="0" fontId="19" fillId="6" borderId="12" xfId="0" applyFont="1" applyFill="1" applyBorder="1" applyAlignment="1">
      <alignment horizontal="center" vertical="center"/>
    </xf>
    <xf numFmtId="0" fontId="19" fillId="6" borderId="12" xfId="0" applyFont="1" applyFill="1" applyBorder="1" applyAlignment="1">
      <alignment horizontal="left" vertical="center" wrapText="1"/>
    </xf>
    <xf numFmtId="0" fontId="19" fillId="6" borderId="7" xfId="0" applyFont="1" applyFill="1" applyBorder="1" applyAlignment="1">
      <alignment horizontal="left" vertical="center"/>
    </xf>
    <xf numFmtId="0" fontId="19" fillId="6" borderId="8" xfId="0" applyFont="1" applyFill="1" applyBorder="1" applyAlignment="1">
      <alignment horizontal="left" vertical="center" wrapText="1"/>
    </xf>
    <xf numFmtId="0" fontId="22" fillId="6" borderId="0" xfId="0" applyFont="1" applyFill="1" applyAlignment="1">
      <alignment wrapText="1"/>
    </xf>
    <xf numFmtId="0" fontId="19" fillId="6" borderId="12" xfId="0" applyFont="1" applyFill="1" applyBorder="1" applyAlignment="1">
      <alignment horizontal="left" vertical="center"/>
    </xf>
    <xf numFmtId="0" fontId="24" fillId="6" borderId="12" xfId="0" applyFont="1" applyFill="1" applyBorder="1" applyAlignment="1">
      <alignment horizontal="left" vertical="center" wrapText="1"/>
    </xf>
    <xf numFmtId="0" fontId="19" fillId="6" borderId="6" xfId="0" applyFont="1" applyFill="1" applyBorder="1" applyAlignment="1">
      <alignment horizontal="center" vertical="center"/>
    </xf>
    <xf numFmtId="0" fontId="19" fillId="6" borderId="20" xfId="0" applyFont="1" applyFill="1" applyBorder="1" applyAlignment="1">
      <alignment horizontal="center" vertical="center"/>
    </xf>
    <xf numFmtId="164" fontId="19" fillId="6" borderId="18" xfId="1" applyNumberFormat="1" applyFont="1" applyFill="1" applyBorder="1" applyAlignment="1">
      <alignment vertical="center"/>
    </xf>
    <xf numFmtId="0" fontId="22" fillId="6" borderId="18" xfId="0" applyFont="1" applyFill="1" applyBorder="1" applyAlignment="1">
      <alignment horizontal="center" vertical="center"/>
    </xf>
    <xf numFmtId="0" fontId="19" fillId="6" borderId="18" xfId="0" applyFont="1" applyFill="1" applyBorder="1" applyAlignment="1">
      <alignment horizontal="left" vertical="center" wrapText="1"/>
    </xf>
    <xf numFmtId="0" fontId="19" fillId="6" borderId="18" xfId="0" applyFont="1" applyFill="1" applyBorder="1" applyAlignment="1">
      <alignment horizontal="center" vertical="center"/>
    </xf>
    <xf numFmtId="0" fontId="19" fillId="0" borderId="10" xfId="0" applyFont="1" applyBorder="1" applyAlignment="1">
      <alignment horizontal="center" vertical="center"/>
    </xf>
    <xf numFmtId="0" fontId="20" fillId="6" borderId="12" xfId="0" applyFont="1" applyFill="1" applyBorder="1" applyAlignment="1">
      <alignment horizontal="left" vertical="center"/>
    </xf>
    <xf numFmtId="0" fontId="24" fillId="6" borderId="8" xfId="0" applyFont="1" applyFill="1" applyBorder="1" applyAlignment="1">
      <alignment horizontal="center" vertical="center"/>
    </xf>
    <xf numFmtId="0" fontId="20" fillId="6" borderId="8" xfId="0" applyFont="1" applyFill="1" applyBorder="1" applyAlignment="1">
      <alignment horizontal="left" vertical="center" wrapText="1"/>
    </xf>
    <xf numFmtId="0" fontId="20" fillId="6" borderId="18" xfId="0" applyFont="1" applyFill="1" applyBorder="1" applyAlignment="1">
      <alignment horizontal="left" vertical="center" wrapText="1"/>
    </xf>
    <xf numFmtId="0" fontId="19" fillId="6" borderId="18" xfId="0" applyFont="1" applyFill="1" applyBorder="1" applyAlignment="1">
      <alignment horizontal="left" vertical="center"/>
    </xf>
    <xf numFmtId="0" fontId="19" fillId="6" borderId="22" xfId="0" applyFont="1" applyFill="1" applyBorder="1" applyAlignment="1">
      <alignment horizontal="center" vertical="center"/>
    </xf>
    <xf numFmtId="164" fontId="19" fillId="6" borderId="22" xfId="1" applyNumberFormat="1" applyFont="1" applyFill="1" applyBorder="1" applyAlignment="1">
      <alignment vertical="center"/>
    </xf>
    <xf numFmtId="0" fontId="20" fillId="6" borderId="22" xfId="0" applyFont="1" applyFill="1" applyBorder="1" applyAlignment="1">
      <alignment horizontal="left" vertical="center" wrapText="1"/>
    </xf>
    <xf numFmtId="0" fontId="3" fillId="0" borderId="0" xfId="0" applyFont="1" applyAlignment="1">
      <alignment horizontal="center" vertical="center" wrapText="1"/>
    </xf>
    <xf numFmtId="0" fontId="19" fillId="7" borderId="8" xfId="0" applyFont="1" applyFill="1" applyBorder="1" applyAlignment="1">
      <alignment horizontal="center" vertical="center"/>
    </xf>
    <xf numFmtId="0" fontId="19" fillId="6" borderId="17" xfId="0" applyFont="1" applyFill="1" applyBorder="1" applyAlignment="1">
      <alignment horizontal="center" vertical="center"/>
    </xf>
    <xf numFmtId="0" fontId="23" fillId="6" borderId="8" xfId="0" applyFont="1" applyFill="1" applyBorder="1" applyAlignment="1">
      <alignment horizontal="left" vertical="center" wrapText="1"/>
    </xf>
    <xf numFmtId="164" fontId="19" fillId="6" borderId="8" xfId="0" applyNumberFormat="1" applyFont="1" applyFill="1" applyBorder="1" applyAlignment="1">
      <alignment vertical="center"/>
    </xf>
    <xf numFmtId="0" fontId="19" fillId="6" borderId="8" xfId="0" applyFont="1" applyFill="1" applyBorder="1" applyAlignment="1">
      <alignment vertical="center"/>
    </xf>
    <xf numFmtId="0" fontId="19" fillId="6" borderId="8" xfId="0" applyFont="1" applyFill="1" applyBorder="1" applyAlignment="1">
      <alignment vertical="center" wrapText="1"/>
    </xf>
    <xf numFmtId="0" fontId="12" fillId="0" borderId="0" xfId="0" applyFont="1" applyAlignment="1">
      <alignment horizontal="center" vertical="center" wrapText="1"/>
    </xf>
    <xf numFmtId="0" fontId="22" fillId="6" borderId="22" xfId="0" applyFont="1" applyFill="1" applyBorder="1" applyAlignment="1">
      <alignment horizontal="left" vertical="center" wrapText="1"/>
    </xf>
    <xf numFmtId="0" fontId="25" fillId="0" borderId="0" xfId="0" applyFont="1" applyAlignment="1">
      <alignment wrapText="1"/>
    </xf>
    <xf numFmtId="0" fontId="26" fillId="0" borderId="0" xfId="0" applyFont="1" applyAlignment="1">
      <alignment wrapText="1"/>
    </xf>
    <xf numFmtId="0" fontId="9" fillId="0" borderId="0" xfId="0" applyFont="1" applyAlignment="1">
      <alignment vertical="center"/>
    </xf>
    <xf numFmtId="0" fontId="24" fillId="6" borderId="8" xfId="0" applyFont="1" applyFill="1" applyBorder="1" applyAlignment="1">
      <alignment horizontal="center" vertical="center" wrapText="1"/>
    </xf>
    <xf numFmtId="0" fontId="17" fillId="6" borderId="12" xfId="0" applyFont="1" applyFill="1" applyBorder="1" applyAlignment="1">
      <alignment horizontal="center" vertical="center"/>
    </xf>
    <xf numFmtId="0" fontId="3" fillId="6" borderId="25" xfId="0" applyFont="1" applyFill="1" applyBorder="1" applyAlignment="1">
      <alignment horizontal="left" vertical="center"/>
    </xf>
    <xf numFmtId="0" fontId="9" fillId="6" borderId="12" xfId="0" applyFont="1" applyFill="1" applyBorder="1" applyAlignment="1">
      <alignment horizontal="left" vertical="center" wrapText="1"/>
    </xf>
    <xf numFmtId="0" fontId="19" fillId="0" borderId="0" xfId="0" applyFont="1" applyAlignment="1">
      <alignment horizontal="center" vertical="center"/>
    </xf>
    <xf numFmtId="0" fontId="19" fillId="6" borderId="10" xfId="0" applyFont="1" applyFill="1" applyBorder="1" applyAlignment="1">
      <alignment horizontal="center" vertical="center"/>
    </xf>
    <xf numFmtId="0" fontId="17" fillId="6" borderId="8" xfId="0" applyFont="1" applyFill="1" applyBorder="1" applyAlignment="1">
      <alignment horizontal="center" vertical="center"/>
    </xf>
    <xf numFmtId="0" fontId="3" fillId="6" borderId="8" xfId="0" applyFont="1" applyFill="1" applyBorder="1" applyAlignment="1">
      <alignment vertical="center" wrapText="1"/>
    </xf>
    <xf numFmtId="0" fontId="12" fillId="6" borderId="22" xfId="0" applyFont="1" applyFill="1" applyBorder="1" applyAlignment="1">
      <alignment horizontal="left" vertical="center" wrapText="1"/>
    </xf>
    <xf numFmtId="1" fontId="3" fillId="0" borderId="0" xfId="1" applyNumberFormat="1" applyFont="1" applyFill="1" applyAlignment="1">
      <alignment horizontal="right" vertical="center"/>
    </xf>
    <xf numFmtId="1" fontId="18" fillId="0" borderId="5" xfId="0" applyNumberFormat="1" applyFont="1" applyBorder="1" applyAlignment="1">
      <alignment horizontal="right" vertical="center"/>
    </xf>
    <xf numFmtId="1" fontId="20" fillId="0" borderId="5" xfId="1" applyNumberFormat="1" applyFont="1" applyFill="1" applyBorder="1" applyAlignment="1">
      <alignment horizontal="right" vertical="center"/>
    </xf>
    <xf numFmtId="1" fontId="21" fillId="0" borderId="5" xfId="1" applyNumberFormat="1" applyFont="1" applyFill="1" applyBorder="1" applyAlignment="1">
      <alignment horizontal="right" vertical="center" wrapText="1"/>
    </xf>
    <xf numFmtId="1" fontId="19" fillId="0" borderId="5" xfId="1" applyNumberFormat="1" applyFont="1" applyFill="1" applyBorder="1" applyAlignment="1">
      <alignment horizontal="right" vertical="center"/>
    </xf>
    <xf numFmtId="1" fontId="19" fillId="0" borderId="4" xfId="1" applyNumberFormat="1" applyFont="1" applyFill="1" applyBorder="1" applyAlignment="1">
      <alignment horizontal="right" vertical="center"/>
    </xf>
    <xf numFmtId="1" fontId="19" fillId="0" borderId="11" xfId="1" applyNumberFormat="1" applyFont="1" applyFill="1" applyBorder="1" applyAlignment="1">
      <alignment horizontal="right" vertical="center"/>
    </xf>
    <xf numFmtId="1" fontId="19" fillId="0" borderId="12" xfId="1" applyNumberFormat="1" applyFont="1" applyFill="1" applyBorder="1" applyAlignment="1">
      <alignment horizontal="right" vertical="center"/>
    </xf>
    <xf numFmtId="1" fontId="19" fillId="0" borderId="8" xfId="1" applyNumberFormat="1" applyFont="1" applyFill="1" applyBorder="1" applyAlignment="1">
      <alignment horizontal="right" vertical="center"/>
    </xf>
    <xf numFmtId="1" fontId="19" fillId="0" borderId="15" xfId="1" applyNumberFormat="1" applyFont="1" applyFill="1" applyBorder="1" applyAlignment="1">
      <alignment horizontal="right" vertical="center"/>
    </xf>
    <xf numFmtId="1" fontId="19" fillId="0" borderId="16" xfId="1" applyNumberFormat="1" applyFont="1" applyFill="1" applyBorder="1" applyAlignment="1">
      <alignment horizontal="right" vertical="center"/>
    </xf>
    <xf numFmtId="1" fontId="19" fillId="0" borderId="25" xfId="1" applyNumberFormat="1" applyFont="1" applyFill="1" applyBorder="1" applyAlignment="1">
      <alignment horizontal="right" vertical="center"/>
    </xf>
    <xf numFmtId="1" fontId="19" fillId="0" borderId="12" xfId="0" applyNumberFormat="1" applyFont="1" applyBorder="1" applyAlignment="1">
      <alignment horizontal="right" vertical="center"/>
    </xf>
    <xf numFmtId="1" fontId="19" fillId="0" borderId="8" xfId="0" applyNumberFormat="1" applyFont="1" applyBorder="1" applyAlignment="1">
      <alignment horizontal="right" vertical="center"/>
    </xf>
    <xf numFmtId="1" fontId="19" fillId="0" borderId="22" xfId="1" applyNumberFormat="1" applyFont="1" applyFill="1" applyBorder="1" applyAlignment="1">
      <alignment horizontal="right" vertical="center"/>
    </xf>
    <xf numFmtId="0" fontId="9" fillId="0" borderId="0" xfId="0" applyFont="1" applyAlignment="1">
      <alignment horizontal="center" vertical="center"/>
    </xf>
    <xf numFmtId="1" fontId="19" fillId="0" borderId="12" xfId="1" applyNumberFormat="1" applyFont="1" applyBorder="1" applyAlignment="1">
      <alignment horizontal="right" vertical="center"/>
    </xf>
    <xf numFmtId="0" fontId="17" fillId="4" borderId="12" xfId="0" applyFont="1" applyFill="1" applyBorder="1" applyAlignment="1">
      <alignment horizontal="center" vertical="center"/>
    </xf>
    <xf numFmtId="0" fontId="3" fillId="4" borderId="12" xfId="0" applyFont="1" applyFill="1" applyBorder="1" applyAlignment="1">
      <alignment horizontal="center" vertical="center"/>
    </xf>
    <xf numFmtId="164" fontId="3" fillId="4" borderId="12" xfId="1" applyNumberFormat="1" applyFont="1" applyFill="1" applyBorder="1" applyAlignment="1">
      <alignment vertical="center"/>
    </xf>
    <xf numFmtId="0" fontId="22" fillId="4" borderId="12" xfId="0" applyFont="1" applyFill="1" applyBorder="1" applyAlignment="1">
      <alignment horizontal="center" vertical="center"/>
    </xf>
    <xf numFmtId="0" fontId="9" fillId="4" borderId="8" xfId="0" applyFont="1" applyFill="1" applyBorder="1" applyAlignment="1">
      <alignment horizontal="left" vertical="center" wrapText="1"/>
    </xf>
    <xf numFmtId="0" fontId="3" fillId="4" borderId="25" xfId="0" applyFont="1" applyFill="1" applyBorder="1" applyAlignment="1">
      <alignment horizontal="center" vertical="center"/>
    </xf>
    <xf numFmtId="0" fontId="3" fillId="4" borderId="17" xfId="0" applyFont="1" applyFill="1" applyBorder="1" applyAlignment="1">
      <alignment horizontal="center" vertical="center"/>
    </xf>
    <xf numFmtId="164" fontId="19" fillId="0" borderId="5" xfId="1" applyNumberFormat="1" applyFont="1" applyBorder="1" applyAlignment="1">
      <alignment vertical="center"/>
    </xf>
    <xf numFmtId="0" fontId="16" fillId="6" borderId="12" xfId="0" applyFont="1" applyFill="1" applyBorder="1" applyAlignment="1">
      <alignment horizontal="left" vertical="center" wrapText="1"/>
    </xf>
    <xf numFmtId="164" fontId="19" fillId="6" borderId="5" xfId="1" applyNumberFormat="1" applyFont="1" applyFill="1" applyBorder="1" applyAlignment="1">
      <alignment horizontal="right" vertical="center"/>
    </xf>
    <xf numFmtId="0" fontId="22" fillId="6" borderId="8" xfId="0" applyFont="1" applyFill="1" applyBorder="1" applyAlignment="1">
      <alignment horizontal="left" vertical="center"/>
    </xf>
    <xf numFmtId="164" fontId="19" fillId="0" borderId="0" xfId="1" applyNumberFormat="1" applyFont="1" applyFill="1" applyBorder="1" applyAlignment="1">
      <alignment horizontal="center" vertical="center"/>
    </xf>
    <xf numFmtId="164" fontId="19" fillId="6" borderId="2" xfId="1" applyNumberFormat="1" applyFont="1" applyFill="1" applyBorder="1" applyAlignment="1">
      <alignment horizontal="right" vertical="center"/>
    </xf>
    <xf numFmtId="166" fontId="19" fillId="0" borderId="7" xfId="1" applyNumberFormat="1" applyFont="1" applyFill="1" applyBorder="1" applyAlignment="1">
      <alignment horizontal="center" vertical="center"/>
    </xf>
    <xf numFmtId="0" fontId="15" fillId="4" borderId="17" xfId="0" applyFont="1" applyFill="1" applyBorder="1" applyAlignment="1">
      <alignment horizontal="left" vertical="center" wrapText="1"/>
    </xf>
    <xf numFmtId="0" fontId="15" fillId="6" borderId="17" xfId="0" applyFont="1" applyFill="1" applyBorder="1" applyAlignment="1">
      <alignment horizontal="left" vertical="center" wrapText="1"/>
    </xf>
    <xf numFmtId="0" fontId="21" fillId="0" borderId="5" xfId="0" applyFont="1" applyBorder="1" applyAlignment="1">
      <alignment horizontal="center" vertical="center" wrapText="1"/>
    </xf>
    <xf numFmtId="0" fontId="16" fillId="6" borderId="16" xfId="0" applyFont="1" applyFill="1" applyBorder="1" applyAlignment="1">
      <alignment vertical="center" wrapText="1"/>
    </xf>
    <xf numFmtId="164" fontId="19" fillId="0" borderId="8" xfId="1" applyNumberFormat="1" applyFont="1" applyFill="1" applyBorder="1" applyAlignment="1">
      <alignment horizontal="center" vertical="center"/>
    </xf>
    <xf numFmtId="164" fontId="19" fillId="0" borderId="11" xfId="1" applyNumberFormat="1" applyFont="1" applyFill="1" applyBorder="1" applyAlignment="1">
      <alignment horizontal="center" vertical="center"/>
    </xf>
    <xf numFmtId="0" fontId="9" fillId="6" borderId="18" xfId="0" applyFont="1" applyFill="1" applyBorder="1" applyAlignment="1">
      <alignment vertical="center" wrapText="1"/>
    </xf>
    <xf numFmtId="164" fontId="19" fillId="6" borderId="18" xfId="1" applyNumberFormat="1" applyFont="1" applyFill="1" applyBorder="1" applyAlignment="1">
      <alignment horizontal="right" vertical="center"/>
    </xf>
    <xf numFmtId="0" fontId="15" fillId="2" borderId="12" xfId="0" applyFont="1" applyFill="1" applyBorder="1" applyAlignment="1">
      <alignment horizontal="left" vertical="center" wrapText="1"/>
    </xf>
    <xf numFmtId="164" fontId="19" fillId="6" borderId="7" xfId="1" applyNumberFormat="1" applyFont="1" applyFill="1" applyBorder="1" applyAlignment="1">
      <alignment horizontal="right" vertical="center"/>
    </xf>
    <xf numFmtId="0" fontId="3" fillId="8" borderId="0" xfId="0" applyFont="1" applyFill="1" applyAlignment="1">
      <alignment vertical="center"/>
    </xf>
    <xf numFmtId="0" fontId="27" fillId="6" borderId="12" xfId="0" applyFont="1" applyFill="1" applyBorder="1" applyAlignment="1">
      <alignment horizontal="center" vertical="center" wrapText="1"/>
    </xf>
    <xf numFmtId="164" fontId="19" fillId="6" borderId="8" xfId="1" applyNumberFormat="1" applyFont="1" applyFill="1" applyBorder="1" applyAlignment="1">
      <alignment horizontal="right" vertical="center"/>
    </xf>
    <xf numFmtId="0" fontId="3" fillId="6" borderId="0" xfId="0" applyFont="1" applyFill="1" applyAlignment="1">
      <alignment vertical="center"/>
    </xf>
    <xf numFmtId="164" fontId="3" fillId="6" borderId="22" xfId="1" applyNumberFormat="1" applyFont="1" applyFill="1" applyBorder="1" applyAlignment="1">
      <alignment vertical="center"/>
    </xf>
    <xf numFmtId="164" fontId="19" fillId="6" borderId="22" xfId="1" applyNumberFormat="1" applyFont="1" applyFill="1" applyBorder="1" applyAlignment="1">
      <alignment horizontal="right" vertical="center"/>
    </xf>
    <xf numFmtId="0" fontId="3" fillId="6" borderId="34" xfId="0" applyFont="1" applyFill="1" applyBorder="1" applyAlignment="1">
      <alignment horizontal="center" vertical="center"/>
    </xf>
    <xf numFmtId="0" fontId="3" fillId="6" borderId="18" xfId="0" applyFont="1" applyFill="1" applyBorder="1" applyAlignment="1">
      <alignment horizontal="left" vertical="center" wrapText="1"/>
    </xf>
    <xf numFmtId="0" fontId="13" fillId="6" borderId="20" xfId="0" applyFont="1" applyFill="1" applyBorder="1" applyAlignment="1">
      <alignment horizontal="left" vertical="center" wrapText="1"/>
    </xf>
    <xf numFmtId="0" fontId="17" fillId="0" borderId="0" xfId="0" applyFont="1" applyAlignment="1">
      <alignment horizontal="left" vertical="center"/>
    </xf>
    <xf numFmtId="0" fontId="3" fillId="6" borderId="35" xfId="0" applyFont="1" applyFill="1" applyBorder="1" applyAlignment="1">
      <alignment horizontal="center" vertical="center"/>
    </xf>
    <xf numFmtId="0" fontId="16" fillId="6" borderId="21" xfId="0" applyFont="1" applyFill="1" applyBorder="1" applyAlignment="1">
      <alignment horizontal="left" vertical="center" wrapText="1"/>
    </xf>
    <xf numFmtId="0" fontId="9" fillId="6" borderId="8" xfId="0" applyFont="1" applyFill="1" applyBorder="1" applyAlignment="1">
      <alignment horizontal="left" vertical="center" wrapText="1"/>
    </xf>
    <xf numFmtId="164" fontId="19" fillId="7" borderId="6" xfId="1" applyNumberFormat="1" applyFont="1" applyFill="1" applyBorder="1" applyAlignment="1">
      <alignment horizontal="right" vertical="center"/>
    </xf>
    <xf numFmtId="0" fontId="16" fillId="6" borderId="18" xfId="0" applyFont="1" applyFill="1" applyBorder="1" applyAlignment="1">
      <alignment horizontal="left" vertical="center" wrapText="1"/>
    </xf>
    <xf numFmtId="0" fontId="3" fillId="6" borderId="25" xfId="0" applyFont="1" applyFill="1" applyBorder="1" applyAlignment="1">
      <alignment horizontal="center" vertical="center" wrapText="1"/>
    </xf>
    <xf numFmtId="0" fontId="3" fillId="6" borderId="16" xfId="0" applyFont="1" applyFill="1" applyBorder="1" applyAlignment="1">
      <alignment horizontal="center" vertical="center" wrapText="1"/>
    </xf>
    <xf numFmtId="0" fontId="3" fillId="6" borderId="20" xfId="0" applyFont="1" applyFill="1" applyBorder="1" applyAlignment="1">
      <alignment horizontal="center" vertical="center" wrapText="1"/>
    </xf>
    <xf numFmtId="0" fontId="3" fillId="6" borderId="21" xfId="0" applyFont="1" applyFill="1" applyBorder="1" applyAlignment="1">
      <alignment horizontal="center" vertical="center" wrapText="1"/>
    </xf>
    <xf numFmtId="0" fontId="3" fillId="9" borderId="16" xfId="0" applyFont="1" applyFill="1" applyBorder="1" applyAlignment="1">
      <alignment horizontal="center" vertical="center"/>
    </xf>
    <xf numFmtId="164" fontId="3" fillId="9" borderId="8" xfId="1" applyNumberFormat="1" applyFont="1" applyFill="1" applyBorder="1" applyAlignment="1">
      <alignment vertical="center"/>
    </xf>
    <xf numFmtId="0" fontId="3" fillId="9" borderId="8" xfId="0" applyFont="1" applyFill="1" applyBorder="1" applyAlignment="1">
      <alignment horizontal="center" vertical="center"/>
    </xf>
    <xf numFmtId="0" fontId="3" fillId="9" borderId="8" xfId="0" applyFont="1" applyFill="1" applyBorder="1" applyAlignment="1">
      <alignment horizontal="left" vertical="center" wrapText="1"/>
    </xf>
    <xf numFmtId="0" fontId="16" fillId="9" borderId="8" xfId="0" applyFont="1" applyFill="1" applyBorder="1" applyAlignment="1">
      <alignment horizontal="left" vertical="center" wrapText="1"/>
    </xf>
    <xf numFmtId="164" fontId="19" fillId="9" borderId="6" xfId="1" applyNumberFormat="1" applyFont="1" applyFill="1" applyBorder="1" applyAlignment="1">
      <alignment horizontal="right" vertical="center"/>
    </xf>
    <xf numFmtId="0" fontId="3" fillId="9" borderId="0" xfId="0" applyFont="1" applyFill="1" applyAlignment="1">
      <alignment vertical="center"/>
    </xf>
    <xf numFmtId="0" fontId="28" fillId="0" borderId="0" xfId="0" applyFont="1" applyAlignment="1">
      <alignment horizontal="center" vertical="center"/>
    </xf>
    <xf numFmtId="0" fontId="28" fillId="0" borderId="5" xfId="0" applyFont="1" applyBorder="1" applyAlignment="1">
      <alignment horizontal="center" vertical="center"/>
    </xf>
    <xf numFmtId="0" fontId="29" fillId="2" borderId="5" xfId="0" applyFont="1" applyFill="1" applyBorder="1" applyAlignment="1">
      <alignment horizontal="center" vertical="center" wrapText="1"/>
    </xf>
    <xf numFmtId="0" fontId="28" fillId="6" borderId="5" xfId="0" applyFont="1" applyFill="1" applyBorder="1" applyAlignment="1">
      <alignment horizontal="center" vertical="center"/>
    </xf>
    <xf numFmtId="0" fontId="28" fillId="9" borderId="5" xfId="0" applyFont="1" applyFill="1" applyBorder="1" applyAlignment="1">
      <alignment horizontal="center" vertical="center"/>
    </xf>
    <xf numFmtId="0" fontId="16" fillId="6" borderId="8" xfId="0" applyFont="1" applyFill="1" applyBorder="1" applyAlignment="1">
      <alignment horizontal="left" vertical="center" wrapText="1"/>
    </xf>
    <xf numFmtId="0" fontId="19" fillId="6" borderId="0" xfId="0" applyFont="1" applyFill="1" applyAlignment="1">
      <alignment horizontal="center" vertical="center"/>
    </xf>
    <xf numFmtId="164" fontId="19" fillId="6" borderId="0" xfId="1" applyNumberFormat="1" applyFont="1" applyFill="1" applyBorder="1" applyAlignment="1">
      <alignment horizontal="center" vertical="center"/>
    </xf>
    <xf numFmtId="0" fontId="3" fillId="6" borderId="0" xfId="0" applyFont="1" applyFill="1" applyAlignment="1">
      <alignment horizontal="center" vertical="center"/>
    </xf>
    <xf numFmtId="0" fontId="28" fillId="10" borderId="5" xfId="0" applyFont="1" applyFill="1" applyBorder="1" applyAlignment="1">
      <alignment horizontal="center" vertical="center"/>
    </xf>
    <xf numFmtId="0" fontId="3" fillId="10" borderId="16" xfId="0" applyFont="1" applyFill="1" applyBorder="1" applyAlignment="1">
      <alignment horizontal="center" vertical="center"/>
    </xf>
    <xf numFmtId="164" fontId="3" fillId="10" borderId="8" xfId="1" applyNumberFormat="1" applyFont="1" applyFill="1" applyBorder="1" applyAlignment="1">
      <alignment vertical="center"/>
    </xf>
    <xf numFmtId="0" fontId="12" fillId="10" borderId="8" xfId="0" applyFont="1" applyFill="1" applyBorder="1" applyAlignment="1">
      <alignment horizontal="center" vertical="center" wrapText="1"/>
    </xf>
    <xf numFmtId="0" fontId="3" fillId="10" borderId="8" xfId="0" applyFont="1" applyFill="1" applyBorder="1" applyAlignment="1">
      <alignment horizontal="center" vertical="center"/>
    </xf>
    <xf numFmtId="0" fontId="3" fillId="10" borderId="8" xfId="0" applyFont="1" applyFill="1" applyBorder="1" applyAlignment="1">
      <alignment horizontal="left" vertical="center" wrapText="1"/>
    </xf>
    <xf numFmtId="0" fontId="16" fillId="10" borderId="8" xfId="0" applyFont="1" applyFill="1" applyBorder="1" applyAlignment="1">
      <alignment horizontal="left" vertical="center" wrapText="1"/>
    </xf>
    <xf numFmtId="164" fontId="19" fillId="10" borderId="6" xfId="1" applyNumberFormat="1" applyFont="1" applyFill="1" applyBorder="1" applyAlignment="1">
      <alignment horizontal="right" vertical="center"/>
    </xf>
    <xf numFmtId="0" fontId="3" fillId="10" borderId="0" xfId="0" applyFont="1" applyFill="1" applyAlignment="1">
      <alignment vertical="center"/>
    </xf>
    <xf numFmtId="164" fontId="19" fillId="6" borderId="6" xfId="1" applyNumberFormat="1" applyFont="1" applyFill="1" applyBorder="1" applyAlignment="1">
      <alignment horizontal="right" vertical="center"/>
    </xf>
    <xf numFmtId="14" fontId="18" fillId="0" borderId="5" xfId="0" applyNumberFormat="1" applyFont="1" applyBorder="1" applyAlignment="1">
      <alignment vertical="center" wrapText="1"/>
    </xf>
    <xf numFmtId="0" fontId="3" fillId="6" borderId="17" xfId="0" applyFont="1" applyFill="1" applyBorder="1" applyAlignment="1">
      <alignment horizontal="center" vertical="center" wrapText="1"/>
    </xf>
    <xf numFmtId="0" fontId="3" fillId="6" borderId="12" xfId="0" applyFont="1" applyFill="1" applyBorder="1" applyAlignment="1">
      <alignment horizontal="center" vertical="center" wrapText="1"/>
    </xf>
    <xf numFmtId="0" fontId="3" fillId="9" borderId="8" xfId="0" applyFont="1" applyFill="1" applyBorder="1" applyAlignment="1">
      <alignment horizontal="center" vertical="center" wrapText="1"/>
    </xf>
    <xf numFmtId="164" fontId="3" fillId="9" borderId="8" xfId="1" applyNumberFormat="1" applyFont="1" applyFill="1" applyBorder="1" applyAlignment="1">
      <alignment horizontal="center" vertical="center"/>
    </xf>
    <xf numFmtId="0" fontId="3" fillId="6" borderId="22" xfId="0" applyFont="1" applyFill="1" applyBorder="1" applyAlignment="1">
      <alignment horizontal="center" vertical="center" wrapText="1"/>
    </xf>
    <xf numFmtId="0" fontId="3" fillId="6" borderId="18" xfId="0" applyFont="1" applyFill="1" applyBorder="1" applyAlignment="1">
      <alignment horizontal="center" vertical="center" wrapText="1"/>
    </xf>
    <xf numFmtId="2" fontId="18" fillId="0" borderId="5" xfId="0" applyNumberFormat="1" applyFont="1" applyBorder="1" applyAlignment="1">
      <alignment horizontal="center" vertical="center"/>
    </xf>
    <xf numFmtId="0" fontId="3" fillId="9" borderId="18" xfId="0" applyFont="1" applyFill="1" applyBorder="1" applyAlignment="1">
      <alignment horizontal="center" vertical="center"/>
    </xf>
    <xf numFmtId="0" fontId="30" fillId="6" borderId="5" xfId="0" applyFont="1" applyFill="1" applyBorder="1" applyAlignment="1">
      <alignment horizontal="center" vertical="center"/>
    </xf>
    <xf numFmtId="0" fontId="15" fillId="6" borderId="8" xfId="0" applyFont="1" applyFill="1" applyBorder="1" applyAlignment="1">
      <alignment horizontal="center" vertical="center" wrapText="1"/>
    </xf>
    <xf numFmtId="0" fontId="15" fillId="6" borderId="10" xfId="0" applyFont="1" applyFill="1" applyBorder="1" applyAlignment="1">
      <alignment horizontal="center" vertical="center"/>
    </xf>
    <xf numFmtId="0" fontId="15" fillId="6" borderId="16" xfId="0" applyFont="1" applyFill="1" applyBorder="1" applyAlignment="1">
      <alignment horizontal="center" vertical="center" wrapText="1"/>
    </xf>
    <xf numFmtId="164" fontId="22" fillId="6" borderId="6" xfId="1" applyNumberFormat="1" applyFont="1" applyFill="1" applyBorder="1" applyAlignment="1">
      <alignment horizontal="right" vertical="center"/>
    </xf>
    <xf numFmtId="0" fontId="12" fillId="6" borderId="8" xfId="0" applyFont="1" applyFill="1" applyBorder="1" applyAlignment="1">
      <alignment horizontal="center" vertical="center" wrapText="1"/>
    </xf>
    <xf numFmtId="16" fontId="3" fillId="6" borderId="8" xfId="0" applyNumberFormat="1" applyFont="1" applyFill="1" applyBorder="1" applyAlignment="1">
      <alignment horizontal="center" vertical="center" wrapText="1"/>
    </xf>
    <xf numFmtId="0" fontId="13" fillId="6" borderId="16" xfId="0" applyFont="1" applyFill="1" applyBorder="1" applyAlignment="1">
      <alignment horizontal="center" vertical="center"/>
    </xf>
    <xf numFmtId="164" fontId="13" fillId="6" borderId="8" xfId="1" applyNumberFormat="1" applyFont="1" applyFill="1" applyBorder="1" applyAlignment="1">
      <alignment vertical="center"/>
    </xf>
    <xf numFmtId="0" fontId="13" fillId="6" borderId="8" xfId="0" applyFont="1" applyFill="1" applyBorder="1" applyAlignment="1">
      <alignment horizontal="center" vertical="center" wrapText="1"/>
    </xf>
    <xf numFmtId="0" fontId="13" fillId="6" borderId="8" xfId="0" applyFont="1" applyFill="1" applyBorder="1" applyAlignment="1">
      <alignment horizontal="center" vertical="center"/>
    </xf>
    <xf numFmtId="0" fontId="13" fillId="6" borderId="18" xfId="0" applyFont="1" applyFill="1" applyBorder="1" applyAlignment="1">
      <alignment horizontal="center" vertical="center"/>
    </xf>
    <xf numFmtId="164" fontId="18" fillId="6" borderId="6" xfId="1" applyNumberFormat="1" applyFont="1" applyFill="1" applyBorder="1" applyAlignment="1">
      <alignment horizontal="right" vertical="center"/>
    </xf>
    <xf numFmtId="0" fontId="31" fillId="6" borderId="5" xfId="0" applyFont="1" applyFill="1" applyBorder="1" applyAlignment="1">
      <alignment horizontal="center" vertical="center"/>
    </xf>
    <xf numFmtId="0" fontId="9" fillId="6" borderId="16" xfId="0" applyFont="1" applyFill="1" applyBorder="1" applyAlignment="1">
      <alignment horizontal="center" vertical="center"/>
    </xf>
    <xf numFmtId="164" fontId="9" fillId="6" borderId="8" xfId="1" applyNumberFormat="1" applyFont="1" applyFill="1" applyBorder="1" applyAlignment="1">
      <alignment vertical="center"/>
    </xf>
    <xf numFmtId="0" fontId="9" fillId="6" borderId="8" xfId="0" applyFont="1" applyFill="1" applyBorder="1" applyAlignment="1">
      <alignment horizontal="center" vertical="center" wrapText="1"/>
    </xf>
    <xf numFmtId="0" fontId="9" fillId="6" borderId="8" xfId="0" applyFont="1" applyFill="1" applyBorder="1" applyAlignment="1">
      <alignment horizontal="center" vertical="center"/>
    </xf>
    <xf numFmtId="0" fontId="9" fillId="6" borderId="18" xfId="0" applyFont="1" applyFill="1" applyBorder="1" applyAlignment="1">
      <alignment horizontal="center" vertical="center"/>
    </xf>
    <xf numFmtId="164" fontId="20" fillId="6" borderId="6" xfId="1" applyNumberFormat="1" applyFont="1" applyFill="1" applyBorder="1" applyAlignment="1">
      <alignment horizontal="right" vertical="center"/>
    </xf>
    <xf numFmtId="0" fontId="12" fillId="6" borderId="0" xfId="0" applyFont="1" applyFill="1" applyAlignment="1">
      <alignment vertical="center"/>
    </xf>
    <xf numFmtId="14" fontId="3" fillId="6" borderId="8" xfId="0" applyNumberFormat="1" applyFont="1" applyFill="1" applyBorder="1" applyAlignment="1">
      <alignment horizontal="center" vertical="center" wrapText="1"/>
    </xf>
    <xf numFmtId="0" fontId="32" fillId="6" borderId="5" xfId="0" applyFont="1" applyFill="1" applyBorder="1" applyAlignment="1">
      <alignment horizontal="center" vertical="center"/>
    </xf>
    <xf numFmtId="0" fontId="33" fillId="6" borderId="16" xfId="0" applyFont="1" applyFill="1" applyBorder="1" applyAlignment="1">
      <alignment horizontal="center" vertical="center"/>
    </xf>
    <xf numFmtId="164" fontId="33" fillId="6" borderId="8" xfId="1" applyNumberFormat="1" applyFont="1" applyFill="1" applyBorder="1" applyAlignment="1">
      <alignment vertical="center"/>
    </xf>
    <xf numFmtId="0" fontId="33" fillId="6" borderId="8" xfId="0" applyFont="1" applyFill="1" applyBorder="1" applyAlignment="1">
      <alignment horizontal="center" vertical="center" wrapText="1"/>
    </xf>
    <xf numFmtId="0" fontId="33" fillId="6" borderId="8" xfId="0" applyFont="1" applyFill="1" applyBorder="1" applyAlignment="1">
      <alignment horizontal="center" vertical="center"/>
    </xf>
    <xf numFmtId="0" fontId="33" fillId="6" borderId="8" xfId="0" applyFont="1" applyFill="1" applyBorder="1" applyAlignment="1">
      <alignment horizontal="left" vertical="center" wrapText="1"/>
    </xf>
    <xf numFmtId="0" fontId="34" fillId="6" borderId="8" xfId="0" applyFont="1" applyFill="1" applyBorder="1" applyAlignment="1">
      <alignment horizontal="left" vertical="center" wrapText="1"/>
    </xf>
    <xf numFmtId="0" fontId="33" fillId="6" borderId="18" xfId="0" applyFont="1" applyFill="1" applyBorder="1" applyAlignment="1">
      <alignment horizontal="center" vertical="center"/>
    </xf>
    <xf numFmtId="164" fontId="35" fillId="6" borderId="6" xfId="1" applyNumberFormat="1" applyFont="1" applyFill="1" applyBorder="1" applyAlignment="1">
      <alignment horizontal="right" vertical="center"/>
    </xf>
    <xf numFmtId="0" fontId="33" fillId="6" borderId="0" xfId="0" applyFont="1" applyFill="1" applyAlignment="1">
      <alignment vertical="center"/>
    </xf>
    <xf numFmtId="0" fontId="28" fillId="5" borderId="5" xfId="0" applyFont="1" applyFill="1" applyBorder="1" applyAlignment="1">
      <alignment horizontal="center" vertical="center"/>
    </xf>
    <xf numFmtId="0" fontId="3" fillId="5" borderId="16" xfId="0" applyFont="1" applyFill="1" applyBorder="1" applyAlignment="1">
      <alignment horizontal="center" vertical="center"/>
    </xf>
    <xf numFmtId="164" fontId="3" fillId="5" borderId="8" xfId="1" applyNumberFormat="1" applyFont="1" applyFill="1" applyBorder="1" applyAlignment="1">
      <alignment vertical="center"/>
    </xf>
    <xf numFmtId="16" fontId="3" fillId="5" borderId="8" xfId="0" applyNumberFormat="1" applyFont="1" applyFill="1" applyBorder="1" applyAlignment="1">
      <alignment horizontal="center" vertical="center" wrapText="1"/>
    </xf>
    <xf numFmtId="0" fontId="3" fillId="5" borderId="8" xfId="0" applyFont="1" applyFill="1" applyBorder="1" applyAlignment="1">
      <alignment horizontal="center" vertical="center"/>
    </xf>
    <xf numFmtId="0" fontId="3" fillId="5" borderId="8" xfId="0" applyFont="1" applyFill="1" applyBorder="1" applyAlignment="1">
      <alignment horizontal="left" vertical="center" wrapText="1"/>
    </xf>
    <xf numFmtId="0" fontId="9" fillId="5" borderId="8" xfId="0" applyFont="1" applyFill="1" applyBorder="1" applyAlignment="1">
      <alignment horizontal="left" vertical="center" wrapText="1"/>
    </xf>
    <xf numFmtId="0" fontId="3" fillId="5" borderId="18" xfId="0" applyFont="1" applyFill="1" applyBorder="1" applyAlignment="1">
      <alignment horizontal="center" vertical="center"/>
    </xf>
    <xf numFmtId="0" fontId="3" fillId="5" borderId="8" xfId="0" applyFont="1" applyFill="1" applyBorder="1" applyAlignment="1">
      <alignment horizontal="center" vertical="center" wrapText="1"/>
    </xf>
    <xf numFmtId="164" fontId="19" fillId="5" borderId="6" xfId="1" applyNumberFormat="1" applyFont="1" applyFill="1" applyBorder="1" applyAlignment="1">
      <alignment horizontal="right" vertical="center"/>
    </xf>
    <xf numFmtId="0" fontId="19" fillId="5" borderId="5" xfId="0" applyFont="1" applyFill="1" applyBorder="1" applyAlignment="1">
      <alignment horizontal="center" vertical="center"/>
    </xf>
    <xf numFmtId="164" fontId="19" fillId="5" borderId="5" xfId="1" applyNumberFormat="1" applyFont="1" applyFill="1" applyBorder="1" applyAlignment="1">
      <alignment vertical="center"/>
    </xf>
    <xf numFmtId="164" fontId="3" fillId="5" borderId="0" xfId="0" applyNumberFormat="1" applyFont="1" applyFill="1" applyAlignment="1">
      <alignment vertical="center"/>
    </xf>
    <xf numFmtId="0" fontId="3" fillId="5" borderId="0" xfId="0" applyFont="1" applyFill="1" applyAlignment="1">
      <alignment vertical="center"/>
    </xf>
    <xf numFmtId="0" fontId="36" fillId="0" borderId="0" xfId="0" applyFont="1" applyAlignment="1">
      <alignment horizontal="center" vertical="center"/>
    </xf>
    <xf numFmtId="0" fontId="15" fillId="0" borderId="0" xfId="0" applyFont="1" applyAlignment="1">
      <alignment vertical="center"/>
    </xf>
    <xf numFmtId="0" fontId="28" fillId="7" borderId="5" xfId="0" applyFont="1" applyFill="1" applyBorder="1" applyAlignment="1">
      <alignment horizontal="center" vertical="center"/>
    </xf>
    <xf numFmtId="0" fontId="3" fillId="7" borderId="16" xfId="0" applyFont="1" applyFill="1" applyBorder="1" applyAlignment="1">
      <alignment horizontal="center" vertical="center"/>
    </xf>
    <xf numFmtId="164" fontId="3" fillId="7" borderId="8" xfId="1" applyNumberFormat="1" applyFont="1" applyFill="1" applyBorder="1" applyAlignment="1">
      <alignment vertical="center"/>
    </xf>
    <xf numFmtId="16" fontId="3" fillId="7" borderId="8" xfId="0" applyNumberFormat="1" applyFont="1" applyFill="1" applyBorder="1" applyAlignment="1">
      <alignment horizontal="center" vertical="center" wrapText="1"/>
    </xf>
    <xf numFmtId="0" fontId="3" fillId="7" borderId="8" xfId="0" applyFont="1" applyFill="1" applyBorder="1" applyAlignment="1">
      <alignment horizontal="center" vertical="center"/>
    </xf>
    <xf numFmtId="0" fontId="3" fillId="7" borderId="8" xfId="0" applyFont="1" applyFill="1" applyBorder="1" applyAlignment="1">
      <alignment horizontal="left" vertical="center" wrapText="1"/>
    </xf>
    <xf numFmtId="0" fontId="9" fillId="7" borderId="8" xfId="0" applyFont="1" applyFill="1" applyBorder="1" applyAlignment="1">
      <alignment horizontal="left" vertical="center" wrapText="1"/>
    </xf>
    <xf numFmtId="0" fontId="3" fillId="7" borderId="18" xfId="0" applyFont="1" applyFill="1" applyBorder="1" applyAlignment="1">
      <alignment horizontal="center" vertical="center"/>
    </xf>
    <xf numFmtId="0" fontId="3" fillId="7" borderId="8" xfId="0" applyFont="1" applyFill="1" applyBorder="1" applyAlignment="1">
      <alignment horizontal="center" vertical="center" wrapText="1"/>
    </xf>
    <xf numFmtId="0" fontId="19" fillId="7" borderId="5" xfId="0" applyFont="1" applyFill="1" applyBorder="1" applyAlignment="1">
      <alignment horizontal="center" vertical="center"/>
    </xf>
    <xf numFmtId="164" fontId="19" fillId="7" borderId="5" xfId="1" applyNumberFormat="1" applyFont="1" applyFill="1" applyBorder="1" applyAlignment="1">
      <alignment vertical="center"/>
    </xf>
    <xf numFmtId="164" fontId="3" fillId="7" borderId="0" xfId="0" applyNumberFormat="1" applyFont="1" applyFill="1" applyAlignment="1">
      <alignment vertical="center"/>
    </xf>
    <xf numFmtId="0" fontId="30" fillId="7" borderId="5" xfId="0" applyFont="1" applyFill="1" applyBorder="1" applyAlignment="1">
      <alignment horizontal="center" vertical="center"/>
    </xf>
    <xf numFmtId="0" fontId="15" fillId="7" borderId="16" xfId="0" applyFont="1" applyFill="1" applyBorder="1" applyAlignment="1">
      <alignment horizontal="center" vertical="center"/>
    </xf>
    <xf numFmtId="164" fontId="15" fillId="7" borderId="8" xfId="1" applyNumberFormat="1" applyFont="1" applyFill="1" applyBorder="1" applyAlignment="1">
      <alignment vertical="center"/>
    </xf>
    <xf numFmtId="0" fontId="15" fillId="7" borderId="8" xfId="0" applyFont="1" applyFill="1" applyBorder="1" applyAlignment="1">
      <alignment horizontal="center" vertical="center" wrapText="1"/>
    </xf>
    <xf numFmtId="0" fontId="15" fillId="7" borderId="8" xfId="0" applyFont="1" applyFill="1" applyBorder="1" applyAlignment="1">
      <alignment horizontal="center" vertical="center"/>
    </xf>
    <xf numFmtId="0" fontId="15" fillId="7" borderId="8" xfId="0" applyFont="1" applyFill="1" applyBorder="1" applyAlignment="1">
      <alignment horizontal="left" vertical="center" wrapText="1"/>
    </xf>
    <xf numFmtId="0" fontId="16" fillId="7" borderId="8" xfId="0" applyFont="1" applyFill="1" applyBorder="1" applyAlignment="1">
      <alignment horizontal="left" vertical="center" wrapText="1"/>
    </xf>
    <xf numFmtId="0" fontId="15" fillId="7" borderId="10" xfId="0" applyFont="1" applyFill="1" applyBorder="1" applyAlignment="1">
      <alignment horizontal="center" vertical="center"/>
    </xf>
    <xf numFmtId="0" fontId="15" fillId="7" borderId="16" xfId="0" applyFont="1" applyFill="1" applyBorder="1" applyAlignment="1">
      <alignment horizontal="center" vertical="center" wrapText="1"/>
    </xf>
    <xf numFmtId="164" fontId="22" fillId="7" borderId="6" xfId="1" applyNumberFormat="1" applyFont="1" applyFill="1" applyBorder="1" applyAlignment="1">
      <alignment horizontal="right" vertical="center"/>
    </xf>
    <xf numFmtId="164" fontId="22" fillId="7" borderId="8" xfId="1" applyNumberFormat="1" applyFont="1" applyFill="1" applyBorder="1" applyAlignment="1">
      <alignment horizontal="center" vertical="center"/>
    </xf>
    <xf numFmtId="0" fontId="15" fillId="7" borderId="0" xfId="0" applyFont="1" applyFill="1" applyAlignment="1">
      <alignment horizontal="center" vertical="center"/>
    </xf>
    <xf numFmtId="16" fontId="15" fillId="7" borderId="8" xfId="0" applyNumberFormat="1" applyFont="1" applyFill="1" applyBorder="1" applyAlignment="1">
      <alignment horizontal="center" vertical="center" wrapText="1"/>
    </xf>
    <xf numFmtId="0" fontId="15" fillId="7" borderId="18" xfId="0" applyFont="1" applyFill="1" applyBorder="1" applyAlignment="1">
      <alignment horizontal="center" vertical="center"/>
    </xf>
    <xf numFmtId="166" fontId="22" fillId="7" borderId="5" xfId="1" applyNumberFormat="1" applyFont="1" applyFill="1" applyBorder="1" applyAlignment="1">
      <alignment horizontal="center" vertical="center"/>
    </xf>
    <xf numFmtId="164" fontId="22" fillId="7" borderId="5" xfId="1" applyNumberFormat="1" applyFont="1" applyFill="1" applyBorder="1" applyAlignment="1">
      <alignment horizontal="center" vertical="center"/>
    </xf>
    <xf numFmtId="0" fontId="15" fillId="7" borderId="0" xfId="0" applyFont="1" applyFill="1" applyAlignment="1">
      <alignment vertical="center"/>
    </xf>
    <xf numFmtId="0" fontId="16" fillId="9" borderId="12" xfId="0" applyFont="1" applyFill="1" applyBorder="1" applyAlignment="1">
      <alignment horizontal="left" vertical="center" wrapText="1"/>
    </xf>
    <xf numFmtId="0" fontId="15" fillId="9" borderId="0" xfId="0" applyFont="1" applyFill="1" applyAlignment="1">
      <alignment vertical="center"/>
    </xf>
    <xf numFmtId="0" fontId="15" fillId="7" borderId="16" xfId="0" applyFont="1" applyFill="1" applyBorder="1" applyAlignment="1">
      <alignment horizontal="left" vertical="center"/>
    </xf>
    <xf numFmtId="0" fontId="3" fillId="7" borderId="0" xfId="0" applyFont="1" applyFill="1" applyAlignment="1">
      <alignment horizontal="center" vertical="center"/>
    </xf>
    <xf numFmtId="164" fontId="19" fillId="7" borderId="0" xfId="1" applyNumberFormat="1" applyFont="1" applyFill="1" applyBorder="1" applyAlignment="1">
      <alignment horizontal="center" vertical="center"/>
    </xf>
    <xf numFmtId="0" fontId="16" fillId="7" borderId="12" xfId="0" applyFont="1" applyFill="1" applyBorder="1" applyAlignment="1">
      <alignment horizontal="left" vertical="center" wrapText="1"/>
    </xf>
    <xf numFmtId="0" fontId="37" fillId="11" borderId="0" xfId="3" applyFont="1" applyAlignment="1">
      <alignment vertical="center"/>
    </xf>
    <xf numFmtId="0" fontId="15" fillId="7" borderId="12" xfId="0" applyFont="1" applyFill="1" applyBorder="1" applyAlignment="1">
      <alignment horizontal="left" vertical="center" wrapText="1"/>
    </xf>
    <xf numFmtId="0" fontId="15" fillId="7" borderId="12" xfId="0" applyFont="1" applyFill="1" applyBorder="1" applyAlignment="1">
      <alignment horizontal="center" vertical="center" wrapText="1"/>
    </xf>
    <xf numFmtId="0" fontId="36" fillId="7" borderId="0" xfId="0" applyFont="1" applyFill="1" applyAlignment="1">
      <alignment horizontal="center" vertical="center"/>
    </xf>
    <xf numFmtId="0" fontId="9" fillId="7" borderId="8" xfId="0" applyFont="1" applyFill="1" applyBorder="1" applyAlignment="1">
      <alignment horizontal="center" vertical="center" wrapText="1"/>
    </xf>
    <xf numFmtId="0" fontId="15" fillId="0" borderId="0" xfId="0" applyFont="1" applyAlignment="1">
      <alignment horizontal="left" vertical="center" wrapText="1"/>
    </xf>
    <xf numFmtId="164" fontId="3" fillId="7" borderId="8" xfId="0" applyNumberFormat="1" applyFont="1" applyFill="1" applyBorder="1" applyAlignment="1">
      <alignment horizontal="center" vertical="center" wrapText="1"/>
    </xf>
    <xf numFmtId="0" fontId="3" fillId="0" borderId="0" xfId="0" applyFont="1" applyAlignment="1">
      <alignment horizontal="left" vertical="center" wrapText="1"/>
    </xf>
    <xf numFmtId="0" fontId="28" fillId="7" borderId="7" xfId="0" applyFont="1" applyFill="1" applyBorder="1" applyAlignment="1">
      <alignment horizontal="center" vertical="center"/>
    </xf>
    <xf numFmtId="0" fontId="3" fillId="7" borderId="25" xfId="0" applyFont="1" applyFill="1" applyBorder="1" applyAlignment="1">
      <alignment horizontal="center" vertical="center"/>
    </xf>
    <xf numFmtId="164" fontId="3" fillId="7" borderId="12" xfId="1" applyNumberFormat="1" applyFont="1" applyFill="1" applyBorder="1" applyAlignment="1">
      <alignment vertical="center"/>
    </xf>
    <xf numFmtId="0" fontId="3" fillId="7" borderId="12" xfId="0" applyFont="1" applyFill="1" applyBorder="1" applyAlignment="1">
      <alignment horizontal="center" vertical="center" wrapText="1"/>
    </xf>
    <xf numFmtId="0" fontId="3" fillId="7" borderId="12" xfId="0" applyFont="1" applyFill="1" applyBorder="1" applyAlignment="1">
      <alignment horizontal="center" vertical="center"/>
    </xf>
    <xf numFmtId="0" fontId="3" fillId="7" borderId="12" xfId="0" applyFont="1" applyFill="1" applyBorder="1" applyAlignment="1">
      <alignment horizontal="left" vertical="center" wrapText="1"/>
    </xf>
    <xf numFmtId="0" fontId="3" fillId="7" borderId="10" xfId="0" applyFont="1" applyFill="1" applyBorder="1" applyAlignment="1">
      <alignment horizontal="center" vertical="center"/>
    </xf>
    <xf numFmtId="164" fontId="19" fillId="7" borderId="13" xfId="1" applyNumberFormat="1" applyFont="1" applyFill="1" applyBorder="1" applyAlignment="1">
      <alignment horizontal="right" vertical="center"/>
    </xf>
    <xf numFmtId="0" fontId="28" fillId="7" borderId="8" xfId="0" applyFont="1" applyFill="1" applyBorder="1" applyAlignment="1">
      <alignment horizontal="center" vertical="center"/>
    </xf>
    <xf numFmtId="0" fontId="16" fillId="7" borderId="21" xfId="0" applyFont="1" applyFill="1" applyBorder="1" applyAlignment="1">
      <alignment horizontal="left" vertical="center" wrapText="1"/>
    </xf>
    <xf numFmtId="0" fontId="3" fillId="7" borderId="21" xfId="0" applyFont="1" applyFill="1" applyBorder="1" applyAlignment="1">
      <alignment horizontal="center" vertical="center" wrapText="1"/>
    </xf>
    <xf numFmtId="0" fontId="3" fillId="7" borderId="24" xfId="0" applyFont="1" applyFill="1" applyBorder="1" applyAlignment="1">
      <alignment horizontal="center" vertical="center"/>
    </xf>
    <xf numFmtId="164" fontId="19" fillId="7" borderId="8" xfId="1" applyNumberFormat="1" applyFont="1" applyFill="1" applyBorder="1" applyAlignment="1">
      <alignment horizontal="right" vertical="center"/>
    </xf>
    <xf numFmtId="0" fontId="28" fillId="7" borderId="12" xfId="0" applyFont="1" applyFill="1" applyBorder="1" applyAlignment="1">
      <alignment horizontal="center" vertical="center"/>
    </xf>
    <xf numFmtId="0" fontId="3" fillId="7" borderId="35" xfId="0" applyFont="1" applyFill="1" applyBorder="1" applyAlignment="1">
      <alignment horizontal="center" vertical="center"/>
    </xf>
    <xf numFmtId="164" fontId="19" fillId="7" borderId="15" xfId="1" applyNumberFormat="1" applyFont="1" applyFill="1" applyBorder="1" applyAlignment="1">
      <alignment horizontal="right" vertical="center"/>
    </xf>
    <xf numFmtId="0" fontId="3" fillId="7" borderId="10" xfId="0" applyFont="1" applyFill="1" applyBorder="1" applyAlignment="1">
      <alignment horizontal="center" vertical="center" wrapText="1"/>
    </xf>
    <xf numFmtId="0" fontId="16" fillId="7" borderId="16" xfId="0" applyFont="1" applyFill="1" applyBorder="1" applyAlignment="1">
      <alignment horizontal="left" vertical="center" wrapText="1"/>
    </xf>
    <xf numFmtId="0" fontId="38" fillId="0" borderId="5" xfId="0" applyFont="1" applyBorder="1"/>
    <xf numFmtId="0" fontId="3" fillId="7" borderId="17" xfId="0" applyFont="1" applyFill="1" applyBorder="1" applyAlignment="1">
      <alignment horizontal="center" vertical="center" wrapText="1"/>
    </xf>
    <xf numFmtId="0" fontId="16" fillId="7" borderId="25" xfId="0" applyFont="1" applyFill="1" applyBorder="1" applyAlignment="1">
      <alignment horizontal="left" vertical="center" wrapText="1"/>
    </xf>
    <xf numFmtId="164" fontId="19" fillId="7" borderId="16" xfId="1" applyNumberFormat="1" applyFont="1" applyFill="1" applyBorder="1" applyAlignment="1">
      <alignment horizontal="right" vertical="center"/>
    </xf>
    <xf numFmtId="0" fontId="3" fillId="7" borderId="18" xfId="0" applyFont="1" applyFill="1" applyBorder="1" applyAlignment="1">
      <alignment horizontal="left" vertical="center" wrapText="1"/>
    </xf>
    <xf numFmtId="0" fontId="3" fillId="7" borderId="8" xfId="0" applyFont="1" applyFill="1" applyBorder="1" applyAlignment="1">
      <alignment vertical="center" wrapText="1"/>
    </xf>
    <xf numFmtId="0" fontId="9" fillId="7" borderId="16" xfId="0" applyFont="1" applyFill="1" applyBorder="1" applyAlignment="1">
      <alignment horizontal="left" vertical="center" wrapText="1"/>
    </xf>
    <xf numFmtId="0" fontId="12" fillId="7" borderId="8" xfId="0" applyFont="1" applyFill="1" applyBorder="1" applyAlignment="1">
      <alignment horizontal="left" vertical="center" wrapText="1"/>
    </xf>
    <xf numFmtId="164" fontId="18" fillId="0" borderId="5" xfId="1" applyNumberFormat="1" applyFont="1" applyFill="1" applyBorder="1" applyAlignment="1">
      <alignment vertical="center"/>
    </xf>
    <xf numFmtId="0" fontId="16" fillId="0" borderId="5" xfId="0" applyFont="1" applyBorder="1" applyAlignment="1">
      <alignment horizontal="left" vertical="center" wrapText="1"/>
    </xf>
    <xf numFmtId="164" fontId="19" fillId="0" borderId="5" xfId="1" applyNumberFormat="1" applyFont="1" applyFill="1" applyBorder="1" applyAlignment="1">
      <alignment horizontal="right" vertical="center"/>
    </xf>
    <xf numFmtId="0" fontId="3" fillId="0" borderId="5" xfId="0" applyFont="1" applyBorder="1" applyAlignment="1">
      <alignment horizontal="left" vertical="center" wrapText="1"/>
    </xf>
    <xf numFmtId="164" fontId="3" fillId="0" borderId="0" xfId="1" applyNumberFormat="1" applyFont="1" applyFill="1" applyAlignment="1">
      <alignment horizontal="right" vertical="center"/>
    </xf>
    <xf numFmtId="164" fontId="18" fillId="0" borderId="5" xfId="1" applyNumberFormat="1" applyFont="1" applyFill="1" applyBorder="1" applyAlignment="1">
      <alignment horizontal="right" vertical="center"/>
    </xf>
    <xf numFmtId="164" fontId="20" fillId="0" borderId="5" xfId="1" applyNumberFormat="1" applyFont="1" applyFill="1" applyBorder="1" applyAlignment="1">
      <alignment horizontal="right" vertical="center"/>
    </xf>
    <xf numFmtId="164" fontId="21" fillId="0" borderId="5" xfId="1" applyNumberFormat="1" applyFont="1" applyFill="1" applyBorder="1" applyAlignment="1">
      <alignment horizontal="right" vertical="center" wrapText="1"/>
    </xf>
    <xf numFmtId="0" fontId="15" fillId="6" borderId="18" xfId="0" applyFont="1" applyFill="1" applyBorder="1" applyAlignment="1">
      <alignment horizontal="left" vertical="center" wrapText="1"/>
    </xf>
    <xf numFmtId="0" fontId="15" fillId="6" borderId="22" xfId="0" applyFont="1" applyFill="1" applyBorder="1" applyAlignment="1">
      <alignment horizontal="left" vertical="center" wrapText="1"/>
    </xf>
    <xf numFmtId="0" fontId="27" fillId="6" borderId="5" xfId="0" applyFont="1" applyFill="1" applyBorder="1" applyAlignment="1">
      <alignment horizontal="center" vertical="center"/>
    </xf>
    <xf numFmtId="16" fontId="3" fillId="11" borderId="8" xfId="3" applyNumberFormat="1" applyFont="1" applyBorder="1" applyAlignment="1">
      <alignment horizontal="center" vertical="center" wrapText="1"/>
    </xf>
    <xf numFmtId="0" fontId="3" fillId="11" borderId="5" xfId="3" applyFont="1" applyBorder="1" applyAlignment="1">
      <alignment horizontal="center" vertical="center"/>
    </xf>
    <xf numFmtId="0" fontId="3" fillId="11" borderId="16" xfId="3" applyFont="1" applyBorder="1" applyAlignment="1">
      <alignment horizontal="center" vertical="center"/>
    </xf>
    <xf numFmtId="164" fontId="3" fillId="11" borderId="8" xfId="3" applyNumberFormat="1" applyFont="1" applyBorder="1" applyAlignment="1">
      <alignment vertical="center"/>
    </xf>
    <xf numFmtId="0" fontId="3" fillId="11" borderId="8" xfId="3" applyFont="1" applyBorder="1" applyAlignment="1">
      <alignment horizontal="center" vertical="center" wrapText="1"/>
    </xf>
    <xf numFmtId="0" fontId="3" fillId="11" borderId="8" xfId="3" applyFont="1" applyBorder="1" applyAlignment="1">
      <alignment horizontal="center" vertical="center"/>
    </xf>
    <xf numFmtId="0" fontId="3" fillId="11" borderId="8" xfId="3" applyFont="1" applyBorder="1" applyAlignment="1">
      <alignment horizontal="left" vertical="center" wrapText="1"/>
    </xf>
    <xf numFmtId="0" fontId="3" fillId="11" borderId="12" xfId="3" applyFont="1" applyBorder="1" applyAlignment="1">
      <alignment horizontal="left" vertical="center" wrapText="1"/>
    </xf>
    <xf numFmtId="0" fontId="3" fillId="11" borderId="10" xfId="3" applyFont="1" applyBorder="1" applyAlignment="1">
      <alignment horizontal="center" vertical="center"/>
    </xf>
    <xf numFmtId="164" fontId="3" fillId="11" borderId="6" xfId="3" applyNumberFormat="1" applyFont="1" applyBorder="1" applyAlignment="1">
      <alignment horizontal="right" vertical="center"/>
    </xf>
    <xf numFmtId="0" fontId="3" fillId="11" borderId="0" xfId="3" applyFont="1" applyAlignment="1">
      <alignment vertical="center"/>
    </xf>
    <xf numFmtId="1" fontId="3" fillId="7" borderId="8" xfId="3" applyNumberFormat="1" applyFont="1" applyFill="1" applyBorder="1" applyAlignment="1">
      <alignment horizontal="center" vertical="center" wrapText="1"/>
    </xf>
    <xf numFmtId="16" fontId="3" fillId="7" borderId="8" xfId="3" applyNumberFormat="1" applyFont="1" applyFill="1" applyBorder="1" applyAlignment="1">
      <alignment horizontal="center" vertical="center" wrapText="1"/>
    </xf>
    <xf numFmtId="16" fontId="3" fillId="7" borderId="8" xfId="3" applyNumberFormat="1" applyFont="1" applyFill="1" applyBorder="1" applyAlignment="1">
      <alignment horizontal="left" vertical="center" wrapText="1"/>
    </xf>
    <xf numFmtId="0" fontId="15" fillId="7" borderId="12" xfId="0" applyFont="1" applyFill="1" applyBorder="1" applyAlignment="1">
      <alignment horizontal="left" vertical="center"/>
    </xf>
    <xf numFmtId="0" fontId="30" fillId="8" borderId="5" xfId="0" applyFont="1" applyFill="1" applyBorder="1" applyAlignment="1">
      <alignment horizontal="center" vertical="center"/>
    </xf>
    <xf numFmtId="0" fontId="15" fillId="8" borderId="12" xfId="0" applyFont="1" applyFill="1" applyBorder="1" applyAlignment="1">
      <alignment horizontal="center" vertical="center"/>
    </xf>
    <xf numFmtId="164" fontId="15" fillId="8" borderId="12" xfId="1" applyNumberFormat="1" applyFont="1" applyFill="1" applyBorder="1" applyAlignment="1">
      <alignment vertical="center"/>
    </xf>
    <xf numFmtId="0" fontId="15" fillId="8" borderId="8" xfId="0" applyFont="1" applyFill="1" applyBorder="1" applyAlignment="1">
      <alignment horizontal="center" vertical="center" wrapText="1"/>
    </xf>
    <xf numFmtId="0" fontId="15" fillId="8" borderId="12" xfId="0" applyFont="1" applyFill="1" applyBorder="1" applyAlignment="1">
      <alignment horizontal="center" vertical="center" wrapText="1"/>
    </xf>
    <xf numFmtId="0" fontId="15" fillId="8" borderId="8" xfId="0" applyFont="1" applyFill="1" applyBorder="1" applyAlignment="1">
      <alignment horizontal="center" vertical="center"/>
    </xf>
    <xf numFmtId="0" fontId="15" fillId="8" borderId="10" xfId="0" applyFont="1" applyFill="1" applyBorder="1" applyAlignment="1">
      <alignment horizontal="center" vertical="center" wrapText="1"/>
    </xf>
    <xf numFmtId="0" fontId="15" fillId="8" borderId="12" xfId="0" applyFont="1" applyFill="1" applyBorder="1" applyAlignment="1">
      <alignment horizontal="left" vertical="center" wrapText="1"/>
    </xf>
    <xf numFmtId="0" fontId="16" fillId="8" borderId="25" xfId="0" applyFont="1" applyFill="1" applyBorder="1" applyAlignment="1">
      <alignment horizontal="left" vertical="center" wrapText="1"/>
    </xf>
    <xf numFmtId="0" fontId="15" fillId="8" borderId="17" xfId="0" applyFont="1" applyFill="1" applyBorder="1" applyAlignment="1">
      <alignment horizontal="center" vertical="center" wrapText="1"/>
    </xf>
    <xf numFmtId="164" fontId="22" fillId="8" borderId="14" xfId="1" applyNumberFormat="1" applyFont="1" applyFill="1" applyBorder="1" applyAlignment="1">
      <alignment horizontal="right" vertical="center"/>
    </xf>
    <xf numFmtId="164" fontId="22" fillId="8" borderId="8" xfId="1" applyNumberFormat="1" applyFont="1" applyFill="1" applyBorder="1" applyAlignment="1">
      <alignment horizontal="center" vertical="center"/>
    </xf>
    <xf numFmtId="0" fontId="15" fillId="8" borderId="0" xfId="0" applyFont="1" applyFill="1" applyAlignment="1">
      <alignment vertical="center"/>
    </xf>
    <xf numFmtId="0" fontId="15" fillId="8" borderId="5" xfId="0" applyFont="1" applyFill="1" applyBorder="1" applyAlignment="1">
      <alignment horizontal="center" vertical="center"/>
    </xf>
    <xf numFmtId="164" fontId="15" fillId="8" borderId="5" xfId="1" applyNumberFormat="1" applyFont="1" applyFill="1" applyBorder="1" applyAlignment="1">
      <alignment horizontal="center" vertical="center"/>
    </xf>
    <xf numFmtId="0" fontId="3" fillId="8" borderId="12" xfId="0" applyFont="1" applyFill="1" applyBorder="1" applyAlignment="1">
      <alignment horizontal="center" vertical="center"/>
    </xf>
    <xf numFmtId="0" fontId="15" fillId="8" borderId="5" xfId="0" applyFont="1" applyFill="1" applyBorder="1" applyAlignment="1">
      <alignment horizontal="left" vertical="center" wrapText="1"/>
    </xf>
    <xf numFmtId="46" fontId="15" fillId="8" borderId="5" xfId="0" quotePrefix="1" applyNumberFormat="1" applyFont="1" applyFill="1" applyBorder="1" applyAlignment="1">
      <alignment horizontal="left" vertical="center" wrapText="1"/>
    </xf>
    <xf numFmtId="0" fontId="15" fillId="8" borderId="2" xfId="0" applyFont="1" applyFill="1" applyBorder="1" applyAlignment="1">
      <alignment horizontal="center" vertical="center"/>
    </xf>
    <xf numFmtId="164" fontId="15" fillId="8" borderId="8" xfId="1" applyNumberFormat="1" applyFont="1" applyFill="1" applyBorder="1" applyAlignment="1">
      <alignment horizontal="center" vertical="center"/>
    </xf>
    <xf numFmtId="166" fontId="22" fillId="8" borderId="4" xfId="1" applyNumberFormat="1" applyFont="1" applyFill="1" applyBorder="1" applyAlignment="1">
      <alignment horizontal="center" vertical="center"/>
    </xf>
    <xf numFmtId="164" fontId="22" fillId="8" borderId="5" xfId="1" applyNumberFormat="1" applyFont="1" applyFill="1" applyBorder="1" applyAlignment="1">
      <alignment horizontal="center" vertical="center"/>
    </xf>
    <xf numFmtId="0" fontId="15" fillId="8" borderId="0" xfId="0" applyFont="1" applyFill="1" applyAlignment="1">
      <alignment horizontal="center" vertical="center"/>
    </xf>
    <xf numFmtId="0" fontId="28" fillId="8" borderId="5" xfId="0" applyFont="1" applyFill="1" applyBorder="1" applyAlignment="1">
      <alignment horizontal="center" vertical="center"/>
    </xf>
    <xf numFmtId="0" fontId="3" fillId="8" borderId="8" xfId="0" applyFont="1" applyFill="1" applyBorder="1" applyAlignment="1">
      <alignment horizontal="center" vertical="center"/>
    </xf>
    <xf numFmtId="164" fontId="3" fillId="8" borderId="8" xfId="1" applyNumberFormat="1" applyFont="1" applyFill="1" applyBorder="1" applyAlignment="1">
      <alignment vertical="center"/>
    </xf>
    <xf numFmtId="0" fontId="3" fillId="8" borderId="8" xfId="0" applyFont="1" applyFill="1" applyBorder="1" applyAlignment="1">
      <alignment horizontal="center" vertical="center" wrapText="1"/>
    </xf>
    <xf numFmtId="0" fontId="3" fillId="8" borderId="10" xfId="0" applyFont="1" applyFill="1" applyBorder="1" applyAlignment="1">
      <alignment horizontal="center" vertical="center" wrapText="1"/>
    </xf>
    <xf numFmtId="0" fontId="3" fillId="8" borderId="8" xfId="0" applyFont="1" applyFill="1" applyBorder="1" applyAlignment="1">
      <alignment horizontal="left" vertical="center" wrapText="1"/>
    </xf>
    <xf numFmtId="0" fontId="9" fillId="8" borderId="16" xfId="0" applyFont="1" applyFill="1" applyBorder="1" applyAlignment="1">
      <alignment horizontal="left" vertical="center" wrapText="1"/>
    </xf>
    <xf numFmtId="164" fontId="19" fillId="8" borderId="6" xfId="1" applyNumberFormat="1" applyFont="1" applyFill="1" applyBorder="1" applyAlignment="1">
      <alignment horizontal="right" vertical="center"/>
    </xf>
    <xf numFmtId="0" fontId="19" fillId="8" borderId="5" xfId="0" applyFont="1" applyFill="1" applyBorder="1" applyAlignment="1">
      <alignment horizontal="center" vertical="center"/>
    </xf>
    <xf numFmtId="164" fontId="19" fillId="8" borderId="5" xfId="1" applyNumberFormat="1" applyFont="1" applyFill="1" applyBorder="1" applyAlignment="1">
      <alignment vertical="center"/>
    </xf>
    <xf numFmtId="0" fontId="30" fillId="9" borderId="8" xfId="0" applyFont="1" applyFill="1" applyBorder="1" applyAlignment="1">
      <alignment horizontal="center" vertical="center"/>
    </xf>
    <xf numFmtId="0" fontId="15" fillId="9" borderId="0" xfId="0" applyFont="1" applyFill="1" applyAlignment="1">
      <alignment horizontal="center" vertical="center"/>
    </xf>
    <xf numFmtId="0" fontId="15" fillId="9" borderId="8" xfId="0" applyFont="1" applyFill="1" applyBorder="1" applyAlignment="1">
      <alignment horizontal="center" vertical="center" wrapText="1"/>
    </xf>
    <xf numFmtId="0" fontId="3" fillId="9" borderId="10" xfId="0" applyFont="1" applyFill="1" applyBorder="1" applyAlignment="1">
      <alignment horizontal="left" vertical="center" wrapText="1"/>
    </xf>
    <xf numFmtId="0" fontId="28" fillId="8" borderId="7" xfId="0" applyFont="1" applyFill="1" applyBorder="1" applyAlignment="1">
      <alignment horizontal="center" vertical="center"/>
    </xf>
    <xf numFmtId="164" fontId="3" fillId="8" borderId="12" xfId="1" applyNumberFormat="1" applyFont="1" applyFill="1" applyBorder="1" applyAlignment="1">
      <alignment vertical="center"/>
    </xf>
    <xf numFmtId="0" fontId="3" fillId="8" borderId="12" xfId="0" applyFont="1" applyFill="1" applyBorder="1" applyAlignment="1">
      <alignment horizontal="center" vertical="center" wrapText="1"/>
    </xf>
    <xf numFmtId="0" fontId="3" fillId="8" borderId="17" xfId="0" applyFont="1" applyFill="1" applyBorder="1" applyAlignment="1">
      <alignment horizontal="center" vertical="center" wrapText="1"/>
    </xf>
    <xf numFmtId="0" fontId="3" fillId="8" borderId="12" xfId="0" applyFont="1" applyFill="1" applyBorder="1" applyAlignment="1">
      <alignment horizontal="left" vertical="center" wrapText="1"/>
    </xf>
    <xf numFmtId="0" fontId="9" fillId="8" borderId="25" xfId="0" applyFont="1" applyFill="1" applyBorder="1" applyAlignment="1">
      <alignment horizontal="left" vertical="center" wrapText="1"/>
    </xf>
    <xf numFmtId="164" fontId="19" fillId="8" borderId="12" xfId="1" applyNumberFormat="1" applyFont="1" applyFill="1" applyBorder="1" applyAlignment="1">
      <alignment horizontal="right" vertical="center"/>
    </xf>
    <xf numFmtId="0" fontId="19" fillId="8" borderId="4" xfId="0" applyFont="1" applyFill="1" applyBorder="1" applyAlignment="1">
      <alignment horizontal="center" vertical="center"/>
    </xf>
    <xf numFmtId="0" fontId="30" fillId="8" borderId="8" xfId="0" applyFont="1" applyFill="1" applyBorder="1" applyAlignment="1">
      <alignment horizontal="center" vertical="center"/>
    </xf>
    <xf numFmtId="0" fontId="3" fillId="8" borderId="20" xfId="0" applyFont="1" applyFill="1" applyBorder="1" applyAlignment="1">
      <alignment horizontal="center" vertical="center"/>
    </xf>
    <xf numFmtId="164" fontId="3" fillId="8" borderId="18" xfId="1" applyNumberFormat="1" applyFont="1" applyFill="1" applyBorder="1" applyAlignment="1">
      <alignment vertical="center"/>
    </xf>
    <xf numFmtId="0" fontId="3" fillId="8" borderId="18" xfId="0" applyFont="1" applyFill="1" applyBorder="1" applyAlignment="1">
      <alignment horizontal="center" vertical="center" wrapText="1"/>
    </xf>
    <xf numFmtId="0" fontId="3" fillId="8" borderId="17" xfId="0" applyFont="1" applyFill="1" applyBorder="1" applyAlignment="1">
      <alignment horizontal="left" vertical="center" wrapText="1"/>
    </xf>
    <xf numFmtId="0" fontId="9" fillId="8" borderId="8" xfId="0" applyFont="1" applyFill="1" applyBorder="1" applyAlignment="1">
      <alignment horizontal="left" vertical="center" wrapText="1"/>
    </xf>
    <xf numFmtId="0" fontId="3" fillId="8" borderId="25" xfId="0" applyFont="1" applyFill="1" applyBorder="1" applyAlignment="1">
      <alignment horizontal="center" vertical="center"/>
    </xf>
    <xf numFmtId="164" fontId="22" fillId="8" borderId="0" xfId="1" applyNumberFormat="1" applyFont="1" applyFill="1" applyBorder="1" applyAlignment="1">
      <alignment horizontal="center" vertical="center"/>
    </xf>
    <xf numFmtId="164" fontId="19" fillId="8" borderId="8" xfId="1" applyNumberFormat="1" applyFont="1" applyFill="1" applyBorder="1" applyAlignment="1">
      <alignment horizontal="right" vertical="center"/>
    </xf>
    <xf numFmtId="164" fontId="3" fillId="8" borderId="19" xfId="1" applyNumberFormat="1" applyFont="1" applyFill="1" applyBorder="1" applyAlignment="1">
      <alignment vertical="center"/>
    </xf>
    <xf numFmtId="0" fontId="3" fillId="8" borderId="22" xfId="0" applyFont="1" applyFill="1" applyBorder="1" applyAlignment="1">
      <alignment horizontal="center" vertical="center" wrapText="1"/>
    </xf>
    <xf numFmtId="0" fontId="9" fillId="8" borderId="12" xfId="0" applyFont="1" applyFill="1" applyBorder="1" applyAlignment="1">
      <alignment horizontal="left" vertical="center" wrapText="1"/>
    </xf>
    <xf numFmtId="0" fontId="15" fillId="0" borderId="13" xfId="0" applyFont="1" applyBorder="1" applyAlignment="1">
      <alignment horizontal="left" vertical="center" wrapText="1"/>
    </xf>
    <xf numFmtId="0" fontId="9" fillId="8" borderId="20" xfId="0" applyFont="1" applyFill="1" applyBorder="1" applyAlignment="1">
      <alignment horizontal="left" vertical="center" wrapText="1"/>
    </xf>
    <xf numFmtId="0" fontId="3" fillId="8" borderId="16" xfId="0" applyFont="1" applyFill="1" applyBorder="1" applyAlignment="1">
      <alignment horizontal="center" vertical="center"/>
    </xf>
    <xf numFmtId="0" fontId="30" fillId="8" borderId="17" xfId="0" applyFont="1" applyFill="1" applyBorder="1" applyAlignment="1">
      <alignment horizontal="center" vertical="center"/>
    </xf>
    <xf numFmtId="0" fontId="3" fillId="8" borderId="10" xfId="0" applyFont="1" applyFill="1" applyBorder="1" applyAlignment="1">
      <alignment horizontal="center" vertical="center"/>
    </xf>
    <xf numFmtId="0" fontId="12" fillId="8" borderId="8" xfId="0" applyFont="1" applyFill="1" applyBorder="1" applyAlignment="1">
      <alignment horizontal="left" vertical="center" wrapText="1"/>
    </xf>
    <xf numFmtId="0" fontId="12" fillId="8" borderId="16" xfId="0" applyFont="1" applyFill="1" applyBorder="1" applyAlignment="1">
      <alignment horizontal="center" vertical="center" wrapText="1"/>
    </xf>
    <xf numFmtId="0" fontId="3" fillId="8" borderId="18" xfId="0" applyFont="1" applyFill="1" applyBorder="1" applyAlignment="1">
      <alignment horizontal="center" vertical="center"/>
    </xf>
    <xf numFmtId="0" fontId="3" fillId="8" borderId="19" xfId="0" applyFont="1" applyFill="1" applyBorder="1" applyAlignment="1">
      <alignment horizontal="center" vertical="center" wrapText="1"/>
    </xf>
    <xf numFmtId="0" fontId="3" fillId="8" borderId="19" xfId="0" applyFont="1" applyFill="1" applyBorder="1" applyAlignment="1">
      <alignment horizontal="center" vertical="center"/>
    </xf>
    <xf numFmtId="0" fontId="3" fillId="8" borderId="20" xfId="0" applyFont="1" applyFill="1" applyBorder="1" applyAlignment="1">
      <alignment horizontal="left" vertical="center" wrapText="1"/>
    </xf>
    <xf numFmtId="164" fontId="22" fillId="8" borderId="0" xfId="1" applyNumberFormat="1" applyFont="1" applyFill="1" applyAlignment="1">
      <alignment horizontal="center" vertical="center"/>
    </xf>
    <xf numFmtId="0" fontId="12" fillId="8" borderId="10" xfId="0" applyFont="1" applyFill="1" applyBorder="1" applyAlignment="1">
      <alignment horizontal="center" vertical="center" wrapText="1"/>
    </xf>
    <xf numFmtId="0" fontId="3" fillId="8" borderId="25" xfId="0" applyFont="1" applyFill="1" applyBorder="1" applyAlignment="1">
      <alignment horizontal="center" vertical="center" wrapText="1"/>
    </xf>
    <xf numFmtId="0" fontId="12" fillId="8" borderId="10" xfId="0" applyFont="1" applyFill="1" applyBorder="1" applyAlignment="1">
      <alignment horizontal="left" vertical="center" wrapText="1"/>
    </xf>
    <xf numFmtId="0" fontId="12" fillId="8" borderId="8" xfId="0" applyFont="1" applyFill="1" applyBorder="1" applyAlignment="1">
      <alignment horizontal="center" vertical="center" wrapText="1"/>
    </xf>
    <xf numFmtId="0" fontId="12" fillId="8" borderId="18" xfId="0" applyFont="1" applyFill="1" applyBorder="1" applyAlignment="1">
      <alignment horizontal="left" vertical="center" wrapText="1"/>
    </xf>
    <xf numFmtId="16" fontId="3" fillId="8" borderId="10" xfId="0" applyNumberFormat="1" applyFont="1" applyFill="1" applyBorder="1" applyAlignment="1">
      <alignment horizontal="center" vertical="center" wrapText="1"/>
    </xf>
    <xf numFmtId="0" fontId="3" fillId="8" borderId="10" xfId="0" applyFont="1" applyFill="1" applyBorder="1" applyAlignment="1">
      <alignment horizontal="left" vertical="center" wrapText="1"/>
    </xf>
    <xf numFmtId="0" fontId="9" fillId="8" borderId="18" xfId="0" applyFont="1" applyFill="1" applyBorder="1" applyAlignment="1">
      <alignment horizontal="left" vertical="center" wrapText="1"/>
    </xf>
    <xf numFmtId="16" fontId="15" fillId="0" borderId="8" xfId="0" applyNumberFormat="1" applyFont="1" applyBorder="1" applyAlignment="1">
      <alignment horizontal="center" vertical="center" wrapText="1"/>
    </xf>
    <xf numFmtId="0" fontId="15" fillId="0" borderId="8" xfId="0" applyFont="1" applyBorder="1" applyAlignment="1">
      <alignment horizontal="center" vertical="center"/>
    </xf>
    <xf numFmtId="0" fontId="3" fillId="0" borderId="6" xfId="0" applyFont="1" applyBorder="1" applyAlignment="1">
      <alignment vertical="center"/>
    </xf>
    <xf numFmtId="164" fontId="19" fillId="8" borderId="4" xfId="1" applyNumberFormat="1" applyFont="1" applyFill="1" applyBorder="1" applyAlignment="1">
      <alignment vertical="center"/>
    </xf>
    <xf numFmtId="0" fontId="19" fillId="8" borderId="11" xfId="0" applyFont="1" applyFill="1" applyBorder="1" applyAlignment="1">
      <alignment horizontal="center" vertical="center"/>
    </xf>
    <xf numFmtId="0" fontId="15" fillId="0" borderId="8" xfId="0" applyFont="1" applyBorder="1" applyAlignment="1">
      <alignment horizontal="center" vertical="center" wrapText="1"/>
    </xf>
    <xf numFmtId="164" fontId="19" fillId="8" borderId="16" xfId="1" applyNumberFormat="1" applyFont="1" applyFill="1" applyBorder="1" applyAlignment="1">
      <alignment horizontal="right" vertical="center"/>
    </xf>
    <xf numFmtId="0" fontId="30" fillId="12" borderId="6" xfId="0" applyFont="1" applyFill="1" applyBorder="1" applyAlignment="1">
      <alignment horizontal="center" vertical="center"/>
    </xf>
    <xf numFmtId="0" fontId="15" fillId="12" borderId="36" xfId="0" applyFont="1" applyFill="1" applyBorder="1" applyAlignment="1">
      <alignment horizontal="center" vertical="center"/>
    </xf>
    <xf numFmtId="164" fontId="15" fillId="12" borderId="8" xfId="1" applyNumberFormat="1" applyFont="1" applyFill="1" applyBorder="1" applyAlignment="1">
      <alignment vertical="center"/>
    </xf>
    <xf numFmtId="16" fontId="15" fillId="12" borderId="8" xfId="0" applyNumberFormat="1" applyFont="1" applyFill="1" applyBorder="1" applyAlignment="1">
      <alignment horizontal="center" vertical="center" wrapText="1"/>
    </xf>
    <xf numFmtId="0" fontId="3" fillId="12" borderId="8" xfId="0" applyFont="1" applyFill="1" applyBorder="1" applyAlignment="1">
      <alignment horizontal="center" vertical="center"/>
    </xf>
    <xf numFmtId="0" fontId="15" fillId="12" borderId="8" xfId="0" applyFont="1" applyFill="1" applyBorder="1" applyAlignment="1">
      <alignment horizontal="center" vertical="center"/>
    </xf>
    <xf numFmtId="0" fontId="15" fillId="12" borderId="8" xfId="0" applyFont="1" applyFill="1" applyBorder="1" applyAlignment="1">
      <alignment horizontal="left" vertical="center" wrapText="1"/>
    </xf>
    <xf numFmtId="0" fontId="16" fillId="12" borderId="8" xfId="0" applyFont="1" applyFill="1" applyBorder="1" applyAlignment="1">
      <alignment horizontal="left" vertical="center" wrapText="1"/>
    </xf>
    <xf numFmtId="0" fontId="15" fillId="12" borderId="13" xfId="0" applyFont="1" applyFill="1" applyBorder="1" applyAlignment="1">
      <alignment horizontal="center" vertical="center"/>
    </xf>
    <xf numFmtId="0" fontId="15" fillId="12" borderId="8" xfId="0" applyFont="1" applyFill="1" applyBorder="1" applyAlignment="1">
      <alignment horizontal="center" vertical="center" wrapText="1"/>
    </xf>
    <xf numFmtId="164" fontId="19" fillId="12" borderId="16" xfId="1" applyNumberFormat="1" applyFont="1" applyFill="1" applyBorder="1" applyAlignment="1">
      <alignment horizontal="right" vertical="center"/>
    </xf>
    <xf numFmtId="0" fontId="36" fillId="12" borderId="0" xfId="0" applyFont="1" applyFill="1" applyAlignment="1">
      <alignment horizontal="center" vertical="center"/>
    </xf>
    <xf numFmtId="0" fontId="15" fillId="12" borderId="0" xfId="0" applyFont="1" applyFill="1" applyAlignment="1">
      <alignment vertical="center"/>
    </xf>
    <xf numFmtId="164" fontId="19" fillId="8" borderId="20" xfId="1" applyNumberFormat="1" applyFont="1" applyFill="1" applyBorder="1" applyAlignment="1">
      <alignment horizontal="right" vertical="center"/>
    </xf>
    <xf numFmtId="0" fontId="3" fillId="9" borderId="10" xfId="0" applyFont="1" applyFill="1" applyBorder="1" applyAlignment="1">
      <alignment horizontal="center" vertical="center"/>
    </xf>
    <xf numFmtId="0" fontId="3" fillId="8" borderId="17" xfId="0" applyFont="1" applyFill="1" applyBorder="1" applyAlignment="1">
      <alignment horizontal="center" vertical="center"/>
    </xf>
    <xf numFmtId="164" fontId="19" fillId="8" borderId="25" xfId="1" applyNumberFormat="1" applyFont="1" applyFill="1" applyBorder="1" applyAlignment="1">
      <alignment horizontal="right" vertical="center"/>
    </xf>
    <xf numFmtId="164" fontId="19" fillId="9" borderId="24" xfId="1" applyNumberFormat="1" applyFont="1" applyFill="1" applyBorder="1" applyAlignment="1">
      <alignment horizontal="right" vertical="center"/>
    </xf>
    <xf numFmtId="0" fontId="39" fillId="8" borderId="8" xfId="0" applyFont="1" applyFill="1" applyBorder="1" applyAlignment="1">
      <alignment horizontal="center" vertical="center"/>
    </xf>
    <xf numFmtId="0" fontId="12" fillId="8" borderId="8" xfId="0" applyFont="1" applyFill="1" applyBorder="1" applyAlignment="1">
      <alignment horizontal="center" vertical="center"/>
    </xf>
    <xf numFmtId="164" fontId="12" fillId="8" borderId="8" xfId="1" applyNumberFormat="1" applyFont="1" applyFill="1" applyBorder="1" applyAlignment="1">
      <alignment vertical="center"/>
    </xf>
    <xf numFmtId="16" fontId="12" fillId="8" borderId="10" xfId="0" applyNumberFormat="1" applyFont="1" applyFill="1" applyBorder="1" applyAlignment="1">
      <alignment horizontal="center" vertical="center" wrapText="1"/>
    </xf>
    <xf numFmtId="0" fontId="12" fillId="8" borderId="25" xfId="0" applyFont="1" applyFill="1" applyBorder="1" applyAlignment="1">
      <alignment horizontal="center" vertical="center" wrapText="1"/>
    </xf>
    <xf numFmtId="0" fontId="12" fillId="8" borderId="16" xfId="0" applyFont="1" applyFill="1" applyBorder="1" applyAlignment="1">
      <alignment horizontal="center" vertical="center"/>
    </xf>
    <xf numFmtId="0" fontId="12" fillId="8" borderId="10" xfId="0" applyFont="1" applyFill="1" applyBorder="1" applyAlignment="1">
      <alignment horizontal="center" vertical="center"/>
    </xf>
    <xf numFmtId="164" fontId="24" fillId="8" borderId="16" xfId="1" applyNumberFormat="1" applyFont="1" applyFill="1" applyBorder="1" applyAlignment="1">
      <alignment horizontal="right" vertical="center"/>
    </xf>
    <xf numFmtId="0" fontId="12" fillId="8" borderId="0" xfId="0" applyFont="1" applyFill="1" applyAlignment="1">
      <alignment horizontal="center" vertical="center"/>
    </xf>
    <xf numFmtId="164" fontId="24" fillId="8" borderId="0" xfId="1" applyNumberFormat="1" applyFont="1" applyFill="1" applyBorder="1" applyAlignment="1">
      <alignment horizontal="center" vertical="center"/>
    </xf>
    <xf numFmtId="0" fontId="3" fillId="0" borderId="6" xfId="0" applyFont="1" applyBorder="1" applyAlignment="1">
      <alignment horizontal="center" vertical="center"/>
    </xf>
    <xf numFmtId="0" fontId="28" fillId="8" borderId="8" xfId="0" applyFont="1" applyFill="1" applyBorder="1" applyAlignment="1">
      <alignment horizontal="center" vertical="center"/>
    </xf>
    <xf numFmtId="0" fontId="36" fillId="8" borderId="0" xfId="0" applyFont="1" applyFill="1" applyAlignment="1">
      <alignment horizontal="center" vertical="center"/>
    </xf>
    <xf numFmtId="0" fontId="30" fillId="8" borderId="6" xfId="0" applyFont="1" applyFill="1" applyBorder="1" applyAlignment="1">
      <alignment horizontal="center" vertical="center"/>
    </xf>
    <xf numFmtId="0" fontId="15" fillId="8" borderId="36" xfId="0" applyFont="1" applyFill="1" applyBorder="1" applyAlignment="1">
      <alignment horizontal="center" vertical="center"/>
    </xf>
    <xf numFmtId="164" fontId="15" fillId="8" borderId="8" xfId="1" applyNumberFormat="1" applyFont="1" applyFill="1" applyBorder="1" applyAlignment="1">
      <alignment vertical="center"/>
    </xf>
    <xf numFmtId="16" fontId="15" fillId="8" borderId="8" xfId="0" applyNumberFormat="1" applyFont="1" applyFill="1" applyBorder="1" applyAlignment="1">
      <alignment horizontal="center" vertical="center" wrapText="1"/>
    </xf>
    <xf numFmtId="0" fontId="15" fillId="8" borderId="8" xfId="0" applyFont="1" applyFill="1" applyBorder="1" applyAlignment="1">
      <alignment horizontal="left" vertical="center" wrapText="1"/>
    </xf>
    <xf numFmtId="0" fontId="16" fillId="8" borderId="8" xfId="0" applyFont="1" applyFill="1" applyBorder="1" applyAlignment="1">
      <alignment horizontal="left" vertical="center" wrapText="1"/>
    </xf>
    <xf numFmtId="0" fontId="15" fillId="8" borderId="13" xfId="0" applyFont="1" applyFill="1" applyBorder="1" applyAlignment="1">
      <alignment horizontal="center" vertical="center"/>
    </xf>
    <xf numFmtId="0" fontId="3" fillId="13" borderId="9" xfId="0" applyFont="1" applyFill="1" applyBorder="1" applyAlignment="1">
      <alignment horizontal="center" vertical="center"/>
    </xf>
    <xf numFmtId="0" fontId="3" fillId="13" borderId="12" xfId="0" applyFont="1" applyFill="1" applyBorder="1" applyAlignment="1">
      <alignment horizontal="center" vertical="center"/>
    </xf>
    <xf numFmtId="0" fontId="3" fillId="13" borderId="12" xfId="0" applyFont="1" applyFill="1" applyBorder="1" applyAlignment="1">
      <alignment horizontal="left" vertical="center" wrapText="1"/>
    </xf>
    <xf numFmtId="0" fontId="12" fillId="13" borderId="12" xfId="0" applyFont="1" applyFill="1" applyBorder="1" applyAlignment="1">
      <alignment horizontal="left" vertical="center"/>
    </xf>
    <xf numFmtId="0" fontId="3" fillId="13" borderId="11" xfId="0" applyFont="1" applyFill="1" applyBorder="1" applyAlignment="1">
      <alignment horizontal="center" vertical="center"/>
    </xf>
    <xf numFmtId="164" fontId="19" fillId="13" borderId="16" xfId="1" applyNumberFormat="1" applyFont="1" applyFill="1" applyBorder="1" applyAlignment="1">
      <alignment horizontal="right" vertical="center"/>
    </xf>
    <xf numFmtId="0" fontId="36" fillId="13" borderId="0" xfId="0" applyFont="1" applyFill="1" applyAlignment="1">
      <alignment horizontal="center" vertical="center"/>
    </xf>
    <xf numFmtId="0" fontId="3" fillId="13" borderId="0" xfId="0" applyFont="1" applyFill="1" applyAlignment="1">
      <alignment horizontal="center" vertical="center"/>
    </xf>
    <xf numFmtId="0" fontId="12" fillId="8" borderId="8" xfId="0" applyFont="1" applyFill="1" applyBorder="1" applyAlignment="1">
      <alignment horizontal="left" vertical="center"/>
    </xf>
    <xf numFmtId="0" fontId="3" fillId="8" borderId="0" xfId="0" applyFont="1" applyFill="1" applyAlignment="1">
      <alignment horizontal="center" vertical="center"/>
    </xf>
    <xf numFmtId="164" fontId="3" fillId="8" borderId="12" xfId="1" applyNumberFormat="1" applyFont="1" applyFill="1" applyBorder="1" applyAlignment="1">
      <alignment horizontal="center" vertical="center"/>
    </xf>
    <xf numFmtId="0" fontId="3" fillId="0" borderId="6" xfId="0" applyFont="1" applyBorder="1" applyAlignment="1">
      <alignment horizontal="left" vertical="center" wrapText="1"/>
    </xf>
    <xf numFmtId="164" fontId="3" fillId="13" borderId="25" xfId="1" applyNumberFormat="1" applyFont="1" applyFill="1" applyBorder="1" applyAlignment="1">
      <alignment horizontal="center" vertical="center"/>
    </xf>
    <xf numFmtId="0" fontId="28" fillId="8" borderId="12" xfId="0" applyFont="1" applyFill="1" applyBorder="1" applyAlignment="1">
      <alignment horizontal="center" vertical="center"/>
    </xf>
    <xf numFmtId="164" fontId="3" fillId="0" borderId="6" xfId="1" applyNumberFormat="1" applyFont="1" applyFill="1" applyBorder="1" applyAlignment="1">
      <alignment vertical="center"/>
    </xf>
    <xf numFmtId="164" fontId="19" fillId="0" borderId="0" xfId="1" applyNumberFormat="1" applyFont="1" applyFill="1" applyBorder="1" applyAlignment="1">
      <alignment horizontal="right" vertical="center"/>
    </xf>
    <xf numFmtId="0" fontId="30" fillId="0" borderId="8" xfId="0" applyFont="1" applyBorder="1" applyAlignment="1">
      <alignment horizontal="center" vertical="center"/>
    </xf>
    <xf numFmtId="16" fontId="12" fillId="0" borderId="8" xfId="0" applyNumberFormat="1" applyFont="1" applyBorder="1" applyAlignment="1">
      <alignment horizontal="center" vertical="center" wrapText="1"/>
    </xf>
    <xf numFmtId="0" fontId="15" fillId="0" borderId="8" xfId="0" applyFont="1" applyBorder="1" applyAlignment="1">
      <alignment horizontal="left" vertical="center" wrapText="1"/>
    </xf>
    <xf numFmtId="0" fontId="28" fillId="0" borderId="6" xfId="0" applyFont="1" applyBorder="1" applyAlignment="1">
      <alignment horizontal="center" vertical="center"/>
    </xf>
    <xf numFmtId="0" fontId="15" fillId="0" borderId="8" xfId="0" applyFont="1" applyBorder="1" applyAlignment="1">
      <alignment vertical="center"/>
    </xf>
    <xf numFmtId="0" fontId="28" fillId="13" borderId="12" xfId="0" applyFont="1" applyFill="1" applyBorder="1" applyAlignment="1">
      <alignment horizontal="center" vertical="center"/>
    </xf>
    <xf numFmtId="0" fontId="3" fillId="8" borderId="8" xfId="0" applyFont="1" applyFill="1" applyBorder="1" applyAlignment="1">
      <alignment vertical="center"/>
    </xf>
    <xf numFmtId="164" fontId="3" fillId="8" borderId="8" xfId="1" applyNumberFormat="1" applyFont="1" applyFill="1" applyBorder="1" applyAlignment="1">
      <alignment horizontal="center" vertical="center"/>
    </xf>
    <xf numFmtId="164" fontId="19" fillId="8" borderId="4" xfId="1" applyNumberFormat="1" applyFont="1" applyFill="1" applyBorder="1" applyAlignment="1">
      <alignment horizontal="center" vertical="center"/>
    </xf>
    <xf numFmtId="0" fontId="28" fillId="8" borderId="10" xfId="0" applyFont="1" applyFill="1" applyBorder="1" applyAlignment="1">
      <alignment horizontal="center" vertical="center"/>
    </xf>
    <xf numFmtId="0" fontId="3" fillId="8" borderId="12" xfId="0" applyFont="1" applyFill="1" applyBorder="1" applyAlignment="1">
      <alignment vertical="center" wrapText="1"/>
    </xf>
    <xf numFmtId="0" fontId="21" fillId="2" borderId="7" xfId="0" applyFont="1" applyFill="1" applyBorder="1" applyAlignment="1">
      <alignment horizontal="center" vertical="center" wrapText="1"/>
    </xf>
    <xf numFmtId="0" fontId="15" fillId="2" borderId="8" xfId="0" applyFont="1" applyFill="1" applyBorder="1" applyAlignment="1">
      <alignment horizontal="center" vertical="center"/>
    </xf>
    <xf numFmtId="0" fontId="28" fillId="13" borderId="10" xfId="0" applyFont="1" applyFill="1" applyBorder="1" applyAlignment="1">
      <alignment horizontal="center" vertical="center"/>
    </xf>
    <xf numFmtId="0" fontId="3" fillId="13" borderId="8" xfId="0" applyFont="1" applyFill="1" applyBorder="1" applyAlignment="1">
      <alignment horizontal="center" vertical="center"/>
    </xf>
    <xf numFmtId="164" fontId="3" fillId="13" borderId="8" xfId="1" applyNumberFormat="1" applyFont="1" applyFill="1" applyBorder="1" applyAlignment="1">
      <alignment horizontal="center" vertical="center"/>
    </xf>
    <xf numFmtId="0" fontId="3" fillId="13" borderId="8" xfId="0" applyFont="1" applyFill="1" applyBorder="1" applyAlignment="1">
      <alignment horizontal="left" vertical="center" wrapText="1"/>
    </xf>
    <xf numFmtId="0" fontId="3" fillId="13" borderId="16" xfId="0" applyFont="1" applyFill="1" applyBorder="1" applyAlignment="1">
      <alignment horizontal="center" vertical="center"/>
    </xf>
    <xf numFmtId="164" fontId="19" fillId="13" borderId="4" xfId="1" applyNumberFormat="1" applyFont="1" applyFill="1" applyBorder="1" applyAlignment="1">
      <alignment horizontal="center" vertical="center"/>
    </xf>
    <xf numFmtId="0" fontId="30" fillId="6" borderId="7" xfId="0" applyFont="1" applyFill="1" applyBorder="1" applyAlignment="1">
      <alignment horizontal="center" vertical="center"/>
    </xf>
    <xf numFmtId="164" fontId="15" fillId="6" borderId="18" xfId="1" applyNumberFormat="1" applyFont="1" applyFill="1" applyBorder="1" applyAlignment="1">
      <alignment vertical="center"/>
    </xf>
    <xf numFmtId="16" fontId="15" fillId="6" borderId="18" xfId="0" applyNumberFormat="1" applyFont="1" applyFill="1" applyBorder="1" applyAlignment="1">
      <alignment horizontal="center" vertical="center" wrapText="1"/>
    </xf>
    <xf numFmtId="0" fontId="3" fillId="6" borderId="18" xfId="0" applyFont="1" applyFill="1" applyBorder="1" applyAlignment="1">
      <alignment vertical="center" wrapText="1"/>
    </xf>
    <xf numFmtId="0" fontId="15" fillId="6" borderId="25" xfId="0" applyFont="1" applyFill="1" applyBorder="1" applyAlignment="1">
      <alignment horizontal="center" vertical="center"/>
    </xf>
    <xf numFmtId="0" fontId="15" fillId="6" borderId="18" xfId="0" applyFont="1" applyFill="1" applyBorder="1" applyAlignment="1">
      <alignment vertical="center"/>
    </xf>
    <xf numFmtId="16" fontId="15" fillId="6" borderId="8" xfId="0" applyNumberFormat="1" applyFont="1" applyFill="1" applyBorder="1" applyAlignment="1">
      <alignment horizontal="center" vertical="center" wrapText="1"/>
    </xf>
    <xf numFmtId="0" fontId="15" fillId="6" borderId="24" xfId="0" applyFont="1" applyFill="1" applyBorder="1" applyAlignment="1">
      <alignment horizontal="center" vertical="center" wrapText="1"/>
    </xf>
    <xf numFmtId="0" fontId="28" fillId="6" borderId="7" xfId="0" applyFont="1" applyFill="1" applyBorder="1" applyAlignment="1">
      <alignment horizontal="center" vertical="center"/>
    </xf>
    <xf numFmtId="0" fontId="3" fillId="0" borderId="8" xfId="0" applyFont="1" applyBorder="1" applyAlignment="1">
      <alignment horizontal="left" vertical="center" wrapText="1"/>
    </xf>
    <xf numFmtId="0" fontId="3" fillId="6" borderId="25" xfId="0" applyFont="1" applyFill="1" applyBorder="1" applyAlignment="1">
      <alignment vertical="center"/>
    </xf>
    <xf numFmtId="166" fontId="22" fillId="6" borderId="8" xfId="1" applyNumberFormat="1" applyFont="1" applyFill="1" applyBorder="1" applyAlignment="1">
      <alignment horizontal="center" vertical="center"/>
    </xf>
    <xf numFmtId="0" fontId="30" fillId="6" borderId="12" xfId="0" applyFont="1" applyFill="1" applyBorder="1" applyAlignment="1">
      <alignment horizontal="center" vertical="center"/>
    </xf>
    <xf numFmtId="0" fontId="39" fillId="14" borderId="19" xfId="0" applyFont="1" applyFill="1" applyBorder="1" applyAlignment="1">
      <alignment horizontal="center" vertical="center"/>
    </xf>
    <xf numFmtId="0" fontId="12" fillId="14" borderId="8" xfId="0" applyFont="1" applyFill="1" applyBorder="1" applyAlignment="1">
      <alignment horizontal="center" vertical="center"/>
    </xf>
    <xf numFmtId="16" fontId="15" fillId="6" borderId="12" xfId="0" applyNumberFormat="1" applyFont="1" applyFill="1" applyBorder="1" applyAlignment="1">
      <alignment horizontal="center" vertical="center" wrapText="1"/>
    </xf>
    <xf numFmtId="0" fontId="3" fillId="6" borderId="12" xfId="0" applyFont="1" applyFill="1" applyBorder="1" applyAlignment="1">
      <alignment vertical="center" wrapText="1"/>
    </xf>
    <xf numFmtId="0" fontId="15" fillId="6" borderId="21" xfId="0" applyFont="1" applyFill="1" applyBorder="1" applyAlignment="1">
      <alignment horizontal="center" vertical="center"/>
    </xf>
    <xf numFmtId="0" fontId="12" fillId="14" borderId="8" xfId="0" applyFont="1" applyFill="1" applyBorder="1" applyAlignment="1">
      <alignment horizontal="center" vertical="center" wrapText="1"/>
    </xf>
    <xf numFmtId="0" fontId="30" fillId="6" borderId="8" xfId="0" applyFont="1" applyFill="1" applyBorder="1" applyAlignment="1">
      <alignment horizontal="center" vertical="center"/>
    </xf>
    <xf numFmtId="0" fontId="15" fillId="6" borderId="12" xfId="0" applyFont="1" applyFill="1" applyBorder="1" applyAlignment="1">
      <alignment horizontal="center" vertical="center" wrapText="1"/>
    </xf>
    <xf numFmtId="0" fontId="30" fillId="15" borderId="8" xfId="0" applyFont="1" applyFill="1" applyBorder="1" applyAlignment="1">
      <alignment horizontal="center" vertical="center"/>
    </xf>
    <xf numFmtId="0" fontId="15" fillId="15" borderId="8" xfId="0" applyFont="1" applyFill="1" applyBorder="1" applyAlignment="1">
      <alignment horizontal="center" vertical="center"/>
    </xf>
    <xf numFmtId="164" fontId="15" fillId="15" borderId="8" xfId="1" applyNumberFormat="1" applyFont="1" applyFill="1" applyBorder="1" applyAlignment="1">
      <alignment vertical="center"/>
    </xf>
    <xf numFmtId="16" fontId="15" fillId="15" borderId="8" xfId="0" applyNumberFormat="1" applyFont="1" applyFill="1" applyBorder="1" applyAlignment="1">
      <alignment horizontal="center" vertical="center" wrapText="1"/>
    </xf>
    <xf numFmtId="0" fontId="3" fillId="15" borderId="8" xfId="0" applyFont="1" applyFill="1" applyBorder="1" applyAlignment="1">
      <alignment horizontal="center" vertical="center"/>
    </xf>
    <xf numFmtId="0" fontId="3" fillId="15" borderId="12" xfId="0" applyFont="1" applyFill="1" applyBorder="1" applyAlignment="1">
      <alignment vertical="center" wrapText="1"/>
    </xf>
    <xf numFmtId="0" fontId="3" fillId="15" borderId="12" xfId="0" applyFont="1" applyFill="1" applyBorder="1" applyAlignment="1">
      <alignment horizontal="left" vertical="center" wrapText="1"/>
    </xf>
    <xf numFmtId="166" fontId="22" fillId="15" borderId="12" xfId="1" applyNumberFormat="1" applyFont="1" applyFill="1" applyBorder="1" applyAlignment="1">
      <alignment horizontal="center" vertical="center"/>
    </xf>
    <xf numFmtId="164" fontId="12" fillId="14" borderId="8" xfId="1" applyNumberFormat="1" applyFont="1" applyFill="1" applyBorder="1" applyAlignment="1">
      <alignment horizontal="center" vertical="center"/>
    </xf>
    <xf numFmtId="0" fontId="30" fillId="0" borderId="10" xfId="0" applyFont="1" applyBorder="1" applyAlignment="1">
      <alignment horizontal="center" vertical="center"/>
    </xf>
    <xf numFmtId="0" fontId="15" fillId="0" borderId="18" xfId="0" applyFont="1" applyBorder="1" applyAlignment="1">
      <alignment horizontal="center" vertical="center"/>
    </xf>
    <xf numFmtId="164" fontId="15" fillId="0" borderId="18" xfId="1" applyNumberFormat="1" applyFont="1" applyFill="1" applyBorder="1" applyAlignment="1">
      <alignment vertical="center"/>
    </xf>
    <xf numFmtId="16" fontId="15" fillId="0" borderId="18" xfId="0" applyNumberFormat="1" applyFont="1" applyBorder="1" applyAlignment="1">
      <alignment horizontal="center" vertical="center" wrapText="1"/>
    </xf>
    <xf numFmtId="0" fontId="12" fillId="0" borderId="18" xfId="0" applyFont="1" applyBorder="1" applyAlignment="1">
      <alignment vertical="center" wrapText="1"/>
    </xf>
    <xf numFmtId="0" fontId="15" fillId="0" borderId="18" xfId="0" applyFont="1" applyBorder="1" applyAlignment="1">
      <alignment horizontal="center" vertical="center" wrapText="1"/>
    </xf>
    <xf numFmtId="0" fontId="28" fillId="6" borderId="19" xfId="0" applyFont="1" applyFill="1" applyBorder="1" applyAlignment="1">
      <alignment horizontal="center" vertical="center"/>
    </xf>
    <xf numFmtId="164" fontId="3" fillId="6" borderId="18" xfId="1" applyNumberFormat="1" applyFont="1" applyFill="1" applyBorder="1" applyAlignment="1">
      <alignment horizontal="center" vertical="center"/>
    </xf>
    <xf numFmtId="0" fontId="30" fillId="15" borderId="10" xfId="0" applyFont="1" applyFill="1" applyBorder="1" applyAlignment="1">
      <alignment horizontal="center" vertical="center"/>
    </xf>
    <xf numFmtId="0" fontId="12" fillId="15" borderId="8" xfId="0" applyFont="1" applyFill="1" applyBorder="1" applyAlignment="1">
      <alignment vertical="center" wrapText="1"/>
    </xf>
    <xf numFmtId="0" fontId="15" fillId="15" borderId="8" xfId="0" applyFont="1" applyFill="1" applyBorder="1" applyAlignment="1">
      <alignment horizontal="center" vertical="center" wrapText="1"/>
    </xf>
    <xf numFmtId="0" fontId="3" fillId="6" borderId="17" xfId="0" applyFont="1" applyFill="1" applyBorder="1" applyAlignment="1">
      <alignment vertical="center" wrapText="1"/>
    </xf>
    <xf numFmtId="0" fontId="15" fillId="6" borderId="19" xfId="0" applyFont="1" applyFill="1" applyBorder="1" applyAlignment="1">
      <alignment horizontal="center" vertical="center" wrapText="1"/>
    </xf>
    <xf numFmtId="0" fontId="15" fillId="6" borderId="22" xfId="0" applyFont="1" applyFill="1" applyBorder="1" applyAlignment="1">
      <alignment horizontal="center" vertical="center"/>
    </xf>
    <xf numFmtId="164" fontId="15" fillId="6" borderId="22" xfId="1" applyNumberFormat="1" applyFont="1" applyFill="1" applyBorder="1" applyAlignment="1">
      <alignment vertical="center"/>
    </xf>
    <xf numFmtId="16" fontId="15" fillId="6" borderId="35" xfId="0" applyNumberFormat="1" applyFont="1" applyFill="1" applyBorder="1" applyAlignment="1">
      <alignment horizontal="center" vertical="center" wrapText="1"/>
    </xf>
    <xf numFmtId="0" fontId="12" fillId="6" borderId="0" xfId="0" applyFont="1" applyFill="1" applyAlignment="1">
      <alignment horizontal="center" vertical="center" wrapText="1"/>
    </xf>
    <xf numFmtId="0" fontId="15" fillId="6" borderId="25" xfId="0" applyFont="1" applyFill="1" applyBorder="1" applyAlignment="1">
      <alignment horizontal="center" vertical="center" wrapText="1"/>
    </xf>
    <xf numFmtId="0" fontId="3" fillId="0" borderId="18" xfId="0" applyFont="1" applyBorder="1" applyAlignment="1">
      <alignment horizontal="center" vertical="center" wrapText="1"/>
    </xf>
    <xf numFmtId="0" fontId="30" fillId="6" borderId="10" xfId="0" applyFont="1" applyFill="1" applyBorder="1" applyAlignment="1">
      <alignment horizontal="center" vertical="center"/>
    </xf>
    <xf numFmtId="0" fontId="15" fillId="14" borderId="8" xfId="0" applyFont="1" applyFill="1" applyBorder="1" applyAlignment="1">
      <alignment horizontal="center" vertical="center"/>
    </xf>
    <xf numFmtId="0" fontId="28" fillId="0" borderId="8" xfId="0" applyFont="1" applyBorder="1" applyAlignment="1">
      <alignment horizontal="center" vertical="center"/>
    </xf>
    <xf numFmtId="0" fontId="15" fillId="14" borderId="8" xfId="0" applyFont="1" applyFill="1" applyBorder="1" applyAlignment="1">
      <alignment horizontal="left" vertical="center" wrapText="1"/>
    </xf>
    <xf numFmtId="0" fontId="15" fillId="15" borderId="8" xfId="0" applyFont="1" applyFill="1" applyBorder="1" applyAlignment="1">
      <alignment horizontal="left" vertical="center" wrapText="1"/>
    </xf>
    <xf numFmtId="0" fontId="28" fillId="10" borderId="35" xfId="0" applyFont="1" applyFill="1" applyBorder="1" applyAlignment="1">
      <alignment horizontal="center" vertical="center"/>
    </xf>
    <xf numFmtId="0" fontId="3" fillId="10" borderId="18" xfId="0" applyFont="1" applyFill="1" applyBorder="1" applyAlignment="1">
      <alignment horizontal="center" vertical="center"/>
    </xf>
    <xf numFmtId="0" fontId="3" fillId="10" borderId="22" xfId="0" applyFont="1" applyFill="1" applyBorder="1" applyAlignment="1">
      <alignment horizontal="left" vertical="center" wrapText="1"/>
    </xf>
    <xf numFmtId="0" fontId="15" fillId="6" borderId="22" xfId="0" applyFont="1" applyFill="1" applyBorder="1" applyAlignment="1">
      <alignment horizontal="center" vertical="center" wrapText="1"/>
    </xf>
    <xf numFmtId="0" fontId="28" fillId="6" borderId="35" xfId="0" applyFont="1" applyFill="1" applyBorder="1" applyAlignment="1">
      <alignment horizontal="center" vertical="center"/>
    </xf>
    <xf numFmtId="164" fontId="3" fillId="6" borderId="22" xfId="1" applyNumberFormat="1" applyFont="1" applyFill="1" applyBorder="1" applyAlignment="1">
      <alignment horizontal="center" vertical="center"/>
    </xf>
    <xf numFmtId="46" fontId="12" fillId="6" borderId="8" xfId="0" applyNumberFormat="1" applyFont="1" applyFill="1" applyBorder="1" applyAlignment="1">
      <alignment vertical="center" wrapText="1"/>
    </xf>
    <xf numFmtId="0" fontId="12" fillId="10" borderId="22" xfId="0" applyFont="1" applyFill="1" applyBorder="1" applyAlignment="1">
      <alignment horizontal="center" vertical="center"/>
    </xf>
    <xf numFmtId="164" fontId="3" fillId="10" borderId="22" xfId="1" applyNumberFormat="1" applyFont="1" applyFill="1" applyBorder="1" applyAlignment="1">
      <alignment horizontal="center" vertical="center"/>
    </xf>
    <xf numFmtId="0" fontId="3" fillId="10" borderId="22" xfId="0" applyFont="1" applyFill="1" applyBorder="1" applyAlignment="1">
      <alignment horizontal="center" vertical="center"/>
    </xf>
    <xf numFmtId="0" fontId="15" fillId="10" borderId="22" xfId="0" applyFont="1" applyFill="1" applyBorder="1" applyAlignment="1">
      <alignment horizontal="left" vertical="center" wrapText="1"/>
    </xf>
    <xf numFmtId="164" fontId="3" fillId="0" borderId="18" xfId="1" applyNumberFormat="1" applyFont="1" applyFill="1" applyBorder="1" applyAlignment="1">
      <alignment vertical="center"/>
    </xf>
    <xf numFmtId="0" fontId="21" fillId="0" borderId="9" xfId="0" applyFont="1" applyBorder="1" applyAlignment="1">
      <alignment horizontal="center" vertical="center" wrapText="1"/>
    </xf>
    <xf numFmtId="164" fontId="19" fillId="0" borderId="8" xfId="0" applyNumberFormat="1" applyFont="1" applyBorder="1" applyAlignment="1">
      <alignment vertical="center" wrapText="1"/>
    </xf>
    <xf numFmtId="164" fontId="19" fillId="0" borderId="36" xfId="1" applyNumberFormat="1" applyFont="1" applyFill="1" applyBorder="1" applyAlignment="1">
      <alignment horizontal="right" vertical="center"/>
    </xf>
    <xf numFmtId="164" fontId="19" fillId="0" borderId="18" xfId="1" applyNumberFormat="1" applyFont="1" applyFill="1" applyBorder="1" applyAlignment="1">
      <alignment vertical="center"/>
    </xf>
    <xf numFmtId="164" fontId="22" fillId="0" borderId="8" xfId="1" applyNumberFormat="1" applyFont="1" applyFill="1" applyBorder="1" applyAlignment="1">
      <alignment horizontal="center" vertical="center"/>
    </xf>
    <xf numFmtId="164" fontId="19" fillId="0" borderId="8" xfId="1" applyNumberFormat="1" applyFont="1" applyFill="1" applyBorder="1" applyAlignment="1">
      <alignment vertical="center"/>
    </xf>
    <xf numFmtId="0" fontId="15" fillId="0" borderId="0" xfId="0" applyFont="1" applyAlignment="1">
      <alignment horizontal="center" vertical="center"/>
    </xf>
    <xf numFmtId="0" fontId="15" fillId="0" borderId="12" xfId="0" applyFont="1" applyBorder="1" applyAlignment="1">
      <alignment horizontal="center" vertical="center"/>
    </xf>
    <xf numFmtId="164" fontId="19" fillId="0" borderId="12" xfId="1" applyNumberFormat="1" applyFont="1" applyFill="1" applyBorder="1" applyAlignment="1">
      <alignment vertical="center"/>
    </xf>
    <xf numFmtId="166" fontId="22" fillId="0" borderId="8" xfId="1" applyNumberFormat="1" applyFont="1" applyFill="1" applyBorder="1" applyAlignment="1">
      <alignment horizontal="center" vertical="center"/>
    </xf>
    <xf numFmtId="0" fontId="12" fillId="0" borderId="0" xfId="0" applyFont="1" applyAlignment="1">
      <alignment horizontal="center" vertical="center"/>
    </xf>
    <xf numFmtId="164" fontId="19" fillId="0" borderId="34" xfId="1" applyNumberFormat="1" applyFont="1" applyFill="1" applyBorder="1" applyAlignment="1">
      <alignment horizontal="right" vertical="center"/>
    </xf>
    <xf numFmtId="164" fontId="19" fillId="0" borderId="1" xfId="1" applyNumberFormat="1" applyFont="1" applyFill="1" applyBorder="1" applyAlignment="1">
      <alignment horizontal="right" vertical="center"/>
    </xf>
    <xf numFmtId="164" fontId="19" fillId="0" borderId="36" xfId="1" applyNumberFormat="1" applyFont="1" applyBorder="1" applyAlignment="1">
      <alignment horizontal="right" vertical="center"/>
    </xf>
    <xf numFmtId="0" fontId="3" fillId="0" borderId="19" xfId="0" applyFont="1" applyBorder="1" applyAlignment="1">
      <alignment horizontal="left" vertical="center" wrapText="1"/>
    </xf>
    <xf numFmtId="0" fontId="3" fillId="16" borderId="18" xfId="0" applyFont="1" applyFill="1" applyBorder="1" applyAlignment="1">
      <alignment horizontal="center" vertical="center"/>
    </xf>
    <xf numFmtId="14" fontId="18" fillId="0" borderId="5" xfId="0" applyNumberFormat="1" applyFont="1" applyBorder="1" applyAlignment="1">
      <alignment horizontal="right" vertical="center" wrapText="1"/>
    </xf>
    <xf numFmtId="16" fontId="12" fillId="6" borderId="18" xfId="0" applyNumberFormat="1" applyFont="1" applyFill="1" applyBorder="1" applyAlignment="1">
      <alignment horizontal="right" vertical="center" wrapText="1"/>
    </xf>
    <xf numFmtId="16" fontId="12" fillId="6" borderId="8" xfId="0" applyNumberFormat="1" applyFont="1" applyFill="1" applyBorder="1" applyAlignment="1">
      <alignment horizontal="right" vertical="center" wrapText="1"/>
    </xf>
    <xf numFmtId="0" fontId="3" fillId="6" borderId="12" xfId="0" applyFont="1" applyFill="1" applyBorder="1" applyAlignment="1">
      <alignment horizontal="right" vertical="center"/>
    </xf>
    <xf numFmtId="0" fontId="3" fillId="6" borderId="8" xfId="0" applyFont="1" applyFill="1" applyBorder="1" applyAlignment="1">
      <alignment horizontal="right" vertical="center" wrapText="1"/>
    </xf>
    <xf numFmtId="16" fontId="12" fillId="6" borderId="12" xfId="0" applyNumberFormat="1" applyFont="1" applyFill="1" applyBorder="1" applyAlignment="1">
      <alignment horizontal="right" vertical="center" wrapText="1"/>
    </xf>
    <xf numFmtId="0" fontId="3" fillId="6" borderId="12" xfId="0" applyFont="1" applyFill="1" applyBorder="1" applyAlignment="1">
      <alignment horizontal="right" vertical="center" wrapText="1"/>
    </xf>
    <xf numFmtId="16" fontId="12" fillId="15" borderId="8" xfId="0" applyNumberFormat="1" applyFont="1" applyFill="1" applyBorder="1" applyAlignment="1">
      <alignment horizontal="right" vertical="center" wrapText="1"/>
    </xf>
    <xf numFmtId="0" fontId="3" fillId="6" borderId="8" xfId="0" applyFont="1" applyFill="1" applyBorder="1" applyAlignment="1">
      <alignment horizontal="right" vertical="center"/>
    </xf>
    <xf numFmtId="0" fontId="3" fillId="6" borderId="35" xfId="0" applyFont="1" applyFill="1" applyBorder="1" applyAlignment="1">
      <alignment horizontal="right" vertical="center"/>
    </xf>
    <xf numFmtId="0" fontId="12" fillId="14" borderId="8" xfId="0" applyFont="1" applyFill="1" applyBorder="1" applyAlignment="1">
      <alignment horizontal="right" vertical="center"/>
    </xf>
    <xf numFmtId="16" fontId="12" fillId="0" borderId="18" xfId="0" applyNumberFormat="1" applyFont="1" applyBorder="1" applyAlignment="1">
      <alignment horizontal="right" vertical="center" wrapText="1"/>
    </xf>
    <xf numFmtId="0" fontId="3" fillId="6" borderId="22" xfId="0" applyFont="1" applyFill="1" applyBorder="1" applyAlignment="1">
      <alignment horizontal="right" vertical="center"/>
    </xf>
    <xf numFmtId="0" fontId="3" fillId="6" borderId="18" xfId="0" applyFont="1" applyFill="1" applyBorder="1" applyAlignment="1">
      <alignment horizontal="right" vertical="center"/>
    </xf>
    <xf numFmtId="0" fontId="3" fillId="10" borderId="22" xfId="0" applyFont="1" applyFill="1" applyBorder="1" applyAlignment="1">
      <alignment horizontal="right" vertical="center"/>
    </xf>
    <xf numFmtId="0" fontId="3" fillId="0" borderId="19" xfId="0" applyFont="1" applyBorder="1" applyAlignment="1">
      <alignment horizontal="right" vertical="center"/>
    </xf>
    <xf numFmtId="0" fontId="3" fillId="0" borderId="0" xfId="0" applyFont="1" applyAlignment="1">
      <alignment horizontal="right" vertical="center" wrapText="1"/>
    </xf>
    <xf numFmtId="0" fontId="28" fillId="6" borderId="8" xfId="0" applyFont="1" applyFill="1" applyBorder="1" applyAlignment="1">
      <alignment horizontal="center" vertical="center"/>
    </xf>
    <xf numFmtId="0" fontId="12" fillId="6" borderId="8" xfId="0" applyFont="1" applyFill="1" applyBorder="1" applyAlignment="1">
      <alignment vertical="center"/>
    </xf>
    <xf numFmtId="164" fontId="19" fillId="6" borderId="36" xfId="1" applyNumberFormat="1" applyFont="1" applyFill="1" applyBorder="1" applyAlignment="1">
      <alignment horizontal="right" vertical="center"/>
    </xf>
    <xf numFmtId="0" fontId="28" fillId="6" borderId="18" xfId="0" applyFont="1" applyFill="1" applyBorder="1" applyAlignment="1">
      <alignment horizontal="center" vertical="center"/>
    </xf>
    <xf numFmtId="0" fontId="3" fillId="6" borderId="19" xfId="0" applyFont="1" applyFill="1" applyBorder="1" applyAlignment="1">
      <alignment horizontal="right" vertical="center"/>
    </xf>
    <xf numFmtId="0" fontId="12" fillId="6" borderId="18" xfId="0" applyFont="1" applyFill="1" applyBorder="1" applyAlignment="1">
      <alignment vertical="center"/>
    </xf>
    <xf numFmtId="0" fontId="3" fillId="6" borderId="19" xfId="0" applyFont="1" applyFill="1" applyBorder="1" applyAlignment="1">
      <alignment horizontal="left" vertical="center" wrapText="1"/>
    </xf>
    <xf numFmtId="0" fontId="3" fillId="6" borderId="18" xfId="0" applyFont="1" applyFill="1" applyBorder="1" applyAlignment="1">
      <alignment vertical="center"/>
    </xf>
    <xf numFmtId="0" fontId="3" fillId="0" borderId="18" xfId="0" applyFont="1" applyBorder="1" applyAlignment="1">
      <alignment vertical="center" wrapText="1"/>
    </xf>
    <xf numFmtId="164" fontId="12" fillId="6" borderId="18" xfId="0" applyNumberFormat="1" applyFont="1" applyFill="1" applyBorder="1" applyAlignment="1">
      <alignment vertical="center" wrapText="1"/>
    </xf>
    <xf numFmtId="0" fontId="12" fillId="6" borderId="18" xfId="0" applyFont="1" applyFill="1" applyBorder="1" applyAlignment="1">
      <alignment horizontal="center" vertical="center"/>
    </xf>
    <xf numFmtId="0" fontId="28" fillId="6" borderId="12" xfId="0" applyFont="1" applyFill="1" applyBorder="1" applyAlignment="1">
      <alignment horizontal="center" vertical="center"/>
    </xf>
    <xf numFmtId="164" fontId="12" fillId="6" borderId="8" xfId="0" applyNumberFormat="1" applyFont="1" applyFill="1" applyBorder="1" applyAlignment="1">
      <alignment vertical="center"/>
    </xf>
    <xf numFmtId="0" fontId="3" fillId="6" borderId="20" xfId="0" applyFont="1" applyFill="1" applyBorder="1" applyAlignment="1">
      <alignment vertical="center"/>
    </xf>
    <xf numFmtId="164" fontId="3" fillId="6" borderId="21" xfId="1" applyNumberFormat="1" applyFont="1" applyFill="1" applyBorder="1" applyAlignment="1">
      <alignment vertical="center"/>
    </xf>
    <xf numFmtId="0" fontId="3" fillId="6" borderId="22" xfId="0" applyFont="1" applyFill="1" applyBorder="1" applyAlignment="1">
      <alignment vertical="center"/>
    </xf>
    <xf numFmtId="164" fontId="12" fillId="6" borderId="8" xfId="0" applyNumberFormat="1" applyFont="1" applyFill="1" applyBorder="1" applyAlignment="1">
      <alignment vertical="center" wrapText="1"/>
    </xf>
    <xf numFmtId="164" fontId="3" fillId="0" borderId="0" xfId="1" applyNumberFormat="1" applyFont="1" applyAlignment="1">
      <alignment vertical="center"/>
    </xf>
    <xf numFmtId="164" fontId="3" fillId="0" borderId="0" xfId="1" applyNumberFormat="1" applyFont="1" applyAlignment="1">
      <alignment horizontal="right" vertical="center"/>
    </xf>
    <xf numFmtId="164" fontId="18" fillId="0" borderId="5" xfId="1" applyNumberFormat="1" applyFont="1" applyBorder="1" applyAlignment="1">
      <alignment horizontal="right" vertical="center"/>
    </xf>
    <xf numFmtId="164" fontId="18" fillId="0" borderId="5" xfId="1" applyNumberFormat="1" applyFont="1" applyBorder="1" applyAlignment="1">
      <alignment vertical="center"/>
    </xf>
    <xf numFmtId="165" fontId="20" fillId="0" borderId="4" xfId="1" applyNumberFormat="1" applyFont="1" applyBorder="1" applyAlignment="1">
      <alignment horizontal="center" vertical="center"/>
    </xf>
    <xf numFmtId="164" fontId="20" fillId="0" borderId="5" xfId="1" applyNumberFormat="1" applyFont="1" applyBorder="1" applyAlignment="1">
      <alignment horizontal="right" vertical="center"/>
    </xf>
    <xf numFmtId="164" fontId="19" fillId="0" borderId="8" xfId="1" applyNumberFormat="1" applyFont="1" applyFill="1" applyBorder="1" applyAlignment="1">
      <alignment horizontal="right" vertical="center"/>
    </xf>
    <xf numFmtId="0" fontId="29" fillId="2" borderId="7" xfId="0" applyFont="1" applyFill="1" applyBorder="1" applyAlignment="1">
      <alignment horizontal="center" vertical="center" wrapText="1"/>
    </xf>
    <xf numFmtId="164" fontId="21" fillId="2" borderId="7" xfId="1" applyNumberFormat="1" applyFont="1" applyFill="1" applyBorder="1" applyAlignment="1">
      <alignment horizontal="center" vertical="center" wrapText="1"/>
    </xf>
    <xf numFmtId="0" fontId="21" fillId="2" borderId="7" xfId="0" applyFont="1" applyFill="1" applyBorder="1" applyAlignment="1">
      <alignment horizontal="left" vertical="center" wrapText="1"/>
    </xf>
    <xf numFmtId="164" fontId="21" fillId="0" borderId="7" xfId="1" applyNumberFormat="1" applyFont="1" applyBorder="1" applyAlignment="1">
      <alignment horizontal="right" vertical="center" wrapText="1"/>
    </xf>
    <xf numFmtId="0" fontId="12" fillId="6" borderId="20" xfId="0" applyFont="1" applyFill="1" applyBorder="1" applyAlignment="1">
      <alignment horizontal="center" vertical="center"/>
    </xf>
    <xf numFmtId="0" fontId="9" fillId="6" borderId="19" xfId="0" applyFont="1" applyFill="1" applyBorder="1" applyAlignment="1">
      <alignment horizontal="right" vertical="center" wrapText="1"/>
    </xf>
    <xf numFmtId="0" fontId="15" fillId="6" borderId="20" xfId="0" applyFont="1" applyFill="1" applyBorder="1" applyAlignment="1">
      <alignment horizontal="center" vertical="center"/>
    </xf>
    <xf numFmtId="0" fontId="28" fillId="9" borderId="18" xfId="0" applyFont="1" applyFill="1" applyBorder="1" applyAlignment="1">
      <alignment horizontal="center" vertical="center"/>
    </xf>
    <xf numFmtId="0" fontId="3" fillId="9" borderId="20" xfId="0" applyFont="1" applyFill="1" applyBorder="1" applyAlignment="1">
      <alignment horizontal="center" vertical="center"/>
    </xf>
    <xf numFmtId="164" fontId="3" fillId="9" borderId="18" xfId="1" applyNumberFormat="1" applyFont="1" applyFill="1" applyBorder="1" applyAlignment="1">
      <alignment vertical="center"/>
    </xf>
    <xf numFmtId="0" fontId="3" fillId="9" borderId="19" xfId="0" applyFont="1" applyFill="1" applyBorder="1" applyAlignment="1">
      <alignment horizontal="left" vertical="center" wrapText="1"/>
    </xf>
    <xf numFmtId="0" fontId="3" fillId="9" borderId="18" xfId="0" applyFont="1" applyFill="1" applyBorder="1" applyAlignment="1">
      <alignment vertical="center" wrapText="1"/>
    </xf>
    <xf numFmtId="164" fontId="19" fillId="9" borderId="36" xfId="1" applyNumberFormat="1" applyFont="1" applyFill="1" applyBorder="1" applyAlignment="1">
      <alignment horizontal="right" vertical="center"/>
    </xf>
    <xf numFmtId="0" fontId="3" fillId="6" borderId="20" xfId="0" applyFont="1" applyFill="1" applyBorder="1" applyAlignment="1">
      <alignment vertical="center" wrapText="1"/>
    </xf>
    <xf numFmtId="0" fontId="3" fillId="6" borderId="21" xfId="0" applyFont="1" applyFill="1" applyBorder="1" applyAlignment="1">
      <alignment vertical="center" wrapText="1"/>
    </xf>
    <xf numFmtId="0" fontId="3" fillId="6" borderId="16" xfId="0" applyFont="1" applyFill="1" applyBorder="1" applyAlignment="1">
      <alignment vertical="center" wrapText="1"/>
    </xf>
    <xf numFmtId="0" fontId="3" fillId="9" borderId="34" xfId="0" applyFont="1" applyFill="1" applyBorder="1" applyAlignment="1">
      <alignment horizontal="center" vertical="center"/>
    </xf>
    <xf numFmtId="0" fontId="3" fillId="9" borderId="18" xfId="0" applyFont="1" applyFill="1" applyBorder="1" applyAlignment="1">
      <alignment horizontal="left" vertical="center"/>
    </xf>
    <xf numFmtId="0" fontId="28" fillId="15" borderId="18" xfId="0" applyFont="1" applyFill="1" applyBorder="1" applyAlignment="1">
      <alignment horizontal="center" vertical="center"/>
    </xf>
    <xf numFmtId="0" fontId="3" fillId="15" borderId="20" xfId="0" applyFont="1" applyFill="1" applyBorder="1" applyAlignment="1">
      <alignment horizontal="center" vertical="center"/>
    </xf>
    <xf numFmtId="164" fontId="3" fillId="15" borderId="18" xfId="1" applyNumberFormat="1" applyFont="1" applyFill="1" applyBorder="1" applyAlignment="1">
      <alignment horizontal="right" vertical="center"/>
    </xf>
    <xf numFmtId="0" fontId="3" fillId="15" borderId="18" xfId="0" applyFont="1" applyFill="1" applyBorder="1" applyAlignment="1">
      <alignment horizontal="center" vertical="center"/>
    </xf>
    <xf numFmtId="0" fontId="3" fillId="15" borderId="34" xfId="0" applyFont="1" applyFill="1" applyBorder="1" applyAlignment="1">
      <alignment horizontal="center" vertical="center"/>
    </xf>
    <xf numFmtId="0" fontId="3" fillId="15" borderId="8" xfId="0" applyFont="1" applyFill="1" applyBorder="1" applyAlignment="1">
      <alignment horizontal="left" vertical="center" wrapText="1"/>
    </xf>
    <xf numFmtId="0" fontId="3" fillId="15" borderId="8" xfId="0" applyFont="1" applyFill="1" applyBorder="1" applyAlignment="1">
      <alignment horizontal="left" vertical="center"/>
    </xf>
    <xf numFmtId="0" fontId="3" fillId="15" borderId="0" xfId="0" applyFont="1" applyFill="1" applyAlignment="1">
      <alignment vertical="center"/>
    </xf>
    <xf numFmtId="164" fontId="19" fillId="15" borderId="36" xfId="1" applyNumberFormat="1" applyFont="1" applyFill="1" applyBorder="1" applyAlignment="1">
      <alignment horizontal="right" vertical="center"/>
    </xf>
    <xf numFmtId="164" fontId="3" fillId="0" borderId="0" xfId="1" applyNumberFormat="1" applyFont="1" applyFill="1" applyBorder="1" applyAlignment="1">
      <alignment horizontal="right" vertical="center"/>
    </xf>
    <xf numFmtId="164" fontId="19" fillId="0" borderId="37" xfId="1" applyNumberFormat="1" applyFont="1" applyBorder="1" applyAlignment="1">
      <alignment horizontal="right" vertical="center"/>
    </xf>
    <xf numFmtId="0" fontId="3" fillId="0" borderId="16" xfId="0" applyFont="1" applyBorder="1" applyAlignment="1">
      <alignment horizontal="center" vertical="center" wrapText="1"/>
    </xf>
    <xf numFmtId="0" fontId="28" fillId="13" borderId="18" xfId="0" applyFont="1" applyFill="1" applyBorder="1" applyAlignment="1">
      <alignment horizontal="center" vertical="center"/>
    </xf>
    <xf numFmtId="0" fontId="3" fillId="13" borderId="0" xfId="0" applyFont="1" applyFill="1" applyAlignment="1">
      <alignment vertical="center"/>
    </xf>
    <xf numFmtId="164" fontId="19" fillId="13" borderId="36" xfId="1" applyNumberFormat="1" applyFont="1" applyFill="1" applyBorder="1" applyAlignment="1">
      <alignment horizontal="right" vertical="center"/>
    </xf>
    <xf numFmtId="0" fontId="3" fillId="13" borderId="20" xfId="0" applyFont="1" applyFill="1" applyBorder="1" applyAlignment="1">
      <alignment horizontal="center" vertical="center"/>
    </xf>
    <xf numFmtId="164" fontId="3" fillId="13" borderId="18" xfId="1" applyNumberFormat="1" applyFont="1" applyFill="1" applyBorder="1" applyAlignment="1">
      <alignment vertical="center"/>
    </xf>
    <xf numFmtId="0" fontId="3" fillId="13" borderId="18" xfId="0" applyFont="1" applyFill="1" applyBorder="1" applyAlignment="1">
      <alignment horizontal="center" vertical="center"/>
    </xf>
    <xf numFmtId="0" fontId="3" fillId="13" borderId="34" xfId="0" applyFont="1" applyFill="1" applyBorder="1" applyAlignment="1">
      <alignment horizontal="center" vertical="center"/>
    </xf>
    <xf numFmtId="0" fontId="3" fillId="13" borderId="18" xfId="0" applyFont="1" applyFill="1" applyBorder="1" applyAlignment="1">
      <alignment horizontal="left" vertical="center" wrapText="1"/>
    </xf>
    <xf numFmtId="164" fontId="3" fillId="6" borderId="0" xfId="0" applyNumberFormat="1" applyFont="1" applyFill="1" applyAlignment="1">
      <alignment vertical="center"/>
    </xf>
    <xf numFmtId="14" fontId="18" fillId="0" borderId="5" xfId="0" applyNumberFormat="1" applyFont="1" applyBorder="1" applyAlignment="1">
      <alignment horizontal="center" vertical="center" wrapText="1"/>
    </xf>
    <xf numFmtId="0" fontId="3" fillId="6" borderId="8" xfId="0" applyFont="1" applyFill="1" applyBorder="1" applyAlignment="1">
      <alignment vertical="center"/>
    </xf>
    <xf numFmtId="164" fontId="22" fillId="6" borderId="8" xfId="1" applyNumberFormat="1" applyFont="1" applyFill="1" applyBorder="1" applyAlignment="1">
      <alignment horizontal="center" vertical="center"/>
    </xf>
    <xf numFmtId="166" fontId="22" fillId="6" borderId="16" xfId="1" applyNumberFormat="1" applyFont="1" applyFill="1" applyBorder="1" applyAlignment="1">
      <alignment horizontal="center" vertical="center"/>
    </xf>
    <xf numFmtId="164" fontId="19" fillId="6" borderId="0" xfId="1" applyNumberFormat="1" applyFont="1" applyFill="1" applyBorder="1" applyAlignment="1">
      <alignment vertical="center"/>
    </xf>
    <xf numFmtId="0" fontId="15" fillId="6" borderId="8" xfId="0" applyFont="1" applyFill="1" applyBorder="1" applyAlignment="1">
      <alignment horizontal="left" vertical="center"/>
    </xf>
    <xf numFmtId="0" fontId="15" fillId="6" borderId="0" xfId="0" applyFont="1" applyFill="1" applyAlignment="1">
      <alignment horizontal="center" vertical="center"/>
    </xf>
    <xf numFmtId="0" fontId="28" fillId="9" borderId="8" xfId="0" applyFont="1" applyFill="1" applyBorder="1" applyAlignment="1">
      <alignment horizontal="center" vertical="center"/>
    </xf>
    <xf numFmtId="0" fontId="15" fillId="9" borderId="8" xfId="0" applyFont="1" applyFill="1" applyBorder="1" applyAlignment="1">
      <alignment horizontal="center" vertical="center"/>
    </xf>
    <xf numFmtId="0" fontId="3" fillId="9" borderId="8" xfId="0" applyFont="1" applyFill="1" applyBorder="1" applyAlignment="1">
      <alignment vertical="center"/>
    </xf>
    <xf numFmtId="164" fontId="19" fillId="9" borderId="8" xfId="1" applyNumberFormat="1" applyFont="1" applyFill="1" applyBorder="1" applyAlignment="1">
      <alignment horizontal="right" vertical="center"/>
    </xf>
    <xf numFmtId="0" fontId="36" fillId="9" borderId="0" xfId="0" applyFont="1" applyFill="1" applyAlignment="1">
      <alignment horizontal="center" vertical="center"/>
    </xf>
    <xf numFmtId="0" fontId="36" fillId="6" borderId="0" xfId="0" applyFont="1" applyFill="1" applyAlignment="1">
      <alignment horizontal="center" vertical="center"/>
    </xf>
    <xf numFmtId="0" fontId="28" fillId="17" borderId="8" xfId="0" applyFont="1" applyFill="1" applyBorder="1" applyAlignment="1">
      <alignment horizontal="center" vertical="center"/>
    </xf>
    <xf numFmtId="0" fontId="15" fillId="17" borderId="8" xfId="0" applyFont="1" applyFill="1" applyBorder="1" applyAlignment="1">
      <alignment horizontal="center" vertical="center"/>
    </xf>
    <xf numFmtId="164" fontId="3" fillId="17" borderId="8" xfId="1" applyNumberFormat="1" applyFont="1" applyFill="1" applyBorder="1" applyAlignment="1">
      <alignment vertical="center"/>
    </xf>
    <xf numFmtId="0" fontId="3" fillId="17" borderId="8" xfId="0" applyFont="1" applyFill="1" applyBorder="1" applyAlignment="1">
      <alignment horizontal="center" vertical="center" wrapText="1"/>
    </xf>
    <xf numFmtId="0" fontId="3" fillId="17" borderId="10" xfId="0" applyFont="1" applyFill="1" applyBorder="1" applyAlignment="1">
      <alignment horizontal="center" vertical="center"/>
    </xf>
    <xf numFmtId="0" fontId="3" fillId="17" borderId="12" xfId="0" applyFont="1" applyFill="1" applyBorder="1" applyAlignment="1">
      <alignment horizontal="center" vertical="center"/>
    </xf>
    <xf numFmtId="0" fontId="3" fillId="17" borderId="8" xfId="0" applyFont="1" applyFill="1" applyBorder="1" applyAlignment="1">
      <alignment horizontal="left" vertical="center" wrapText="1"/>
    </xf>
    <xf numFmtId="0" fontId="3" fillId="17" borderId="8" xfId="0" applyFont="1" applyFill="1" applyBorder="1" applyAlignment="1">
      <alignment vertical="center"/>
    </xf>
    <xf numFmtId="0" fontId="3" fillId="17" borderId="16" xfId="0" applyFont="1" applyFill="1" applyBorder="1" applyAlignment="1">
      <alignment horizontal="center" vertical="center"/>
    </xf>
    <xf numFmtId="164" fontId="19" fillId="17" borderId="8" xfId="1" applyNumberFormat="1" applyFont="1" applyFill="1" applyBorder="1" applyAlignment="1">
      <alignment horizontal="right" vertical="center"/>
    </xf>
    <xf numFmtId="0" fontId="36" fillId="17" borderId="0" xfId="0" applyFont="1" applyFill="1" applyAlignment="1">
      <alignment horizontal="center" vertical="center"/>
    </xf>
    <xf numFmtId="0" fontId="3" fillId="17" borderId="0" xfId="0" applyFont="1" applyFill="1" applyAlignment="1">
      <alignment vertical="center"/>
    </xf>
    <xf numFmtId="0" fontId="28" fillId="0" borderId="18" xfId="0" applyFont="1" applyBorder="1" applyAlignment="1">
      <alignment horizontal="center" vertical="center"/>
    </xf>
    <xf numFmtId="0" fontId="3" fillId="0" borderId="19" xfId="0" applyFont="1" applyBorder="1" applyAlignment="1">
      <alignment horizontal="center" vertical="center"/>
    </xf>
    <xf numFmtId="0" fontId="12" fillId="6" borderId="8" xfId="0" applyFont="1" applyFill="1" applyBorder="1" applyAlignment="1">
      <alignment vertical="center" wrapText="1"/>
    </xf>
    <xf numFmtId="164" fontId="19" fillId="13" borderId="8" xfId="1" applyNumberFormat="1" applyFont="1" applyFill="1" applyBorder="1" applyAlignment="1">
      <alignment horizontal="right" vertical="center"/>
    </xf>
    <xf numFmtId="0" fontId="3" fillId="6" borderId="16" xfId="0" applyFont="1" applyFill="1" applyBorder="1" applyAlignment="1">
      <alignment vertical="center"/>
    </xf>
    <xf numFmtId="0" fontId="28" fillId="15" borderId="12" xfId="0" applyFont="1" applyFill="1" applyBorder="1" applyAlignment="1">
      <alignment horizontal="center" vertical="center"/>
    </xf>
    <xf numFmtId="0" fontId="3" fillId="15" borderId="12" xfId="0" applyFont="1" applyFill="1" applyBorder="1" applyAlignment="1">
      <alignment horizontal="center" vertical="center"/>
    </xf>
    <xf numFmtId="164" fontId="3" fillId="15" borderId="12" xfId="1" applyNumberFormat="1" applyFont="1" applyFill="1" applyBorder="1" applyAlignment="1">
      <alignment vertical="center"/>
    </xf>
    <xf numFmtId="16" fontId="3" fillId="15" borderId="8" xfId="0" applyNumberFormat="1" applyFont="1" applyFill="1" applyBorder="1" applyAlignment="1">
      <alignment horizontal="center" vertical="center" wrapText="1"/>
    </xf>
    <xf numFmtId="0" fontId="3" fillId="15" borderId="12" xfId="0" applyFont="1" applyFill="1" applyBorder="1" applyAlignment="1">
      <alignment horizontal="center" vertical="center" wrapText="1"/>
    </xf>
    <xf numFmtId="0" fontId="3" fillId="15" borderId="35" xfId="0" applyFont="1" applyFill="1" applyBorder="1" applyAlignment="1">
      <alignment horizontal="center" vertical="center"/>
    </xf>
    <xf numFmtId="0" fontId="3" fillId="15" borderId="16" xfId="0" applyFont="1" applyFill="1" applyBorder="1" applyAlignment="1">
      <alignment vertical="center"/>
    </xf>
    <xf numFmtId="164" fontId="19" fillId="15" borderId="8" xfId="1" applyNumberFormat="1" applyFont="1" applyFill="1" applyBorder="1" applyAlignment="1">
      <alignment horizontal="right" vertical="center"/>
    </xf>
    <xf numFmtId="0" fontId="28" fillId="18" borderId="8" xfId="0" applyFont="1" applyFill="1" applyBorder="1" applyAlignment="1">
      <alignment horizontal="center" vertical="center"/>
    </xf>
    <xf numFmtId="164" fontId="3" fillId="18" borderId="8" xfId="1" applyNumberFormat="1" applyFont="1" applyFill="1" applyBorder="1" applyAlignment="1">
      <alignment horizontal="center" vertical="center"/>
    </xf>
    <xf numFmtId="0" fontId="3" fillId="18" borderId="8" xfId="0" applyFont="1" applyFill="1" applyBorder="1" applyAlignment="1">
      <alignment horizontal="center" vertical="center" wrapText="1"/>
    </xf>
    <xf numFmtId="0" fontId="3" fillId="18" borderId="16" xfId="0" applyFont="1" applyFill="1" applyBorder="1" applyAlignment="1">
      <alignment horizontal="center" vertical="center" wrapText="1"/>
    </xf>
    <xf numFmtId="164" fontId="19" fillId="18" borderId="8" xfId="1" applyNumberFormat="1" applyFont="1" applyFill="1" applyBorder="1" applyAlignment="1">
      <alignment horizontal="right" vertical="center"/>
    </xf>
    <xf numFmtId="0" fontId="3" fillId="18" borderId="0" xfId="0" applyFont="1" applyFill="1" applyAlignment="1">
      <alignment vertical="center"/>
    </xf>
    <xf numFmtId="0" fontId="15" fillId="18" borderId="8" xfId="0" applyFont="1" applyFill="1" applyBorder="1" applyAlignment="1">
      <alignment horizontal="center" vertical="center"/>
    </xf>
    <xf numFmtId="0" fontId="3" fillId="15" borderId="22" xfId="0" applyFont="1" applyFill="1" applyBorder="1" applyAlignment="1">
      <alignment vertical="center" wrapText="1"/>
    </xf>
    <xf numFmtId="16" fontId="3" fillId="0" borderId="18" xfId="0" applyNumberFormat="1" applyFont="1" applyBorder="1" applyAlignment="1">
      <alignment horizontal="center" vertical="center" wrapText="1"/>
    </xf>
    <xf numFmtId="0" fontId="15" fillId="0" borderId="23" xfId="0" applyFont="1" applyBorder="1" applyAlignment="1">
      <alignment horizontal="center" vertical="center" wrapText="1"/>
    </xf>
    <xf numFmtId="0" fontId="15" fillId="6" borderId="35" xfId="0" applyFont="1" applyFill="1" applyBorder="1" applyAlignment="1">
      <alignment horizontal="center" vertical="center"/>
    </xf>
    <xf numFmtId="0" fontId="12" fillId="15" borderId="21" xfId="0" applyFont="1" applyFill="1" applyBorder="1" applyAlignment="1">
      <alignment horizontal="left" vertical="center" wrapText="1"/>
    </xf>
    <xf numFmtId="16" fontId="3" fillId="18" borderId="12" xfId="0" applyNumberFormat="1" applyFont="1" applyFill="1" applyBorder="1" applyAlignment="1">
      <alignment horizontal="center" vertical="center" wrapText="1"/>
    </xf>
    <xf numFmtId="0" fontId="3" fillId="18" borderId="12" xfId="0" applyFont="1" applyFill="1" applyBorder="1" applyAlignment="1">
      <alignment horizontal="center" vertical="center" wrapText="1"/>
    </xf>
    <xf numFmtId="0" fontId="3" fillId="18" borderId="17" xfId="0" applyFont="1" applyFill="1" applyBorder="1" applyAlignment="1">
      <alignment horizontal="center" vertical="center"/>
    </xf>
    <xf numFmtId="0" fontId="3" fillId="18" borderId="12" xfId="0" applyFont="1" applyFill="1" applyBorder="1" applyAlignment="1">
      <alignment horizontal="center" vertical="center"/>
    </xf>
    <xf numFmtId="0" fontId="3" fillId="18" borderId="12" xfId="0" applyFont="1" applyFill="1" applyBorder="1" applyAlignment="1">
      <alignment vertical="center" wrapText="1"/>
    </xf>
    <xf numFmtId="0" fontId="30" fillId="6" borderId="18" xfId="0" applyFont="1" applyFill="1" applyBorder="1" applyAlignment="1">
      <alignment horizontal="center" vertical="center"/>
    </xf>
    <xf numFmtId="0" fontId="15" fillId="6" borderId="20" xfId="0" applyFont="1" applyFill="1" applyBorder="1" applyAlignment="1">
      <alignment horizontal="center" vertical="center" wrapText="1"/>
    </xf>
    <xf numFmtId="16" fontId="3" fillId="6" borderId="18" xfId="0" applyNumberFormat="1" applyFont="1" applyFill="1" applyBorder="1" applyAlignment="1">
      <alignment horizontal="center" vertical="center"/>
    </xf>
    <xf numFmtId="16" fontId="12" fillId="6" borderId="18" xfId="0" applyNumberFormat="1" applyFont="1" applyFill="1" applyBorder="1" applyAlignment="1">
      <alignment horizontal="center" vertical="center" wrapText="1"/>
    </xf>
    <xf numFmtId="0" fontId="15" fillId="6" borderId="16" xfId="0" applyFont="1" applyFill="1" applyBorder="1" applyAlignment="1">
      <alignment vertical="center"/>
    </xf>
    <xf numFmtId="0" fontId="15" fillId="15" borderId="20" xfId="0" applyFont="1" applyFill="1" applyBorder="1" applyAlignment="1">
      <alignment horizontal="center" vertical="center"/>
    </xf>
    <xf numFmtId="0" fontId="15" fillId="15" borderId="16" xfId="0" applyFont="1" applyFill="1" applyBorder="1" applyAlignment="1">
      <alignment vertical="center"/>
    </xf>
    <xf numFmtId="164" fontId="22" fillId="15" borderId="8" xfId="1" applyNumberFormat="1" applyFont="1" applyFill="1" applyBorder="1" applyAlignment="1">
      <alignment horizontal="right" vertical="center"/>
    </xf>
    <xf numFmtId="0" fontId="15" fillId="15" borderId="0" xfId="0" applyFont="1" applyFill="1" applyAlignment="1">
      <alignment vertical="center"/>
    </xf>
    <xf numFmtId="0" fontId="3" fillId="6" borderId="23" xfId="0" applyFont="1" applyFill="1" applyBorder="1" applyAlignment="1">
      <alignment horizontal="left" vertical="center" wrapText="1"/>
    </xf>
    <xf numFmtId="0" fontId="9" fillId="6" borderId="8" xfId="0" applyFont="1" applyFill="1" applyBorder="1" applyAlignment="1">
      <alignment vertical="center" wrapText="1"/>
    </xf>
    <xf numFmtId="0" fontId="3" fillId="6" borderId="10" xfId="0" applyFont="1" applyFill="1" applyBorder="1" applyAlignment="1">
      <alignment vertical="center" wrapText="1"/>
    </xf>
    <xf numFmtId="164" fontId="3" fillId="15" borderId="19" xfId="1" applyNumberFormat="1" applyFont="1" applyFill="1" applyBorder="1" applyAlignment="1">
      <alignment vertical="center"/>
    </xf>
    <xf numFmtId="0" fontId="3" fillId="18" borderId="8" xfId="0" applyFont="1" applyFill="1" applyBorder="1" applyAlignment="1">
      <alignment horizontal="center" vertical="center"/>
    </xf>
    <xf numFmtId="164" fontId="12" fillId="18" borderId="20" xfId="1" applyNumberFormat="1" applyFont="1" applyFill="1" applyBorder="1" applyAlignment="1">
      <alignment vertical="center"/>
    </xf>
    <xf numFmtId="16" fontId="3" fillId="18" borderId="18" xfId="0" applyNumberFormat="1" applyFont="1" applyFill="1" applyBorder="1" applyAlignment="1">
      <alignment horizontal="center" vertical="center" wrapText="1"/>
    </xf>
    <xf numFmtId="0" fontId="3" fillId="18" borderId="18" xfId="0" applyFont="1" applyFill="1" applyBorder="1" applyAlignment="1">
      <alignment horizontal="center" vertical="center" wrapText="1"/>
    </xf>
    <xf numFmtId="0" fontId="3" fillId="18" borderId="19" xfId="0" applyFont="1" applyFill="1" applyBorder="1" applyAlignment="1">
      <alignment horizontal="center" vertical="center"/>
    </xf>
    <xf numFmtId="0" fontId="3" fillId="18" borderId="12" xfId="0" applyFont="1" applyFill="1" applyBorder="1" applyAlignment="1">
      <alignment horizontal="left" vertical="center"/>
    </xf>
    <xf numFmtId="0" fontId="15" fillId="18" borderId="34" xfId="0" applyFont="1" applyFill="1" applyBorder="1" applyAlignment="1">
      <alignment horizontal="center" vertical="center" wrapText="1"/>
    </xf>
    <xf numFmtId="0" fontId="3" fillId="18" borderId="18" xfId="0" applyFont="1" applyFill="1" applyBorder="1" applyAlignment="1">
      <alignment horizontal="center" vertical="center"/>
    </xf>
    <xf numFmtId="16" fontId="3" fillId="6" borderId="18" xfId="0" applyNumberFormat="1" applyFont="1" applyFill="1" applyBorder="1" applyAlignment="1">
      <alignment horizontal="center" vertical="center" wrapText="1"/>
    </xf>
    <xf numFmtId="0" fontId="3" fillId="6" borderId="19" xfId="0" applyFont="1" applyFill="1" applyBorder="1" applyAlignment="1">
      <alignment vertical="center" wrapText="1"/>
    </xf>
    <xf numFmtId="0" fontId="28" fillId="6" borderId="10" xfId="0" applyFont="1" applyFill="1" applyBorder="1" applyAlignment="1">
      <alignment horizontal="center" vertical="center"/>
    </xf>
    <xf numFmtId="0" fontId="15" fillId="13" borderId="16" xfId="0" applyFont="1" applyFill="1" applyBorder="1" applyAlignment="1">
      <alignment horizontal="center" vertical="center" wrapText="1"/>
    </xf>
    <xf numFmtId="0" fontId="15" fillId="13" borderId="0" xfId="0" applyFont="1" applyFill="1" applyAlignment="1">
      <alignment vertical="center"/>
    </xf>
    <xf numFmtId="0" fontId="30" fillId="15" borderId="22" xfId="0" applyFont="1" applyFill="1" applyBorder="1" applyAlignment="1">
      <alignment horizontal="center" vertical="center"/>
    </xf>
    <xf numFmtId="0" fontId="15" fillId="15" borderId="21" xfId="0" applyFont="1" applyFill="1" applyBorder="1" applyAlignment="1">
      <alignment horizontal="center" vertical="center"/>
    </xf>
    <xf numFmtId="0" fontId="30" fillId="6" borderId="19" xfId="0" applyFont="1" applyFill="1" applyBorder="1" applyAlignment="1">
      <alignment horizontal="center" vertical="center"/>
    </xf>
    <xf numFmtId="16" fontId="3" fillId="6" borderId="8" xfId="0" applyNumberFormat="1" applyFont="1" applyFill="1" applyBorder="1" applyAlignment="1">
      <alignment horizontal="center" vertical="center"/>
    </xf>
    <xf numFmtId="164" fontId="3" fillId="6" borderId="16" xfId="1" applyNumberFormat="1" applyFont="1" applyFill="1" applyBorder="1" applyAlignment="1">
      <alignment vertical="center"/>
    </xf>
    <xf numFmtId="16" fontId="12" fillId="6" borderId="8" xfId="0" applyNumberFormat="1" applyFont="1" applyFill="1" applyBorder="1" applyAlignment="1">
      <alignment horizontal="center" vertical="center" wrapText="1"/>
    </xf>
    <xf numFmtId="0" fontId="15" fillId="6" borderId="23" xfId="0" applyFont="1" applyFill="1" applyBorder="1" applyAlignment="1">
      <alignment horizontal="center" vertical="center" wrapText="1"/>
    </xf>
    <xf numFmtId="0" fontId="15" fillId="6" borderId="10" xfId="0" applyFont="1" applyFill="1" applyBorder="1" applyAlignment="1">
      <alignment horizontal="left" vertical="center" wrapText="1"/>
    </xf>
    <xf numFmtId="0" fontId="28" fillId="19" borderId="17" xfId="0" applyFont="1" applyFill="1" applyBorder="1" applyAlignment="1">
      <alignment horizontal="center" vertical="center"/>
    </xf>
    <xf numFmtId="0" fontId="3" fillId="19" borderId="8" xfId="0" applyFont="1" applyFill="1" applyBorder="1" applyAlignment="1">
      <alignment horizontal="center" vertical="center"/>
    </xf>
    <xf numFmtId="164" fontId="3" fillId="19" borderId="10" xfId="1" applyNumberFormat="1" applyFont="1" applyFill="1" applyBorder="1" applyAlignment="1">
      <alignment vertical="center"/>
    </xf>
    <xf numFmtId="16" fontId="3" fillId="19" borderId="8" xfId="0" applyNumberFormat="1" applyFont="1" applyFill="1" applyBorder="1" applyAlignment="1">
      <alignment horizontal="center" vertical="center" wrapText="1"/>
    </xf>
    <xf numFmtId="0" fontId="3" fillId="19" borderId="8" xfId="0" applyFont="1" applyFill="1" applyBorder="1" applyAlignment="1">
      <alignment horizontal="center" vertical="center" wrapText="1"/>
    </xf>
    <xf numFmtId="0" fontId="3" fillId="19" borderId="25" xfId="0" applyFont="1" applyFill="1" applyBorder="1" applyAlignment="1">
      <alignment horizontal="center" vertical="center"/>
    </xf>
    <xf numFmtId="0" fontId="3" fillId="19" borderId="12" xfId="0" applyFont="1" applyFill="1" applyBorder="1" applyAlignment="1">
      <alignment horizontal="center" vertical="center"/>
    </xf>
    <xf numFmtId="0" fontId="3" fillId="19" borderId="16" xfId="0" applyFont="1" applyFill="1" applyBorder="1" applyAlignment="1">
      <alignment horizontal="center" vertical="center"/>
    </xf>
    <xf numFmtId="164" fontId="19" fillId="19" borderId="8" xfId="1" applyNumberFormat="1" applyFont="1" applyFill="1" applyBorder="1" applyAlignment="1">
      <alignment horizontal="right" vertical="center"/>
    </xf>
    <xf numFmtId="0" fontId="3" fillId="19" borderId="0" xfId="0" applyFont="1" applyFill="1" applyAlignment="1">
      <alignment vertical="center"/>
    </xf>
    <xf numFmtId="0" fontId="3" fillId="19" borderId="18" xfId="0" applyFont="1" applyFill="1" applyBorder="1" applyAlignment="1">
      <alignment horizontal="center" vertical="center"/>
    </xf>
    <xf numFmtId="164" fontId="3" fillId="19" borderId="8" xfId="1" applyNumberFormat="1" applyFont="1" applyFill="1" applyBorder="1" applyAlignment="1">
      <alignment vertical="center"/>
    </xf>
    <xf numFmtId="0" fontId="28" fillId="19" borderId="8" xfId="0" applyFont="1" applyFill="1" applyBorder="1" applyAlignment="1">
      <alignment horizontal="center" vertical="center"/>
    </xf>
    <xf numFmtId="0" fontId="3" fillId="19" borderId="20" xfId="0" applyFont="1" applyFill="1" applyBorder="1" applyAlignment="1">
      <alignment horizontal="center" vertical="center"/>
    </xf>
    <xf numFmtId="164" fontId="3" fillId="19" borderId="18" xfId="1" applyNumberFormat="1" applyFont="1" applyFill="1" applyBorder="1" applyAlignment="1">
      <alignment vertical="center"/>
    </xf>
    <xf numFmtId="0" fontId="3" fillId="19" borderId="18" xfId="0" applyFont="1" applyFill="1" applyBorder="1" applyAlignment="1">
      <alignment horizontal="center" vertical="center" wrapText="1"/>
    </xf>
    <xf numFmtId="0" fontId="3" fillId="19" borderId="19" xfId="0" applyFont="1" applyFill="1" applyBorder="1" applyAlignment="1">
      <alignment horizontal="center" vertical="center"/>
    </xf>
    <xf numFmtId="0" fontId="3" fillId="19" borderId="19" xfId="0" applyFont="1" applyFill="1" applyBorder="1" applyAlignment="1">
      <alignment vertical="center" wrapText="1"/>
    </xf>
    <xf numFmtId="0" fontId="3" fillId="19" borderId="16" xfId="0" applyFont="1" applyFill="1" applyBorder="1" applyAlignment="1">
      <alignment horizontal="center" vertical="center" wrapText="1"/>
    </xf>
    <xf numFmtId="0" fontId="28" fillId="19" borderId="18" xfId="0" applyFont="1" applyFill="1" applyBorder="1" applyAlignment="1">
      <alignment horizontal="center" vertical="center"/>
    </xf>
    <xf numFmtId="0" fontId="3" fillId="19" borderId="21" xfId="0" applyFont="1" applyFill="1" applyBorder="1" applyAlignment="1">
      <alignment horizontal="center" vertical="center"/>
    </xf>
    <xf numFmtId="164" fontId="15" fillId="19" borderId="21" xfId="1" applyNumberFormat="1" applyFont="1" applyFill="1" applyBorder="1" applyAlignment="1">
      <alignment vertical="center"/>
    </xf>
    <xf numFmtId="0" fontId="3" fillId="19" borderId="22" xfId="0" applyFont="1" applyFill="1" applyBorder="1" applyAlignment="1">
      <alignment horizontal="center" vertical="center" wrapText="1"/>
    </xf>
    <xf numFmtId="0" fontId="3" fillId="19" borderId="35" xfId="0" applyFont="1" applyFill="1" applyBorder="1" applyAlignment="1">
      <alignment horizontal="center" vertical="center"/>
    </xf>
    <xf numFmtId="0" fontId="3" fillId="19" borderId="17" xfId="0" applyFont="1" applyFill="1" applyBorder="1" applyAlignment="1">
      <alignment horizontal="left" vertical="center" wrapText="1"/>
    </xf>
    <xf numFmtId="0" fontId="3" fillId="19" borderId="20" xfId="0" applyFont="1" applyFill="1" applyBorder="1" applyAlignment="1">
      <alignment horizontal="center" vertical="center" wrapText="1"/>
    </xf>
    <xf numFmtId="0" fontId="28" fillId="19" borderId="10" xfId="0" applyFont="1" applyFill="1" applyBorder="1" applyAlignment="1">
      <alignment horizontal="center" vertical="center"/>
    </xf>
    <xf numFmtId="0" fontId="3" fillId="19" borderId="8" xfId="0" applyFont="1" applyFill="1" applyBorder="1" applyAlignment="1">
      <alignment vertical="center" wrapText="1"/>
    </xf>
    <xf numFmtId="0" fontId="15" fillId="19" borderId="18" xfId="0" applyFont="1" applyFill="1" applyBorder="1" applyAlignment="1">
      <alignment horizontal="left" vertical="center" wrapText="1"/>
    </xf>
    <xf numFmtId="0" fontId="3" fillId="19" borderId="18" xfId="0" applyFont="1" applyFill="1" applyBorder="1" applyAlignment="1">
      <alignment vertical="center" wrapText="1"/>
    </xf>
    <xf numFmtId="0" fontId="13" fillId="6" borderId="12" xfId="0" applyFont="1" applyFill="1" applyBorder="1" applyAlignment="1">
      <alignment horizontal="center" vertical="center"/>
    </xf>
    <xf numFmtId="0" fontId="12" fillId="6" borderId="12" xfId="0" applyFont="1" applyFill="1" applyBorder="1" applyAlignment="1">
      <alignment horizontal="center" vertical="center" wrapText="1"/>
    </xf>
    <xf numFmtId="0" fontId="3" fillId="6" borderId="12" xfId="0" applyFont="1" applyFill="1" applyBorder="1" applyAlignment="1">
      <alignment vertical="center"/>
    </xf>
    <xf numFmtId="0" fontId="28" fillId="6" borderId="17" xfId="0" applyFont="1" applyFill="1" applyBorder="1" applyAlignment="1">
      <alignment horizontal="center" vertical="center"/>
    </xf>
    <xf numFmtId="0" fontId="16" fillId="6" borderId="34" xfId="0" applyFont="1" applyFill="1" applyBorder="1" applyAlignment="1">
      <alignment horizontal="left" vertical="center" wrapText="1"/>
    </xf>
    <xf numFmtId="164" fontId="3" fillId="9" borderId="18" xfId="1" applyNumberFormat="1" applyFont="1" applyFill="1" applyBorder="1" applyAlignment="1">
      <alignment horizontal="center" vertical="center"/>
    </xf>
    <xf numFmtId="16" fontId="3" fillId="9" borderId="8" xfId="0" applyNumberFormat="1" applyFont="1" applyFill="1" applyBorder="1" applyAlignment="1">
      <alignment horizontal="center" vertical="center" wrapText="1"/>
    </xf>
    <xf numFmtId="0" fontId="3" fillId="9" borderId="18" xfId="0" applyFont="1" applyFill="1" applyBorder="1" applyAlignment="1">
      <alignment horizontal="center" vertical="center" wrapText="1"/>
    </xf>
    <xf numFmtId="0" fontId="3" fillId="9" borderId="19" xfId="0" applyFont="1" applyFill="1" applyBorder="1" applyAlignment="1">
      <alignment horizontal="center" vertical="center"/>
    </xf>
    <xf numFmtId="0" fontId="15" fillId="9" borderId="18" xfId="0" applyFont="1" applyFill="1" applyBorder="1" applyAlignment="1">
      <alignment horizontal="left" vertical="center" wrapText="1"/>
    </xf>
    <xf numFmtId="0" fontId="15" fillId="9" borderId="23" xfId="0" applyFont="1" applyFill="1" applyBorder="1" applyAlignment="1">
      <alignment horizontal="left" vertical="center" wrapText="1"/>
    </xf>
    <xf numFmtId="0" fontId="9" fillId="6" borderId="23" xfId="0" applyFont="1" applyFill="1" applyBorder="1" applyAlignment="1">
      <alignment vertical="center" wrapText="1"/>
    </xf>
    <xf numFmtId="16" fontId="3" fillId="6" borderId="12" xfId="0" applyNumberFormat="1" applyFont="1" applyFill="1" applyBorder="1" applyAlignment="1">
      <alignment horizontal="center" vertical="center" wrapText="1"/>
    </xf>
    <xf numFmtId="0" fontId="9" fillId="6" borderId="16" xfId="0" applyFont="1" applyFill="1" applyBorder="1" applyAlignment="1">
      <alignment vertical="center" wrapText="1"/>
    </xf>
    <xf numFmtId="164" fontId="15" fillId="6" borderId="0" xfId="1" applyNumberFormat="1" applyFont="1" applyFill="1" applyBorder="1" applyAlignment="1">
      <alignment vertical="center"/>
    </xf>
    <xf numFmtId="0" fontId="3" fillId="6" borderId="25" xfId="0" applyFont="1" applyFill="1" applyBorder="1" applyAlignment="1">
      <alignment horizontal="left" vertical="center" wrapText="1"/>
    </xf>
    <xf numFmtId="0" fontId="12" fillId="6" borderId="18" xfId="0" applyFont="1" applyFill="1" applyBorder="1" applyAlignment="1">
      <alignment horizontal="center" vertical="center" wrapText="1"/>
    </xf>
    <xf numFmtId="0" fontId="28" fillId="10" borderId="18" xfId="0" applyFont="1" applyFill="1" applyBorder="1" applyAlignment="1">
      <alignment horizontal="center" vertical="center"/>
    </xf>
    <xf numFmtId="16" fontId="3" fillId="10" borderId="18" xfId="0" applyNumberFormat="1" applyFont="1" applyFill="1" applyBorder="1" applyAlignment="1">
      <alignment horizontal="center" vertical="center" wrapText="1"/>
    </xf>
    <xf numFmtId="0" fontId="3" fillId="10" borderId="18" xfId="0" applyFont="1" applyFill="1" applyBorder="1" applyAlignment="1">
      <alignment horizontal="center" vertical="center" wrapText="1"/>
    </xf>
    <xf numFmtId="0" fontId="3" fillId="10" borderId="19" xfId="0" applyFont="1" applyFill="1" applyBorder="1" applyAlignment="1">
      <alignment horizontal="center" vertical="center"/>
    </xf>
    <xf numFmtId="164" fontId="15" fillId="10" borderId="23" xfId="0" applyNumberFormat="1" applyFont="1" applyFill="1" applyBorder="1" applyAlignment="1">
      <alignment horizontal="center" vertical="center" wrapText="1"/>
    </xf>
    <xf numFmtId="0" fontId="3" fillId="10" borderId="8" xfId="0" applyFont="1" applyFill="1" applyBorder="1" applyAlignment="1">
      <alignment horizontal="center" vertical="center" wrapText="1"/>
    </xf>
    <xf numFmtId="0" fontId="12" fillId="10" borderId="8" xfId="0" applyFont="1" applyFill="1" applyBorder="1" applyAlignment="1">
      <alignment vertical="center" wrapText="1"/>
    </xf>
    <xf numFmtId="164" fontId="3" fillId="10" borderId="18" xfId="1" applyNumberFormat="1" applyFont="1" applyFill="1" applyBorder="1" applyAlignment="1">
      <alignment vertical="center"/>
    </xf>
    <xf numFmtId="0" fontId="15" fillId="6" borderId="18" xfId="0" applyFont="1" applyFill="1" applyBorder="1" applyAlignment="1">
      <alignment horizontal="center" vertical="center" wrapText="1"/>
    </xf>
    <xf numFmtId="0" fontId="15" fillId="6" borderId="19" xfId="0" applyFont="1" applyFill="1" applyBorder="1" applyAlignment="1">
      <alignment horizontal="center" vertical="center"/>
    </xf>
    <xf numFmtId="164" fontId="15" fillId="6" borderId="23" xfId="0" applyNumberFormat="1" applyFont="1" applyFill="1" applyBorder="1" applyAlignment="1">
      <alignment horizontal="center" vertical="center" wrapText="1"/>
    </xf>
    <xf numFmtId="0" fontId="3" fillId="6" borderId="22" xfId="0" applyFont="1" applyFill="1" applyBorder="1" applyAlignment="1">
      <alignment vertical="center" wrapText="1"/>
    </xf>
    <xf numFmtId="164" fontId="9" fillId="6" borderId="23" xfId="0" applyNumberFormat="1" applyFont="1" applyFill="1" applyBorder="1" applyAlignment="1">
      <alignment horizontal="center" vertical="center" wrapText="1"/>
    </xf>
    <xf numFmtId="0" fontId="19" fillId="0" borderId="16" xfId="0" applyFont="1" applyBorder="1" applyAlignment="1">
      <alignment horizontal="center" vertical="center"/>
    </xf>
    <xf numFmtId="0" fontId="15" fillId="0" borderId="25" xfId="0" applyFont="1" applyBorder="1" applyAlignment="1">
      <alignment horizontal="center" vertical="center"/>
    </xf>
    <xf numFmtId="166" fontId="22" fillId="0" borderId="16" xfId="1" applyNumberFormat="1" applyFont="1" applyFill="1" applyBorder="1" applyAlignment="1">
      <alignment horizontal="center" vertical="center"/>
    </xf>
    <xf numFmtId="0" fontId="15" fillId="0" borderId="16" xfId="0" applyFont="1" applyBorder="1" applyAlignment="1">
      <alignment horizontal="center" vertical="center"/>
    </xf>
    <xf numFmtId="0" fontId="3" fillId="6" borderId="19" xfId="0" applyFont="1" applyFill="1" applyBorder="1" applyAlignment="1">
      <alignment horizontal="center" vertical="center" wrapText="1"/>
    </xf>
    <xf numFmtId="164" fontId="3" fillId="0" borderId="8" xfId="1" applyNumberFormat="1" applyFont="1" applyBorder="1" applyAlignment="1">
      <alignment vertical="center"/>
    </xf>
    <xf numFmtId="0" fontId="15" fillId="6" borderId="18" xfId="0" applyFont="1" applyFill="1" applyBorder="1" applyAlignment="1">
      <alignment vertical="center" wrapText="1"/>
    </xf>
    <xf numFmtId="0" fontId="28" fillId="6" borderId="22" xfId="0" applyFont="1" applyFill="1" applyBorder="1" applyAlignment="1">
      <alignment horizontal="center" vertical="center"/>
    </xf>
    <xf numFmtId="16" fontId="3" fillId="6" borderId="22" xfId="0" applyNumberFormat="1" applyFont="1" applyFill="1" applyBorder="1" applyAlignment="1">
      <alignment horizontal="center" vertical="center" wrapText="1"/>
    </xf>
    <xf numFmtId="0" fontId="28" fillId="0" borderId="19" xfId="0" applyFont="1" applyBorder="1" applyAlignment="1">
      <alignment horizontal="center" vertical="center"/>
    </xf>
    <xf numFmtId="164" fontId="15" fillId="6" borderId="8" xfId="0" applyNumberFormat="1" applyFont="1" applyFill="1" applyBorder="1" applyAlignment="1">
      <alignment horizontal="center" vertical="center" wrapText="1"/>
    </xf>
    <xf numFmtId="0" fontId="15" fillId="6" borderId="10" xfId="0" applyFont="1" applyFill="1" applyBorder="1" applyAlignment="1">
      <alignment vertical="center" wrapText="1"/>
    </xf>
    <xf numFmtId="0" fontId="12" fillId="6" borderId="10" xfId="0" applyFont="1" applyFill="1" applyBorder="1" applyAlignment="1">
      <alignment vertical="center" wrapText="1"/>
    </xf>
    <xf numFmtId="0" fontId="15" fillId="6" borderId="35" xfId="0" applyFont="1" applyFill="1" applyBorder="1" applyAlignment="1">
      <alignment vertical="center" wrapText="1"/>
    </xf>
    <xf numFmtId="164" fontId="15" fillId="6" borderId="18" xfId="0" applyNumberFormat="1" applyFont="1" applyFill="1" applyBorder="1" applyAlignment="1">
      <alignment horizontal="center" vertical="center" wrapText="1"/>
    </xf>
    <xf numFmtId="0" fontId="15" fillId="6" borderId="22" xfId="0" applyFont="1" applyFill="1" applyBorder="1" applyAlignment="1">
      <alignment vertical="center" wrapText="1"/>
    </xf>
    <xf numFmtId="164" fontId="15" fillId="6" borderId="24" xfId="0" applyNumberFormat="1" applyFont="1" applyFill="1" applyBorder="1" applyAlignment="1">
      <alignment horizontal="center" vertical="center" wrapText="1"/>
    </xf>
    <xf numFmtId="164" fontId="15" fillId="6" borderId="34" xfId="0" applyNumberFormat="1" applyFont="1" applyFill="1" applyBorder="1" applyAlignment="1">
      <alignment horizontal="center" vertical="center" wrapText="1"/>
    </xf>
    <xf numFmtId="164" fontId="3" fillId="6" borderId="8" xfId="0" applyNumberFormat="1" applyFont="1" applyFill="1" applyBorder="1" applyAlignment="1">
      <alignment vertical="center" wrapText="1"/>
    </xf>
    <xf numFmtId="164" fontId="15" fillId="6" borderId="0" xfId="0" applyNumberFormat="1" applyFont="1" applyFill="1" applyAlignment="1">
      <alignment horizontal="center" vertical="center" wrapText="1"/>
    </xf>
    <xf numFmtId="16" fontId="3" fillId="6" borderId="19" xfId="0" applyNumberFormat="1" applyFont="1" applyFill="1" applyBorder="1" applyAlignment="1">
      <alignment horizontal="center" vertical="center" wrapText="1"/>
    </xf>
    <xf numFmtId="164" fontId="15" fillId="6" borderId="8" xfId="0" applyNumberFormat="1" applyFont="1" applyFill="1" applyBorder="1" applyAlignment="1">
      <alignment horizontal="left" vertical="center" wrapText="1"/>
    </xf>
    <xf numFmtId="0" fontId="3" fillId="6" borderId="0" xfId="0" applyFont="1" applyFill="1" applyAlignment="1">
      <alignment vertical="center" wrapText="1"/>
    </xf>
    <xf numFmtId="164" fontId="15" fillId="6" borderId="22" xfId="0" applyNumberFormat="1" applyFont="1" applyFill="1" applyBorder="1" applyAlignment="1">
      <alignment horizontal="center" vertical="center" wrapText="1"/>
    </xf>
    <xf numFmtId="164" fontId="15" fillId="6" borderId="12" xfId="0" applyNumberFormat="1" applyFont="1" applyFill="1" applyBorder="1" applyAlignment="1">
      <alignment horizontal="center" vertical="center" wrapText="1"/>
    </xf>
    <xf numFmtId="16" fontId="3" fillId="0" borderId="12" xfId="0" applyNumberFormat="1" applyFont="1" applyBorder="1" applyAlignment="1">
      <alignment horizontal="center" vertical="center" wrapText="1"/>
    </xf>
    <xf numFmtId="0" fontId="5" fillId="0" borderId="8" xfId="0" applyFont="1" applyBorder="1" applyAlignment="1">
      <alignment vertical="center"/>
    </xf>
    <xf numFmtId="0" fontId="12" fillId="6" borderId="12" xfId="0" applyFont="1" applyFill="1" applyBorder="1" applyAlignment="1">
      <alignment vertical="center" wrapText="1"/>
    </xf>
    <xf numFmtId="0" fontId="3" fillId="6" borderId="10" xfId="0" applyFont="1" applyFill="1" applyBorder="1" applyAlignment="1">
      <alignment horizontal="center" vertical="center" wrapText="1"/>
    </xf>
    <xf numFmtId="0" fontId="15" fillId="10" borderId="20" xfId="0" applyFont="1" applyFill="1" applyBorder="1" applyAlignment="1">
      <alignment horizontal="center" vertical="center"/>
    </xf>
    <xf numFmtId="0" fontId="40" fillId="6" borderId="20" xfId="0" applyFont="1" applyFill="1" applyBorder="1" applyAlignment="1">
      <alignment horizontal="center" vertical="center"/>
    </xf>
    <xf numFmtId="0" fontId="41" fillId="6" borderId="20" xfId="0" applyFont="1" applyFill="1" applyBorder="1" applyAlignment="1">
      <alignment horizontal="center" vertical="center"/>
    </xf>
    <xf numFmtId="0" fontId="3" fillId="0" borderId="8" xfId="0" applyFont="1" applyBorder="1" applyAlignment="1">
      <alignment vertical="center" wrapText="1"/>
    </xf>
    <xf numFmtId="0" fontId="3" fillId="6" borderId="25" xfId="0" applyFont="1" applyFill="1" applyBorder="1" applyAlignment="1">
      <alignment vertical="center" wrapText="1"/>
    </xf>
    <xf numFmtId="164" fontId="12" fillId="6" borderId="20" xfId="0" applyNumberFormat="1" applyFont="1" applyFill="1" applyBorder="1" applyAlignment="1">
      <alignment horizontal="center" vertical="center" wrapText="1"/>
    </xf>
    <xf numFmtId="164" fontId="15" fillId="0" borderId="8" xfId="0" applyNumberFormat="1" applyFont="1" applyBorder="1" applyAlignment="1">
      <alignment horizontal="center" vertical="center" wrapText="1"/>
    </xf>
    <xf numFmtId="164" fontId="15" fillId="6" borderId="12" xfId="0" applyNumberFormat="1" applyFont="1" applyFill="1" applyBorder="1" applyAlignment="1">
      <alignment horizontal="left" vertical="center" wrapText="1"/>
    </xf>
    <xf numFmtId="164" fontId="12" fillId="6" borderId="8" xfId="0" applyNumberFormat="1" applyFont="1" applyFill="1" applyBorder="1" applyAlignment="1">
      <alignment horizontal="left" vertical="center" wrapText="1"/>
    </xf>
    <xf numFmtId="164" fontId="19" fillId="0" borderId="8" xfId="1" applyNumberFormat="1" applyFont="1" applyBorder="1" applyAlignment="1">
      <alignment horizontal="right" vertical="center"/>
    </xf>
    <xf numFmtId="16" fontId="3" fillId="6" borderId="35" xfId="0" applyNumberFormat="1" applyFont="1" applyFill="1" applyBorder="1" applyAlignment="1">
      <alignment horizontal="center" vertical="center" wrapText="1"/>
    </xf>
    <xf numFmtId="164" fontId="15" fillId="6" borderId="21" xfId="0" applyNumberFormat="1" applyFont="1" applyFill="1" applyBorder="1" applyAlignment="1">
      <alignment horizontal="center" vertical="center" wrapText="1"/>
    </xf>
    <xf numFmtId="0" fontId="5" fillId="0" borderId="16" xfId="0" applyFont="1" applyBorder="1" applyAlignment="1">
      <alignment vertical="center"/>
    </xf>
    <xf numFmtId="0" fontId="5" fillId="0" borderId="18" xfId="0" applyFont="1" applyBorder="1" applyAlignment="1">
      <alignment vertical="center"/>
    </xf>
    <xf numFmtId="0" fontId="3" fillId="6" borderId="34" xfId="0" applyFont="1" applyFill="1" applyBorder="1" applyAlignment="1">
      <alignment horizontal="left" vertical="top" wrapText="1"/>
    </xf>
    <xf numFmtId="0" fontId="16" fillId="0" borderId="8" xfId="0" applyFont="1" applyBorder="1" applyAlignment="1">
      <alignment vertical="center" wrapText="1"/>
    </xf>
    <xf numFmtId="0" fontId="36" fillId="6" borderId="8" xfId="0" applyFont="1" applyFill="1" applyBorder="1" applyAlignment="1">
      <alignment horizontal="center" vertical="center"/>
    </xf>
    <xf numFmtId="0" fontId="15" fillId="0" borderId="12" xfId="0" applyFont="1" applyBorder="1" applyAlignment="1">
      <alignment horizontal="center" vertical="center" wrapText="1"/>
    </xf>
    <xf numFmtId="0" fontId="15" fillId="0" borderId="20" xfId="0" applyFont="1" applyBorder="1" applyAlignment="1">
      <alignment horizontal="center" vertical="center"/>
    </xf>
    <xf numFmtId="0" fontId="15" fillId="0" borderId="22" xfId="0" applyFont="1" applyBorder="1" applyAlignment="1">
      <alignment horizontal="center" vertical="center"/>
    </xf>
    <xf numFmtId="164" fontId="15" fillId="0" borderId="22" xfId="0" applyNumberFormat="1" applyFont="1" applyBorder="1" applyAlignment="1">
      <alignment horizontal="center" vertical="center" wrapText="1"/>
    </xf>
    <xf numFmtId="0" fontId="30" fillId="0" borderId="19" xfId="0" applyFont="1" applyBorder="1" applyAlignment="1">
      <alignment horizontal="center" vertical="center"/>
    </xf>
    <xf numFmtId="164" fontId="15" fillId="0" borderId="12" xfId="1" applyNumberFormat="1" applyFont="1" applyFill="1" applyBorder="1" applyAlignment="1">
      <alignment vertical="center"/>
    </xf>
    <xf numFmtId="16" fontId="15" fillId="0" borderId="12" xfId="0" applyNumberFormat="1" applyFont="1" applyBorder="1" applyAlignment="1">
      <alignment horizontal="center" vertical="center" wrapText="1"/>
    </xf>
    <xf numFmtId="0" fontId="15" fillId="0" borderId="12" xfId="0" applyFont="1" applyBorder="1" applyAlignment="1">
      <alignment vertical="center" wrapText="1"/>
    </xf>
    <xf numFmtId="0" fontId="15" fillId="0" borderId="0" xfId="0" applyFont="1" applyAlignment="1">
      <alignment horizontal="center" vertical="center" wrapText="1"/>
    </xf>
    <xf numFmtId="164" fontId="22" fillId="0" borderId="8" xfId="1" applyNumberFormat="1" applyFont="1" applyFill="1" applyBorder="1" applyAlignment="1">
      <alignment horizontal="right" vertical="center"/>
    </xf>
    <xf numFmtId="0" fontId="15" fillId="0" borderId="16" xfId="0" applyFont="1" applyBorder="1" applyAlignment="1">
      <alignment horizontal="center" vertical="center" wrapText="1"/>
    </xf>
    <xf numFmtId="0" fontId="15" fillId="0" borderId="19" xfId="0" applyFont="1" applyBorder="1" applyAlignment="1">
      <alignment horizontal="center" vertical="center"/>
    </xf>
    <xf numFmtId="0" fontId="15" fillId="0" borderId="18" xfId="0" applyFont="1" applyBorder="1" applyAlignment="1">
      <alignment vertical="center" wrapText="1"/>
    </xf>
    <xf numFmtId="164" fontId="15" fillId="0" borderId="22" xfId="1" applyNumberFormat="1" applyFont="1" applyFill="1" applyBorder="1" applyAlignment="1">
      <alignment vertical="center"/>
    </xf>
    <xf numFmtId="16" fontId="15" fillId="0" borderId="22" xfId="0" applyNumberFormat="1" applyFont="1" applyBorder="1" applyAlignment="1">
      <alignment horizontal="center" vertical="center" wrapText="1"/>
    </xf>
    <xf numFmtId="0" fontId="15" fillId="0" borderId="35" xfId="0" applyFont="1" applyBorder="1" applyAlignment="1">
      <alignment horizontal="center" vertical="center"/>
    </xf>
    <xf numFmtId="0" fontId="15" fillId="0" borderId="21" xfId="0" applyFont="1" applyBorder="1" applyAlignment="1">
      <alignment horizontal="center" vertical="center" wrapText="1"/>
    </xf>
    <xf numFmtId="0" fontId="15" fillId="0" borderId="22" xfId="0" applyFont="1" applyBorder="1" applyAlignment="1">
      <alignment horizontal="left" vertical="center" wrapText="1"/>
    </xf>
    <xf numFmtId="0" fontId="15" fillId="0" borderId="22" xfId="0" applyFont="1" applyBorder="1" applyAlignment="1">
      <alignment horizontal="center" vertical="center" wrapText="1"/>
    </xf>
    <xf numFmtId="0" fontId="41" fillId="6" borderId="8" xfId="0" applyFont="1" applyFill="1" applyBorder="1" applyAlignment="1">
      <alignment horizontal="center" vertical="center"/>
    </xf>
    <xf numFmtId="0" fontId="5" fillId="6" borderId="25" xfId="0" applyFont="1" applyFill="1" applyBorder="1" applyAlignment="1">
      <alignment vertical="center"/>
    </xf>
    <xf numFmtId="164" fontId="12" fillId="6" borderId="8" xfId="0" applyNumberFormat="1" applyFont="1" applyFill="1" applyBorder="1" applyAlignment="1">
      <alignment horizontal="center" vertical="center" wrapText="1"/>
    </xf>
    <xf numFmtId="164" fontId="19" fillId="6" borderId="16" xfId="1" applyNumberFormat="1" applyFont="1" applyFill="1" applyBorder="1" applyAlignment="1">
      <alignment horizontal="right" vertical="center"/>
    </xf>
    <xf numFmtId="164" fontId="15" fillId="6" borderId="16" xfId="0" applyNumberFormat="1" applyFont="1" applyFill="1" applyBorder="1" applyAlignment="1">
      <alignment horizontal="center" vertical="center" wrapText="1"/>
    </xf>
    <xf numFmtId="164" fontId="9" fillId="6" borderId="18" xfId="0" applyNumberFormat="1" applyFont="1" applyFill="1" applyBorder="1" applyAlignment="1">
      <alignment vertical="center" wrapText="1"/>
    </xf>
    <xf numFmtId="164" fontId="9" fillId="6" borderId="12" xfId="0" applyNumberFormat="1" applyFont="1" applyFill="1" applyBorder="1" applyAlignment="1">
      <alignment vertical="center" wrapText="1"/>
    </xf>
    <xf numFmtId="0" fontId="15" fillId="6" borderId="24" xfId="0" applyFont="1" applyFill="1" applyBorder="1" applyAlignment="1">
      <alignment horizontal="center" vertical="center"/>
    </xf>
    <xf numFmtId="164" fontId="9" fillId="6" borderId="8" xfId="0" applyNumberFormat="1" applyFont="1" applyFill="1" applyBorder="1" applyAlignment="1">
      <alignment vertical="center" wrapText="1"/>
    </xf>
    <xf numFmtId="164" fontId="3" fillId="6" borderId="19" xfId="1" applyNumberFormat="1" applyFont="1" applyFill="1" applyBorder="1" applyAlignment="1">
      <alignment vertical="center"/>
    </xf>
    <xf numFmtId="0" fontId="42" fillId="0" borderId="8" xfId="0" applyFont="1" applyBorder="1" applyAlignment="1">
      <alignment horizontal="center" vertical="center"/>
    </xf>
    <xf numFmtId="0" fontId="9" fillId="6" borderId="8" xfId="0" applyFont="1" applyFill="1" applyBorder="1" applyAlignment="1">
      <alignment vertical="center"/>
    </xf>
    <xf numFmtId="0" fontId="42" fillId="16" borderId="8" xfId="0" applyFont="1" applyFill="1" applyBorder="1" applyAlignment="1">
      <alignment horizontal="center" vertical="center"/>
    </xf>
    <xf numFmtId="164" fontId="19" fillId="6" borderId="12" xfId="1" applyNumberFormat="1" applyFont="1" applyFill="1" applyBorder="1" applyAlignment="1">
      <alignment horizontal="right" vertical="center"/>
    </xf>
    <xf numFmtId="16" fontId="3" fillId="0" borderId="8" xfId="0" applyNumberFormat="1" applyFont="1" applyBorder="1" applyAlignment="1">
      <alignment horizontal="center" vertical="center" wrapText="1"/>
    </xf>
    <xf numFmtId="16" fontId="42" fillId="0" borderId="8" xfId="0" applyNumberFormat="1" applyFont="1" applyBorder="1" applyAlignment="1">
      <alignment horizontal="center" vertical="center" wrapText="1"/>
    </xf>
    <xf numFmtId="16" fontId="15" fillId="6" borderId="10" xfId="0" applyNumberFormat="1" applyFont="1" applyFill="1" applyBorder="1" applyAlignment="1">
      <alignment horizontal="center" vertical="center" wrapText="1"/>
    </xf>
    <xf numFmtId="16" fontId="15" fillId="6" borderId="25" xfId="0" applyNumberFormat="1" applyFont="1" applyFill="1" applyBorder="1" applyAlignment="1">
      <alignment horizontal="center" vertical="center" wrapText="1"/>
    </xf>
    <xf numFmtId="16" fontId="15" fillId="6" borderId="19" xfId="0" applyNumberFormat="1" applyFont="1" applyFill="1" applyBorder="1" applyAlignment="1">
      <alignment horizontal="center" vertical="center" wrapText="1"/>
    </xf>
    <xf numFmtId="164" fontId="19" fillId="6" borderId="25" xfId="1" applyNumberFormat="1" applyFont="1" applyFill="1" applyBorder="1" applyAlignment="1">
      <alignment horizontal="right" vertical="center"/>
    </xf>
    <xf numFmtId="164" fontId="19" fillId="6" borderId="20" xfId="1" applyNumberFormat="1" applyFont="1" applyFill="1" applyBorder="1" applyAlignment="1">
      <alignment horizontal="right" vertical="center"/>
    </xf>
    <xf numFmtId="16" fontId="42" fillId="6" borderId="12" xfId="0" applyNumberFormat="1" applyFont="1" applyFill="1" applyBorder="1" applyAlignment="1">
      <alignment horizontal="center" vertical="center" wrapText="1"/>
    </xf>
    <xf numFmtId="0" fontId="5" fillId="6" borderId="8" xfId="0" applyFont="1" applyFill="1" applyBorder="1" applyAlignment="1">
      <alignment vertical="center"/>
    </xf>
    <xf numFmtId="16" fontId="3" fillId="6" borderId="17" xfId="0" applyNumberFormat="1" applyFont="1" applyFill="1" applyBorder="1" applyAlignment="1">
      <alignment horizontal="center" vertical="center" wrapText="1"/>
    </xf>
    <xf numFmtId="16" fontId="42" fillId="6" borderId="10" xfId="0" applyNumberFormat="1" applyFont="1" applyFill="1" applyBorder="1" applyAlignment="1">
      <alignment horizontal="center" vertical="center" wrapText="1"/>
    </xf>
    <xf numFmtId="164" fontId="15" fillId="6" borderId="10" xfId="1" applyNumberFormat="1" applyFont="1" applyFill="1" applyBorder="1" applyAlignment="1">
      <alignment vertical="center"/>
    </xf>
    <xf numFmtId="16" fontId="42" fillId="6" borderId="8" xfId="0" applyNumberFormat="1" applyFont="1" applyFill="1" applyBorder="1" applyAlignment="1">
      <alignment horizontal="center" vertical="center" wrapText="1"/>
    </xf>
    <xf numFmtId="0" fontId="42" fillId="6" borderId="12" xfId="0" applyFont="1" applyFill="1" applyBorder="1" applyAlignment="1">
      <alignment horizontal="center" vertical="center"/>
    </xf>
    <xf numFmtId="164" fontId="3" fillId="6" borderId="12" xfId="0" applyNumberFormat="1" applyFont="1" applyFill="1" applyBorder="1" applyAlignment="1">
      <alignment horizontal="center" vertical="center" wrapText="1"/>
    </xf>
    <xf numFmtId="0" fontId="42" fillId="6" borderId="8" xfId="0" applyFont="1" applyFill="1" applyBorder="1" applyAlignment="1">
      <alignment horizontal="center" vertical="center"/>
    </xf>
    <xf numFmtId="0" fontId="42" fillId="6" borderId="8" xfId="0" applyFont="1" applyFill="1" applyBorder="1" applyAlignment="1">
      <alignment vertical="center" wrapText="1"/>
    </xf>
    <xf numFmtId="0" fontId="12" fillId="6" borderId="8" xfId="0" applyFont="1" applyFill="1" applyBorder="1" applyAlignment="1">
      <alignment horizontal="left" vertical="center"/>
    </xf>
    <xf numFmtId="0" fontId="30" fillId="6" borderId="35" xfId="0" applyFont="1" applyFill="1" applyBorder="1" applyAlignment="1">
      <alignment horizontal="center" vertical="center"/>
    </xf>
    <xf numFmtId="0" fontId="15" fillId="6" borderId="12" xfId="0" applyFont="1" applyFill="1" applyBorder="1" applyAlignment="1">
      <alignment horizontal="left" vertical="center"/>
    </xf>
    <xf numFmtId="0" fontId="15" fillId="6" borderId="17" xfId="0" applyFont="1" applyFill="1" applyBorder="1" applyAlignment="1">
      <alignment horizontal="center" vertical="center"/>
    </xf>
    <xf numFmtId="164" fontId="22" fillId="6" borderId="16" xfId="1" applyNumberFormat="1" applyFont="1" applyFill="1" applyBorder="1" applyAlignment="1">
      <alignment horizontal="right" vertical="center"/>
    </xf>
    <xf numFmtId="164" fontId="3" fillId="6" borderId="25" xfId="1" applyNumberFormat="1" applyFont="1" applyFill="1" applyBorder="1" applyAlignment="1">
      <alignment vertical="center"/>
    </xf>
    <xf numFmtId="0" fontId="12" fillId="6" borderId="25" xfId="0" applyFont="1" applyFill="1" applyBorder="1" applyAlignment="1">
      <alignment horizontal="left" vertical="center" wrapText="1"/>
    </xf>
    <xf numFmtId="0" fontId="42" fillId="6" borderId="8" xfId="0" applyFont="1" applyFill="1" applyBorder="1" applyAlignment="1">
      <alignment horizontal="left" vertical="center" wrapText="1"/>
    </xf>
    <xf numFmtId="0" fontId="3" fillId="6" borderId="22" xfId="0" applyFont="1" applyFill="1" applyBorder="1" applyAlignment="1">
      <alignment horizontal="left" vertical="center"/>
    </xf>
    <xf numFmtId="0" fontId="28" fillId="20" borderId="8" xfId="0" applyFont="1" applyFill="1" applyBorder="1" applyAlignment="1">
      <alignment horizontal="center" vertical="center"/>
    </xf>
    <xf numFmtId="0" fontId="3" fillId="20" borderId="8" xfId="0" applyFont="1" applyFill="1" applyBorder="1" applyAlignment="1">
      <alignment horizontal="center" vertical="center"/>
    </xf>
    <xf numFmtId="164" fontId="3" fillId="20" borderId="8" xfId="1" applyNumberFormat="1" applyFont="1" applyFill="1" applyBorder="1" applyAlignment="1">
      <alignment vertical="center"/>
    </xf>
    <xf numFmtId="0" fontId="3" fillId="20" borderId="8" xfId="0" applyFont="1" applyFill="1" applyBorder="1" applyAlignment="1">
      <alignment horizontal="center" vertical="center" wrapText="1"/>
    </xf>
    <xf numFmtId="0" fontId="3" fillId="20" borderId="12" xfId="0" applyFont="1" applyFill="1" applyBorder="1" applyAlignment="1">
      <alignment horizontal="center" vertical="center"/>
    </xf>
    <xf numFmtId="0" fontId="3" fillId="20" borderId="8" xfId="0" applyFont="1" applyFill="1" applyBorder="1" applyAlignment="1">
      <alignment horizontal="left" vertical="center" wrapText="1"/>
    </xf>
    <xf numFmtId="164" fontId="3" fillId="20" borderId="8" xfId="0" applyNumberFormat="1" applyFont="1" applyFill="1" applyBorder="1" applyAlignment="1">
      <alignment horizontal="left" vertical="center" wrapText="1"/>
    </xf>
    <xf numFmtId="0" fontId="3" fillId="20" borderId="17" xfId="0" applyFont="1" applyFill="1" applyBorder="1" applyAlignment="1">
      <alignment horizontal="center" vertical="center"/>
    </xf>
    <xf numFmtId="164" fontId="19" fillId="20" borderId="20" xfId="1" applyNumberFormat="1" applyFont="1" applyFill="1" applyBorder="1" applyAlignment="1">
      <alignment horizontal="right" vertical="center"/>
    </xf>
    <xf numFmtId="0" fontId="3" fillId="20" borderId="0" xfId="0" applyFont="1" applyFill="1" applyAlignment="1">
      <alignment vertical="center"/>
    </xf>
    <xf numFmtId="164" fontId="3" fillId="6" borderId="8" xfId="0" applyNumberFormat="1" applyFont="1" applyFill="1" applyBorder="1" applyAlignment="1">
      <alignment horizontal="left" vertical="center" wrapText="1"/>
    </xf>
    <xf numFmtId="164" fontId="12" fillId="6" borderId="8" xfId="0" applyNumberFormat="1" applyFont="1" applyFill="1" applyBorder="1" applyAlignment="1">
      <alignment vertical="top" wrapText="1"/>
    </xf>
    <xf numFmtId="164" fontId="42" fillId="6" borderId="8" xfId="0" applyNumberFormat="1" applyFont="1" applyFill="1" applyBorder="1" applyAlignment="1">
      <alignment horizontal="left" vertical="center" wrapText="1"/>
    </xf>
    <xf numFmtId="0" fontId="20" fillId="2" borderId="5" xfId="0" applyFont="1" applyFill="1" applyBorder="1" applyAlignment="1">
      <alignment horizontal="left" vertical="center"/>
    </xf>
    <xf numFmtId="164" fontId="42" fillId="6" borderId="19" xfId="0" applyNumberFormat="1" applyFont="1" applyFill="1" applyBorder="1" applyAlignment="1">
      <alignment horizontal="left" vertical="center" wrapText="1"/>
    </xf>
    <xf numFmtId="164" fontId="42" fillId="6" borderId="10" xfId="0" applyNumberFormat="1" applyFont="1" applyFill="1" applyBorder="1" applyAlignment="1">
      <alignment horizontal="left" vertical="center" wrapText="1"/>
    </xf>
    <xf numFmtId="0" fontId="12" fillId="6" borderId="10" xfId="0" applyFont="1" applyFill="1" applyBorder="1" applyAlignment="1">
      <alignment horizontal="left" vertical="center" wrapText="1"/>
    </xf>
    <xf numFmtId="0" fontId="40" fillId="6" borderId="8" xfId="0" applyFont="1" applyFill="1" applyBorder="1" applyAlignment="1">
      <alignment horizontal="center" vertical="center"/>
    </xf>
    <xf numFmtId="164" fontId="3" fillId="6" borderId="10" xfId="0" applyNumberFormat="1" applyFont="1" applyFill="1" applyBorder="1" applyAlignment="1">
      <alignment horizontal="left" vertical="center" wrapText="1"/>
    </xf>
    <xf numFmtId="164" fontId="3" fillId="6" borderId="10" xfId="0" applyNumberFormat="1" applyFont="1" applyFill="1" applyBorder="1" applyAlignment="1">
      <alignment horizontal="left" vertical="center"/>
    </xf>
    <xf numFmtId="164" fontId="19" fillId="6" borderId="0" xfId="1" applyNumberFormat="1" applyFont="1" applyFill="1" applyAlignment="1">
      <alignment vertical="center"/>
    </xf>
    <xf numFmtId="0" fontId="3" fillId="6" borderId="10" xfId="0" applyFont="1" applyFill="1" applyBorder="1" applyAlignment="1">
      <alignment horizontal="left" vertical="center"/>
    </xf>
    <xf numFmtId="0" fontId="9" fillId="6" borderId="10" xfId="0" applyFont="1" applyFill="1" applyBorder="1" applyAlignment="1">
      <alignment horizontal="left" vertical="center" wrapText="1"/>
    </xf>
    <xf numFmtId="164" fontId="15" fillId="6" borderId="10" xfId="0" applyNumberFormat="1" applyFont="1" applyFill="1" applyBorder="1" applyAlignment="1">
      <alignment horizontal="left" vertical="center" wrapText="1"/>
    </xf>
    <xf numFmtId="164" fontId="22" fillId="6" borderId="8" xfId="1" applyNumberFormat="1" applyFont="1" applyFill="1" applyBorder="1" applyAlignment="1">
      <alignment horizontal="right" vertical="center"/>
    </xf>
    <xf numFmtId="164" fontId="3" fillId="0" borderId="18" xfId="1" applyNumberFormat="1" applyFont="1" applyBorder="1" applyAlignment="1">
      <alignment vertical="center"/>
    </xf>
    <xf numFmtId="164" fontId="3" fillId="0" borderId="12" xfId="1" applyNumberFormat="1" applyFont="1" applyBorder="1" applyAlignment="1">
      <alignment vertical="center"/>
    </xf>
    <xf numFmtId="164" fontId="3" fillId="18" borderId="8" xfId="1" applyNumberFormat="1" applyFont="1" applyFill="1" applyBorder="1" applyAlignment="1">
      <alignment vertical="center"/>
    </xf>
    <xf numFmtId="0" fontId="3" fillId="18" borderId="8" xfId="0" applyFont="1" applyFill="1" applyBorder="1" applyAlignment="1">
      <alignment horizontal="left" vertical="center" wrapText="1"/>
    </xf>
    <xf numFmtId="0" fontId="3" fillId="18" borderId="8" xfId="0" applyFont="1" applyFill="1" applyBorder="1" applyAlignment="1">
      <alignment horizontal="left" vertical="center"/>
    </xf>
    <xf numFmtId="0" fontId="3" fillId="18" borderId="0" xfId="0" applyFont="1" applyFill="1" applyAlignment="1">
      <alignment horizontal="center" vertical="center"/>
    </xf>
    <xf numFmtId="0" fontId="9" fillId="6" borderId="25" xfId="0" applyFont="1" applyFill="1" applyBorder="1" applyAlignment="1">
      <alignment horizontal="left" vertical="center" wrapText="1"/>
    </xf>
    <xf numFmtId="3" fontId="3" fillId="0" borderId="8" xfId="0" applyNumberFormat="1" applyFont="1" applyBorder="1" applyAlignment="1">
      <alignment horizontal="right" vertical="center"/>
    </xf>
    <xf numFmtId="3" fontId="18" fillId="0" borderId="5" xfId="1" applyNumberFormat="1" applyFont="1" applyBorder="1" applyAlignment="1">
      <alignment horizontal="right" vertical="center"/>
    </xf>
    <xf numFmtId="3" fontId="21" fillId="2" borderId="7" xfId="1" applyNumberFormat="1" applyFont="1" applyFill="1" applyBorder="1" applyAlignment="1">
      <alignment horizontal="right" vertical="center" wrapText="1"/>
    </xf>
    <xf numFmtId="3" fontId="3" fillId="0" borderId="0" xfId="1" applyNumberFormat="1" applyFont="1" applyAlignment="1">
      <alignment horizontal="right" vertical="center"/>
    </xf>
    <xf numFmtId="0" fontId="20" fillId="0" borderId="5" xfId="0" applyFont="1" applyBorder="1" applyAlignment="1">
      <alignment horizontal="left" vertical="center"/>
    </xf>
    <xf numFmtId="3" fontId="3" fillId="6" borderId="12" xfId="1" applyNumberFormat="1" applyFont="1" applyFill="1" applyBorder="1" applyAlignment="1">
      <alignment horizontal="right" vertical="center"/>
    </xf>
    <xf numFmtId="0" fontId="3" fillId="6" borderId="35" xfId="0" applyFont="1" applyFill="1" applyBorder="1" applyAlignment="1">
      <alignment horizontal="left" vertical="center" wrapText="1"/>
    </xf>
    <xf numFmtId="0" fontId="13" fillId="6" borderId="8" xfId="0" applyFont="1" applyFill="1" applyBorder="1" applyAlignment="1">
      <alignment vertical="center" wrapText="1"/>
    </xf>
    <xf numFmtId="0" fontId="13" fillId="6" borderId="16" xfId="0" applyFont="1" applyFill="1" applyBorder="1" applyAlignment="1">
      <alignment vertical="center" wrapText="1"/>
    </xf>
    <xf numFmtId="0" fontId="3" fillId="6" borderId="17" xfId="0" applyFont="1" applyFill="1" applyBorder="1" applyAlignment="1">
      <alignment horizontal="left" vertical="center" wrapText="1"/>
    </xf>
    <xf numFmtId="0" fontId="13" fillId="6" borderId="12" xfId="0" applyFont="1" applyFill="1" applyBorder="1" applyAlignment="1">
      <alignment vertical="center" wrapText="1"/>
    </xf>
    <xf numFmtId="3" fontId="3" fillId="6" borderId="8" xfId="1" applyNumberFormat="1" applyFont="1" applyFill="1" applyBorder="1" applyAlignment="1">
      <alignment horizontal="right" vertical="center"/>
    </xf>
    <xf numFmtId="0" fontId="3" fillId="0" borderId="16" xfId="0" applyFont="1" applyBorder="1" applyAlignment="1">
      <alignment horizontal="center" vertical="center"/>
    </xf>
    <xf numFmtId="3" fontId="3" fillId="0" borderId="8" xfId="1" applyNumberFormat="1" applyFont="1" applyFill="1" applyBorder="1" applyAlignment="1">
      <alignment horizontal="right" vertical="center"/>
    </xf>
    <xf numFmtId="0" fontId="13" fillId="0" borderId="8" xfId="0" applyFont="1" applyBorder="1" applyAlignment="1">
      <alignment vertical="center" wrapText="1"/>
    </xf>
    <xf numFmtId="164" fontId="19" fillId="0" borderId="16" xfId="1" applyNumberFormat="1" applyFont="1" applyBorder="1" applyAlignment="1">
      <alignment horizontal="right" vertical="center"/>
    </xf>
    <xf numFmtId="3" fontId="3" fillId="6" borderId="8" xfId="0" applyNumberFormat="1" applyFont="1" applyFill="1" applyBorder="1" applyAlignment="1">
      <alignment horizontal="right" vertical="center"/>
    </xf>
    <xf numFmtId="166" fontId="22" fillId="6" borderId="0" xfId="1" applyNumberFormat="1" applyFont="1" applyFill="1" applyBorder="1" applyAlignment="1">
      <alignment horizontal="center" vertical="center"/>
    </xf>
    <xf numFmtId="0" fontId="13" fillId="6" borderId="22" xfId="0" applyFont="1" applyFill="1" applyBorder="1" applyAlignment="1">
      <alignment vertical="center" wrapText="1"/>
    </xf>
    <xf numFmtId="0" fontId="3" fillId="21" borderId="0" xfId="0" applyFont="1" applyFill="1" applyAlignment="1">
      <alignment vertical="center"/>
    </xf>
    <xf numFmtId="0" fontId="3" fillId="21" borderId="0" xfId="0" applyFont="1" applyFill="1" applyAlignment="1">
      <alignment horizontal="center" vertical="center"/>
    </xf>
    <xf numFmtId="3" fontId="3" fillId="6" borderId="12" xfId="1" applyNumberFormat="1" applyFont="1" applyFill="1" applyBorder="1" applyAlignment="1">
      <alignment horizontal="center" vertical="center"/>
    </xf>
    <xf numFmtId="3" fontId="3" fillId="6" borderId="12" xfId="1" applyNumberFormat="1" applyFont="1" applyFill="1" applyBorder="1" applyAlignment="1">
      <alignment horizontal="center" vertical="center" wrapText="1"/>
    </xf>
    <xf numFmtId="3" fontId="3" fillId="6" borderId="12" xfId="1" applyNumberFormat="1" applyFont="1" applyFill="1" applyBorder="1" applyAlignment="1">
      <alignment horizontal="left" vertical="center" wrapText="1"/>
    </xf>
    <xf numFmtId="3" fontId="3" fillId="6" borderId="12" xfId="1" applyNumberFormat="1" applyFont="1" applyFill="1" applyBorder="1" applyAlignment="1">
      <alignment horizontal="left" vertical="center"/>
    </xf>
    <xf numFmtId="3" fontId="3" fillId="6" borderId="16" xfId="1" applyNumberFormat="1" applyFont="1" applyFill="1" applyBorder="1" applyAlignment="1">
      <alignment horizontal="right" vertical="center"/>
    </xf>
    <xf numFmtId="3" fontId="9" fillId="6" borderId="8" xfId="0" applyNumberFormat="1" applyFont="1" applyFill="1" applyBorder="1" applyAlignment="1">
      <alignment horizontal="center" vertical="center"/>
    </xf>
    <xf numFmtId="0" fontId="3" fillId="6" borderId="8" xfId="0" applyFont="1" applyFill="1" applyBorder="1" applyAlignment="1">
      <alignment horizontal="center" vertical="top" wrapText="1"/>
    </xf>
    <xf numFmtId="3" fontId="9" fillId="6" borderId="8" xfId="0" applyNumberFormat="1" applyFont="1" applyFill="1" applyBorder="1" applyAlignment="1">
      <alignment horizontal="center" vertical="center" wrapText="1"/>
    </xf>
    <xf numFmtId="3" fontId="3" fillId="6" borderId="25" xfId="1" applyNumberFormat="1" applyFont="1" applyFill="1" applyBorder="1" applyAlignment="1">
      <alignment horizontal="right" vertical="center"/>
    </xf>
    <xf numFmtId="3" fontId="15" fillId="6" borderId="8" xfId="1" applyNumberFormat="1" applyFont="1" applyFill="1" applyBorder="1" applyAlignment="1">
      <alignment horizontal="right" vertical="center"/>
    </xf>
    <xf numFmtId="3" fontId="15" fillId="6" borderId="0" xfId="0" applyNumberFormat="1" applyFont="1" applyFill="1" applyAlignment="1">
      <alignment vertical="center"/>
    </xf>
    <xf numFmtId="3" fontId="3" fillId="0" borderId="8" xfId="1" applyNumberFormat="1" applyFont="1" applyBorder="1" applyAlignment="1">
      <alignment horizontal="right" vertical="center"/>
    </xf>
    <xf numFmtId="0" fontId="16" fillId="6" borderId="8" xfId="0" applyFont="1" applyFill="1" applyBorder="1" applyAlignment="1">
      <alignment vertical="center"/>
    </xf>
    <xf numFmtId="164" fontId="19" fillId="0" borderId="25" xfId="1" applyNumberFormat="1" applyFont="1" applyFill="1" applyBorder="1" applyAlignment="1">
      <alignment horizontal="right" vertical="center"/>
    </xf>
    <xf numFmtId="3" fontId="15" fillId="6" borderId="12" xfId="1" applyNumberFormat="1" applyFont="1" applyFill="1" applyBorder="1" applyAlignment="1">
      <alignment horizontal="right" vertical="center"/>
    </xf>
    <xf numFmtId="0" fontId="15" fillId="6" borderId="25" xfId="0" applyFont="1" applyFill="1" applyBorder="1" applyAlignment="1">
      <alignment horizontal="left" vertical="center"/>
    </xf>
    <xf numFmtId="3" fontId="12" fillId="6" borderId="8" xfId="0" applyNumberFormat="1" applyFont="1" applyFill="1" applyBorder="1" applyAlignment="1">
      <alignment horizontal="left" vertical="center"/>
    </xf>
    <xf numFmtId="164" fontId="3" fillId="6" borderId="0" xfId="1" applyNumberFormat="1" applyFont="1" applyFill="1" applyAlignment="1">
      <alignment horizontal="right" vertical="center"/>
    </xf>
    <xf numFmtId="3" fontId="3" fillId="6" borderId="16" xfId="0" applyNumberFormat="1" applyFont="1" applyFill="1" applyBorder="1" applyAlignment="1">
      <alignment horizontal="left" vertical="center" wrapText="1"/>
    </xf>
    <xf numFmtId="3" fontId="3" fillId="6" borderId="10" xfId="1" applyNumberFormat="1" applyFont="1" applyFill="1" applyBorder="1" applyAlignment="1">
      <alignment horizontal="right" vertical="center"/>
    </xf>
    <xf numFmtId="0" fontId="20" fillId="0" borderId="5" xfId="0" applyFont="1" applyBorder="1" applyAlignment="1">
      <alignment horizontal="center" vertical="center"/>
    </xf>
    <xf numFmtId="3" fontId="18" fillId="0" borderId="5" xfId="1" applyNumberFormat="1" applyFont="1" applyBorder="1" applyAlignment="1">
      <alignment horizontal="center" vertical="center"/>
    </xf>
    <xf numFmtId="3" fontId="21" fillId="2" borderId="7" xfId="1" applyNumberFormat="1" applyFont="1" applyFill="1" applyBorder="1" applyAlignment="1">
      <alignment horizontal="center" vertical="center" wrapText="1"/>
    </xf>
    <xf numFmtId="3" fontId="3" fillId="0" borderId="0" xfId="1" applyNumberFormat="1" applyFont="1" applyAlignment="1">
      <alignment horizontal="center" vertical="center"/>
    </xf>
    <xf numFmtId="164" fontId="19" fillId="0" borderId="0" xfId="0" applyNumberFormat="1" applyFont="1" applyAlignment="1">
      <alignment horizontal="center" vertical="center"/>
    </xf>
    <xf numFmtId="164" fontId="19" fillId="0" borderId="8" xfId="0" applyNumberFormat="1" applyFont="1" applyBorder="1" applyAlignment="1">
      <alignment horizontal="center" vertical="center" wrapText="1"/>
    </xf>
    <xf numFmtId="164" fontId="19" fillId="6" borderId="8" xfId="1" applyNumberFormat="1" applyFont="1" applyFill="1" applyBorder="1" applyAlignment="1">
      <alignment horizontal="center" vertical="center"/>
    </xf>
    <xf numFmtId="164" fontId="15" fillId="6" borderId="8" xfId="1" applyNumberFormat="1" applyFont="1" applyFill="1" applyBorder="1" applyAlignment="1">
      <alignment horizontal="center" vertical="center"/>
    </xf>
    <xf numFmtId="3" fontId="13" fillId="6" borderId="8" xfId="0" applyNumberFormat="1" applyFont="1" applyFill="1" applyBorder="1" applyAlignment="1">
      <alignment horizontal="center" vertical="center" wrapText="1"/>
    </xf>
    <xf numFmtId="164" fontId="3" fillId="6" borderId="12" xfId="1" applyNumberFormat="1" applyFont="1" applyFill="1" applyBorder="1" applyAlignment="1">
      <alignment horizontal="center" vertical="center"/>
    </xf>
    <xf numFmtId="3" fontId="13" fillId="6" borderId="12" xfId="0" applyNumberFormat="1" applyFont="1" applyFill="1" applyBorder="1" applyAlignment="1">
      <alignment horizontal="center" vertical="center" wrapText="1"/>
    </xf>
    <xf numFmtId="164" fontId="19" fillId="6" borderId="12" xfId="1" applyNumberFormat="1" applyFont="1" applyFill="1" applyBorder="1" applyAlignment="1">
      <alignment horizontal="center" vertical="center"/>
    </xf>
    <xf numFmtId="0" fontId="30" fillId="13" borderId="12" xfId="0" applyFont="1" applyFill="1" applyBorder="1" applyAlignment="1">
      <alignment horizontal="center" vertical="center"/>
    </xf>
    <xf numFmtId="0" fontId="3" fillId="13" borderId="17" xfId="0" applyFont="1" applyFill="1" applyBorder="1" applyAlignment="1">
      <alignment horizontal="center" vertical="center"/>
    </xf>
    <xf numFmtId="164" fontId="3" fillId="13" borderId="12" xfId="1" applyNumberFormat="1" applyFont="1" applyFill="1" applyBorder="1" applyAlignment="1">
      <alignment horizontal="center" vertical="center"/>
    </xf>
    <xf numFmtId="0" fontId="15" fillId="13" borderId="25" xfId="0" applyFont="1" applyFill="1" applyBorder="1" applyAlignment="1">
      <alignment horizontal="center" vertical="center" wrapText="1"/>
    </xf>
    <xf numFmtId="0" fontId="3" fillId="13" borderId="17" xfId="0" applyFont="1" applyFill="1" applyBorder="1" applyAlignment="1">
      <alignment horizontal="center" vertical="center" wrapText="1"/>
    </xf>
    <xf numFmtId="0" fontId="3" fillId="13" borderId="24" xfId="0" applyFont="1" applyFill="1" applyBorder="1" applyAlignment="1">
      <alignment horizontal="center" vertical="center"/>
    </xf>
    <xf numFmtId="0" fontId="9" fillId="13" borderId="12" xfId="0" applyFont="1" applyFill="1" applyBorder="1" applyAlignment="1">
      <alignment vertical="center" wrapText="1"/>
    </xf>
    <xf numFmtId="0" fontId="3" fillId="13" borderId="12" xfId="0" applyFont="1" applyFill="1" applyBorder="1" applyAlignment="1">
      <alignment horizontal="center" vertical="center" wrapText="1"/>
    </xf>
    <xf numFmtId="164" fontId="19" fillId="13" borderId="24" xfId="1" applyNumberFormat="1" applyFont="1" applyFill="1" applyBorder="1" applyAlignment="1">
      <alignment horizontal="right" vertical="center"/>
    </xf>
    <xf numFmtId="0" fontId="13" fillId="13" borderId="17" xfId="0" applyFont="1" applyFill="1" applyBorder="1" applyAlignment="1">
      <alignment horizontal="left" vertical="center" wrapText="1"/>
    </xf>
    <xf numFmtId="165" fontId="8" fillId="0" borderId="4" xfId="1" applyNumberFormat="1" applyFont="1" applyFill="1" applyBorder="1" applyAlignment="1">
      <alignment horizontal="center" vertical="center"/>
    </xf>
    <xf numFmtId="0" fontId="9" fillId="6" borderId="12" xfId="0" applyFont="1" applyFill="1" applyBorder="1" applyAlignment="1">
      <alignment vertical="center" wrapText="1"/>
    </xf>
    <xf numFmtId="164" fontId="19" fillId="6" borderId="24" xfId="1" applyNumberFormat="1" applyFont="1" applyFill="1" applyBorder="1" applyAlignment="1">
      <alignment horizontal="right" vertical="center"/>
    </xf>
    <xf numFmtId="0" fontId="13" fillId="6" borderId="17" xfId="0" applyFont="1" applyFill="1" applyBorder="1" applyAlignment="1">
      <alignment horizontal="left" vertical="center" wrapText="1"/>
    </xf>
    <xf numFmtId="0" fontId="13" fillId="6" borderId="12" xfId="0" applyFont="1" applyFill="1" applyBorder="1" applyAlignment="1">
      <alignment horizontal="center" vertical="center" wrapText="1"/>
    </xf>
    <xf numFmtId="164" fontId="3" fillId="6" borderId="12" xfId="0" applyNumberFormat="1" applyFont="1" applyFill="1" applyBorder="1" applyAlignment="1">
      <alignment horizontal="center" vertical="center"/>
    </xf>
    <xf numFmtId="164" fontId="3" fillId="6" borderId="8" xfId="1" applyNumberFormat="1" applyFont="1" applyFill="1" applyBorder="1" applyAlignment="1">
      <alignment horizontal="right" vertical="center"/>
    </xf>
    <xf numFmtId="0" fontId="9" fillId="6" borderId="12" xfId="0" applyFont="1" applyFill="1" applyBorder="1" applyAlignment="1">
      <alignment horizontal="center" vertical="center"/>
    </xf>
    <xf numFmtId="164" fontId="3" fillId="6" borderId="12" xfId="1" applyNumberFormat="1" applyFont="1" applyFill="1" applyBorder="1" applyAlignment="1">
      <alignment horizontal="right" vertical="center"/>
    </xf>
    <xf numFmtId="164" fontId="3" fillId="0" borderId="8" xfId="1" applyNumberFormat="1" applyFont="1" applyBorder="1" applyAlignment="1">
      <alignment horizontal="right" vertical="center"/>
    </xf>
    <xf numFmtId="3" fontId="3" fillId="0" borderId="8" xfId="0" applyNumberFormat="1" applyFont="1" applyBorder="1" applyAlignment="1">
      <alignment horizontal="center" vertical="center"/>
    </xf>
    <xf numFmtId="0" fontId="45" fillId="6" borderId="12" xfId="0" applyFont="1" applyFill="1" applyBorder="1" applyAlignment="1">
      <alignment horizontal="left" vertical="center" wrapText="1"/>
    </xf>
    <xf numFmtId="167" fontId="3" fillId="6" borderId="12" xfId="0" applyNumberFormat="1" applyFont="1" applyFill="1" applyBorder="1" applyAlignment="1">
      <alignment horizontal="center" vertical="center"/>
    </xf>
    <xf numFmtId="3" fontId="3" fillId="6" borderId="8" xfId="0" applyNumberFormat="1" applyFont="1" applyFill="1" applyBorder="1" applyAlignment="1">
      <alignment horizontal="center" vertical="center"/>
    </xf>
    <xf numFmtId="3" fontId="3" fillId="7" borderId="8" xfId="1" applyNumberFormat="1" applyFont="1" applyFill="1" applyBorder="1" applyAlignment="1">
      <alignment horizontal="right" vertical="center"/>
    </xf>
    <xf numFmtId="164" fontId="3" fillId="7" borderId="8" xfId="1" applyNumberFormat="1" applyFont="1" applyFill="1" applyBorder="1" applyAlignment="1">
      <alignment horizontal="right" vertical="center"/>
    </xf>
    <xf numFmtId="3" fontId="3" fillId="7" borderId="8" xfId="0" applyNumberFormat="1" applyFont="1" applyFill="1" applyBorder="1" applyAlignment="1">
      <alignment horizontal="right" vertical="center"/>
    </xf>
    <xf numFmtId="3" fontId="3" fillId="7" borderId="8" xfId="0" applyNumberFormat="1" applyFont="1" applyFill="1" applyBorder="1" applyAlignment="1">
      <alignment horizontal="center" vertical="center"/>
    </xf>
    <xf numFmtId="0" fontId="9" fillId="0" borderId="8" xfId="0" applyFont="1" applyBorder="1" applyAlignment="1">
      <alignment horizontal="center" vertical="center" wrapText="1"/>
    </xf>
    <xf numFmtId="0" fontId="9" fillId="2" borderId="0" xfId="0" applyFont="1" applyFill="1" applyAlignment="1">
      <alignment horizontal="left" vertical="center" wrapText="1"/>
    </xf>
    <xf numFmtId="3" fontId="3" fillId="10" borderId="8" xfId="0" applyNumberFormat="1" applyFont="1" applyFill="1" applyBorder="1" applyAlignment="1">
      <alignment horizontal="right" vertical="center"/>
    </xf>
    <xf numFmtId="0" fontId="3" fillId="10" borderId="0" xfId="0" applyFont="1" applyFill="1" applyAlignment="1">
      <alignment horizontal="center" vertical="center"/>
    </xf>
    <xf numFmtId="0" fontId="28" fillId="10" borderId="12" xfId="0" applyFont="1" applyFill="1" applyBorder="1" applyAlignment="1">
      <alignment horizontal="center" vertical="center"/>
    </xf>
    <xf numFmtId="0" fontId="3" fillId="10" borderId="12" xfId="0" applyFont="1" applyFill="1" applyBorder="1" applyAlignment="1">
      <alignment horizontal="center" vertical="center"/>
    </xf>
    <xf numFmtId="3" fontId="3" fillId="10" borderId="12" xfId="1" applyNumberFormat="1" applyFont="1" applyFill="1" applyBorder="1" applyAlignment="1">
      <alignment horizontal="right" vertical="center"/>
    </xf>
    <xf numFmtId="0" fontId="3" fillId="10" borderId="12" xfId="0" applyFont="1" applyFill="1" applyBorder="1" applyAlignment="1">
      <alignment horizontal="center" vertical="center" wrapText="1"/>
    </xf>
    <xf numFmtId="164" fontId="3" fillId="10" borderId="12" xfId="1" applyNumberFormat="1" applyFont="1" applyFill="1" applyBorder="1" applyAlignment="1">
      <alignment horizontal="right" vertical="center"/>
    </xf>
    <xf numFmtId="3" fontId="3" fillId="0" borderId="0" xfId="0" applyNumberFormat="1" applyFont="1" applyAlignment="1">
      <alignment vertical="center"/>
    </xf>
    <xf numFmtId="164" fontId="3" fillId="13" borderId="8" xfId="1" applyNumberFormat="1" applyFont="1" applyFill="1" applyBorder="1" applyAlignment="1">
      <alignment horizontal="right" vertical="center"/>
    </xf>
    <xf numFmtId="0" fontId="12" fillId="6" borderId="8" xfId="0" applyFont="1" applyFill="1" applyBorder="1" applyAlignment="1">
      <alignment horizontal="center" vertical="center"/>
    </xf>
    <xf numFmtId="3" fontId="3" fillId="6" borderId="12" xfId="0" applyNumberFormat="1" applyFont="1" applyFill="1" applyBorder="1" applyAlignment="1">
      <alignment horizontal="center" vertical="center"/>
    </xf>
    <xf numFmtId="0" fontId="15" fillId="10" borderId="12" xfId="0" applyFont="1" applyFill="1" applyBorder="1" applyAlignment="1">
      <alignment horizontal="left" vertical="center" wrapText="1"/>
    </xf>
    <xf numFmtId="0" fontId="15" fillId="6" borderId="8" xfId="0" applyFont="1" applyFill="1" applyBorder="1" applyAlignment="1">
      <alignment wrapText="1"/>
    </xf>
    <xf numFmtId="0" fontId="3" fillId="13" borderId="17" xfId="0" applyFont="1" applyFill="1" applyBorder="1" applyAlignment="1">
      <alignment horizontal="left" vertical="center" wrapText="1"/>
    </xf>
    <xf numFmtId="0" fontId="15" fillId="0" borderId="8" xfId="0" applyFont="1" applyBorder="1" applyAlignment="1">
      <alignment wrapText="1"/>
    </xf>
    <xf numFmtId="0" fontId="12" fillId="6" borderId="17" xfId="0" applyFont="1" applyFill="1" applyBorder="1" applyAlignment="1">
      <alignment vertical="top" wrapText="1"/>
    </xf>
    <xf numFmtId="0" fontId="12" fillId="6" borderId="0" xfId="0" applyFont="1" applyFill="1" applyAlignment="1">
      <alignment horizontal="center" vertical="center"/>
    </xf>
    <xf numFmtId="0" fontId="16" fillId="6" borderId="12" xfId="0" applyFont="1" applyFill="1" applyBorder="1" applyAlignment="1">
      <alignment vertical="center" wrapText="1"/>
    </xf>
    <xf numFmtId="0" fontId="15" fillId="19" borderId="8" xfId="0" applyFont="1" applyFill="1" applyBorder="1" applyAlignment="1">
      <alignment vertical="center"/>
    </xf>
    <xf numFmtId="0" fontId="15" fillId="18" borderId="22" xfId="0" applyFont="1" applyFill="1" applyBorder="1" applyAlignment="1">
      <alignment vertical="center" wrapText="1"/>
    </xf>
    <xf numFmtId="0" fontId="15" fillId="6" borderId="20" xfId="0" applyFont="1" applyFill="1" applyBorder="1" applyAlignment="1">
      <alignment vertical="center" wrapText="1"/>
    </xf>
    <xf numFmtId="0" fontId="12" fillId="6" borderId="0" xfId="0" applyFont="1" applyFill="1" applyAlignment="1">
      <alignment horizontal="left" vertical="center"/>
    </xf>
    <xf numFmtId="0" fontId="15" fillId="6" borderId="0" xfId="0" applyFont="1" applyFill="1" applyAlignment="1">
      <alignment vertical="center" wrapText="1"/>
    </xf>
    <xf numFmtId="0" fontId="15" fillId="6" borderId="23" xfId="0" applyFont="1" applyFill="1" applyBorder="1" applyAlignment="1">
      <alignment vertical="center" wrapText="1"/>
    </xf>
    <xf numFmtId="0" fontId="28" fillId="4" borderId="8" xfId="0" applyFont="1" applyFill="1" applyBorder="1" applyAlignment="1">
      <alignment horizontal="center" vertical="center"/>
    </xf>
    <xf numFmtId="3" fontId="3" fillId="4" borderId="8" xfId="1" applyNumberFormat="1" applyFont="1" applyFill="1" applyBorder="1" applyAlignment="1">
      <alignment horizontal="right" vertical="center"/>
    </xf>
    <xf numFmtId="0" fontId="3" fillId="4" borderId="8" xfId="0" applyFont="1" applyFill="1" applyBorder="1" applyAlignment="1">
      <alignment horizontal="center" vertical="center" wrapText="1"/>
    </xf>
    <xf numFmtId="0" fontId="15" fillId="4" borderId="8" xfId="0" applyFont="1" applyFill="1" applyBorder="1" applyAlignment="1">
      <alignment horizontal="left" vertical="center" wrapText="1"/>
    </xf>
    <xf numFmtId="0" fontId="12" fillId="4" borderId="8" xfId="0" applyFont="1" applyFill="1" applyBorder="1" applyAlignment="1">
      <alignment horizontal="center" vertical="center"/>
    </xf>
    <xf numFmtId="164" fontId="3" fillId="4" borderId="8" xfId="1" applyNumberFormat="1" applyFont="1" applyFill="1" applyBorder="1" applyAlignment="1">
      <alignment horizontal="right" vertical="center"/>
    </xf>
    <xf numFmtId="3" fontId="3" fillId="4" borderId="8" xfId="0" applyNumberFormat="1" applyFont="1" applyFill="1" applyBorder="1" applyAlignment="1">
      <alignment horizontal="center" vertical="center"/>
    </xf>
    <xf numFmtId="0" fontId="3" fillId="4" borderId="0" xfId="0" applyFont="1" applyFill="1" applyAlignment="1">
      <alignment horizontal="center" vertical="center"/>
    </xf>
    <xf numFmtId="3" fontId="3" fillId="4" borderId="0" xfId="0" applyNumberFormat="1" applyFont="1" applyFill="1" applyAlignment="1">
      <alignment vertical="center"/>
    </xf>
    <xf numFmtId="0" fontId="3" fillId="4" borderId="0" xfId="0" applyFont="1" applyFill="1" applyAlignment="1">
      <alignment vertical="center"/>
    </xf>
    <xf numFmtId="0" fontId="3" fillId="4" borderId="8" xfId="0" applyFont="1" applyFill="1" applyBorder="1" applyAlignment="1">
      <alignment horizontal="left" vertical="center" wrapText="1"/>
    </xf>
    <xf numFmtId="0" fontId="12" fillId="4" borderId="8" xfId="0" applyFont="1" applyFill="1" applyBorder="1" applyAlignment="1">
      <alignment horizontal="center" vertical="center" wrapText="1"/>
    </xf>
    <xf numFmtId="0" fontId="15" fillId="0" borderId="5" xfId="0" applyFont="1" applyBorder="1" applyAlignment="1">
      <alignment horizontal="center" vertical="center"/>
    </xf>
    <xf numFmtId="0" fontId="28" fillId="4" borderId="7" xfId="0" applyFont="1" applyFill="1" applyBorder="1" applyAlignment="1">
      <alignment horizontal="center" vertical="center"/>
    </xf>
    <xf numFmtId="0" fontId="15" fillId="4" borderId="7" xfId="0" applyFont="1" applyFill="1" applyBorder="1" applyAlignment="1">
      <alignment horizontal="center" vertical="center"/>
    </xf>
    <xf numFmtId="3" fontId="15" fillId="4" borderId="7" xfId="1" applyNumberFormat="1" applyFont="1" applyFill="1" applyBorder="1" applyAlignment="1">
      <alignment horizontal="right" vertical="center"/>
    </xf>
    <xf numFmtId="0" fontId="15" fillId="4" borderId="7" xfId="0" applyFont="1" applyFill="1" applyBorder="1" applyAlignment="1">
      <alignment horizontal="center" vertical="center" wrapText="1"/>
    </xf>
    <xf numFmtId="0" fontId="15" fillId="4" borderId="7" xfId="0" applyFont="1" applyFill="1" applyBorder="1" applyAlignment="1">
      <alignment horizontal="left" vertical="center" wrapText="1"/>
    </xf>
    <xf numFmtId="164" fontId="3" fillId="4" borderId="7" xfId="1" applyNumberFormat="1" applyFont="1" applyFill="1" applyBorder="1" applyAlignment="1">
      <alignment horizontal="right" vertical="center"/>
    </xf>
    <xf numFmtId="3" fontId="3" fillId="4" borderId="7" xfId="0" applyNumberFormat="1" applyFont="1" applyFill="1" applyBorder="1" applyAlignment="1">
      <alignment horizontal="center" vertical="center"/>
    </xf>
    <xf numFmtId="0" fontId="28" fillId="4" borderId="12" xfId="0" applyFont="1" applyFill="1" applyBorder="1" applyAlignment="1">
      <alignment horizontal="center" vertical="center"/>
    </xf>
    <xf numFmtId="3" fontId="3" fillId="4" borderId="12" xfId="1" applyNumberFormat="1" applyFont="1" applyFill="1" applyBorder="1" applyAlignment="1">
      <alignment horizontal="right" vertical="center"/>
    </xf>
    <xf numFmtId="0" fontId="3" fillId="4" borderId="12" xfId="0" applyFont="1" applyFill="1" applyBorder="1" applyAlignment="1">
      <alignment horizontal="center" vertical="center" wrapText="1"/>
    </xf>
    <xf numFmtId="0" fontId="15" fillId="4" borderId="12" xfId="0" applyFont="1" applyFill="1" applyBorder="1" applyAlignment="1">
      <alignment horizontal="left" vertical="center" wrapText="1"/>
    </xf>
    <xf numFmtId="0" fontId="12" fillId="4" borderId="12" xfId="0" applyFont="1" applyFill="1" applyBorder="1" applyAlignment="1">
      <alignment horizontal="center" vertical="center"/>
    </xf>
    <xf numFmtId="164" fontId="3" fillId="4" borderId="25" xfId="1" applyNumberFormat="1" applyFont="1" applyFill="1" applyBorder="1" applyAlignment="1">
      <alignment horizontal="right" vertical="center"/>
    </xf>
    <xf numFmtId="3" fontId="3" fillId="4" borderId="12" xfId="0" applyNumberFormat="1" applyFont="1" applyFill="1" applyBorder="1" applyAlignment="1">
      <alignment horizontal="center" vertical="center"/>
    </xf>
    <xf numFmtId="0" fontId="12" fillId="4" borderId="7" xfId="0" applyFont="1" applyFill="1" applyBorder="1" applyAlignment="1">
      <alignment horizontal="center" vertical="center" wrapText="1"/>
    </xf>
    <xf numFmtId="3" fontId="15" fillId="6" borderId="5" xfId="1" applyNumberFormat="1" applyFont="1" applyFill="1" applyBorder="1" applyAlignment="1">
      <alignment horizontal="right" vertical="center"/>
    </xf>
    <xf numFmtId="0" fontId="15" fillId="6" borderId="5" xfId="0" applyFont="1" applyFill="1" applyBorder="1" applyAlignment="1">
      <alignment horizontal="center" vertical="center" wrapText="1"/>
    </xf>
    <xf numFmtId="164" fontId="3" fillId="6" borderId="5" xfId="1" applyNumberFormat="1" applyFont="1" applyFill="1" applyBorder="1" applyAlignment="1">
      <alignment horizontal="right" vertical="center"/>
    </xf>
    <xf numFmtId="3" fontId="3" fillId="6" borderId="5" xfId="0" applyNumberFormat="1" applyFont="1" applyFill="1" applyBorder="1" applyAlignment="1">
      <alignment horizontal="center" vertical="center"/>
    </xf>
    <xf numFmtId="0" fontId="16" fillId="6" borderId="5" xfId="0" applyFont="1" applyFill="1" applyBorder="1" applyAlignment="1">
      <alignment horizontal="left" vertical="center" wrapText="1"/>
    </xf>
    <xf numFmtId="164" fontId="3" fillId="0" borderId="5" xfId="1" applyNumberFormat="1" applyFont="1" applyBorder="1" applyAlignment="1">
      <alignment horizontal="right" vertical="center"/>
    </xf>
    <xf numFmtId="0" fontId="15" fillId="6" borderId="5" xfId="0" applyFont="1" applyFill="1" applyBorder="1" applyAlignment="1">
      <alignment horizontal="left" vertical="center" wrapText="1"/>
    </xf>
    <xf numFmtId="3" fontId="3" fillId="0" borderId="8" xfId="1" applyNumberFormat="1" applyFont="1" applyBorder="1" applyAlignment="1">
      <alignment horizontal="center" vertical="center"/>
    </xf>
    <xf numFmtId="0" fontId="15" fillId="6" borderId="5" xfId="0" applyFont="1" applyFill="1" applyBorder="1" applyAlignment="1">
      <alignment horizontal="left" vertical="top" wrapText="1"/>
    </xf>
    <xf numFmtId="3" fontId="3" fillId="6" borderId="16" xfId="0" applyNumberFormat="1" applyFont="1" applyFill="1" applyBorder="1" applyAlignment="1">
      <alignment horizontal="right" vertical="center"/>
    </xf>
    <xf numFmtId="0" fontId="43" fillId="6" borderId="5" xfId="0" applyFont="1" applyFill="1" applyBorder="1" applyAlignment="1">
      <alignment horizontal="center" vertical="center" wrapText="1"/>
    </xf>
    <xf numFmtId="3" fontId="3" fillId="6" borderId="0" xfId="0" applyNumberFormat="1" applyFont="1" applyFill="1" applyAlignment="1">
      <alignment horizontal="right" vertical="center"/>
    </xf>
    <xf numFmtId="3" fontId="3" fillId="0" borderId="5" xfId="1" applyNumberFormat="1" applyFont="1" applyBorder="1" applyAlignment="1">
      <alignment horizontal="right" vertical="center"/>
    </xf>
    <xf numFmtId="164" fontId="19" fillId="0" borderId="16" xfId="0" applyNumberFormat="1" applyFont="1" applyBorder="1" applyAlignment="1">
      <alignment horizontal="center" vertical="center" wrapText="1"/>
    </xf>
    <xf numFmtId="0" fontId="28" fillId="4" borderId="5" xfId="0" applyFont="1" applyFill="1" applyBorder="1" applyAlignment="1">
      <alignment horizontal="center" vertical="center"/>
    </xf>
    <xf numFmtId="3" fontId="3" fillId="4" borderId="5" xfId="1" applyNumberFormat="1" applyFont="1" applyFill="1" applyBorder="1" applyAlignment="1">
      <alignment horizontal="right" vertical="center"/>
    </xf>
    <xf numFmtId="0" fontId="15" fillId="4" borderId="5" xfId="0" applyFont="1" applyFill="1" applyBorder="1" applyAlignment="1">
      <alignment horizontal="center" vertical="center" wrapText="1"/>
    </xf>
    <xf numFmtId="0" fontId="15" fillId="4" borderId="5" xfId="0" applyFont="1" applyFill="1" applyBorder="1" applyAlignment="1">
      <alignment horizontal="center" vertical="center"/>
    </xf>
    <xf numFmtId="0" fontId="47" fillId="4" borderId="5" xfId="0" applyFont="1" applyFill="1" applyBorder="1" applyAlignment="1">
      <alignment horizontal="center" vertical="center" wrapText="1"/>
    </xf>
    <xf numFmtId="164" fontId="3" fillId="4" borderId="5" xfId="1" applyNumberFormat="1" applyFont="1" applyFill="1" applyBorder="1" applyAlignment="1">
      <alignment horizontal="right" vertical="center"/>
    </xf>
    <xf numFmtId="164" fontId="3" fillId="0" borderId="4" xfId="1" applyNumberFormat="1" applyFont="1" applyBorder="1" applyAlignment="1">
      <alignment horizontal="right" vertical="center"/>
    </xf>
    <xf numFmtId="3" fontId="3" fillId="0" borderId="5" xfId="0" applyNumberFormat="1" applyFont="1" applyBorder="1" applyAlignment="1">
      <alignment horizontal="center" vertical="center"/>
    </xf>
    <xf numFmtId="0" fontId="12" fillId="4" borderId="5" xfId="0" applyFont="1" applyFill="1" applyBorder="1" applyAlignment="1">
      <alignment horizontal="center" vertical="center" wrapText="1"/>
    </xf>
    <xf numFmtId="0" fontId="15" fillId="0" borderId="5" xfId="0" applyFont="1" applyBorder="1" applyAlignment="1">
      <alignment horizontal="left" vertical="center" wrapText="1"/>
    </xf>
    <xf numFmtId="0" fontId="15" fillId="0" borderId="5" xfId="0" applyFont="1" applyBorder="1" applyAlignment="1">
      <alignment horizontal="center" vertical="center" wrapText="1"/>
    </xf>
    <xf numFmtId="0" fontId="9" fillId="4" borderId="7" xfId="0" applyFont="1" applyFill="1" applyBorder="1" applyAlignment="1">
      <alignment vertical="center" wrapText="1"/>
    </xf>
    <xf numFmtId="0" fontId="9" fillId="4" borderId="5" xfId="0" applyFont="1" applyFill="1" applyBorder="1" applyAlignment="1">
      <alignment horizontal="center" vertical="center" wrapText="1"/>
    </xf>
    <xf numFmtId="3" fontId="3" fillId="4" borderId="5" xfId="0" applyNumberFormat="1" applyFont="1" applyFill="1" applyBorder="1" applyAlignment="1">
      <alignment horizontal="center" vertical="center"/>
    </xf>
    <xf numFmtId="3" fontId="43" fillId="4" borderId="5" xfId="0" applyNumberFormat="1" applyFont="1" applyFill="1" applyBorder="1" applyAlignment="1">
      <alignment horizontal="center" vertical="center"/>
    </xf>
    <xf numFmtId="0" fontId="28" fillId="13" borderId="5" xfId="0" applyFont="1" applyFill="1" applyBorder="1" applyAlignment="1">
      <alignment horizontal="center" vertical="center"/>
    </xf>
    <xf numFmtId="0" fontId="3" fillId="13" borderId="5" xfId="0" applyFont="1" applyFill="1" applyBorder="1" applyAlignment="1">
      <alignment horizontal="center" vertical="center"/>
    </xf>
    <xf numFmtId="3" fontId="3" fillId="13" borderId="5" xfId="1" applyNumberFormat="1" applyFont="1" applyFill="1" applyBorder="1" applyAlignment="1">
      <alignment horizontal="right" vertical="center"/>
    </xf>
    <xf numFmtId="0" fontId="3" fillId="13" borderId="5" xfId="0" applyFont="1" applyFill="1" applyBorder="1" applyAlignment="1">
      <alignment horizontal="center" vertical="center" wrapText="1"/>
    </xf>
    <xf numFmtId="0" fontId="15" fillId="13" borderId="5" xfId="0" applyFont="1" applyFill="1" applyBorder="1" applyAlignment="1">
      <alignment horizontal="center" vertical="center"/>
    </xf>
    <xf numFmtId="0" fontId="3" fillId="13" borderId="5" xfId="0" applyFont="1" applyFill="1" applyBorder="1" applyAlignment="1">
      <alignment horizontal="left" vertical="center" wrapText="1"/>
    </xf>
    <xf numFmtId="3" fontId="3" fillId="13" borderId="5" xfId="0" applyNumberFormat="1" applyFont="1" applyFill="1" applyBorder="1" applyAlignment="1">
      <alignment horizontal="center" vertical="center"/>
    </xf>
    <xf numFmtId="164" fontId="3" fillId="13" borderId="4" xfId="1" applyNumberFormat="1" applyFont="1" applyFill="1" applyBorder="1" applyAlignment="1">
      <alignment horizontal="right" vertical="center"/>
    </xf>
    <xf numFmtId="164" fontId="3" fillId="0" borderId="5" xfId="1" applyNumberFormat="1" applyFont="1" applyBorder="1" applyAlignment="1">
      <alignment horizontal="center" vertical="center"/>
    </xf>
    <xf numFmtId="3" fontId="3" fillId="6" borderId="5" xfId="1" applyNumberFormat="1" applyFont="1" applyFill="1" applyBorder="1" applyAlignment="1">
      <alignment horizontal="right" vertical="center"/>
    </xf>
    <xf numFmtId="0" fontId="12" fillId="6" borderId="5" xfId="0" applyFont="1" applyFill="1" applyBorder="1" applyAlignment="1">
      <alignment horizontal="center" vertical="center" wrapText="1"/>
    </xf>
    <xf numFmtId="0" fontId="5" fillId="6" borderId="5" xfId="0" applyFont="1" applyFill="1" applyBorder="1" applyAlignment="1">
      <alignment horizontal="center" vertical="center" wrapText="1"/>
    </xf>
    <xf numFmtId="3" fontId="5" fillId="6" borderId="5" xfId="0" applyNumberFormat="1" applyFont="1" applyFill="1" applyBorder="1" applyAlignment="1">
      <alignment horizontal="center" vertical="center" wrapText="1"/>
    </xf>
    <xf numFmtId="164" fontId="3" fillId="6" borderId="4" xfId="1" applyNumberFormat="1" applyFont="1" applyFill="1" applyBorder="1" applyAlignment="1">
      <alignment horizontal="right" vertical="center"/>
    </xf>
    <xf numFmtId="3" fontId="43" fillId="6" borderId="5" xfId="0" applyNumberFormat="1" applyFont="1" applyFill="1" applyBorder="1" applyAlignment="1">
      <alignment horizontal="center" vertical="center"/>
    </xf>
    <xf numFmtId="0" fontId="15" fillId="4" borderId="5" xfId="0" applyFont="1" applyFill="1" applyBorder="1" applyAlignment="1">
      <alignment horizontal="left" vertical="center" wrapText="1"/>
    </xf>
    <xf numFmtId="0" fontId="0" fillId="6" borderId="0" xfId="0" applyFill="1"/>
    <xf numFmtId="0" fontId="10" fillId="6" borderId="5" xfId="0" applyFont="1" applyFill="1" applyBorder="1" applyAlignment="1">
      <alignment horizontal="center" vertical="center" wrapText="1"/>
    </xf>
    <xf numFmtId="0" fontId="15" fillId="6" borderId="7" xfId="0" applyFont="1" applyFill="1" applyBorder="1" applyAlignment="1">
      <alignment horizontal="center" vertical="center"/>
    </xf>
    <xf numFmtId="3" fontId="15" fillId="6" borderId="7" xfId="1" applyNumberFormat="1" applyFont="1" applyFill="1" applyBorder="1" applyAlignment="1">
      <alignment horizontal="right" vertical="center"/>
    </xf>
    <xf numFmtId="0" fontId="15" fillId="6" borderId="7" xfId="0" applyFont="1" applyFill="1" applyBorder="1" applyAlignment="1">
      <alignment horizontal="center" vertical="center" wrapText="1"/>
    </xf>
    <xf numFmtId="0" fontId="16" fillId="6" borderId="7" xfId="0" applyFont="1" applyFill="1" applyBorder="1" applyAlignment="1">
      <alignment horizontal="center" vertical="center" wrapText="1"/>
    </xf>
    <xf numFmtId="164" fontId="15" fillId="6" borderId="7" xfId="1" applyNumberFormat="1" applyFont="1" applyFill="1" applyBorder="1" applyAlignment="1">
      <alignment horizontal="right" vertical="center"/>
    </xf>
    <xf numFmtId="3" fontId="15" fillId="6" borderId="7" xfId="0" applyNumberFormat="1" applyFont="1" applyFill="1" applyBorder="1" applyAlignment="1">
      <alignment horizontal="center" vertical="center"/>
    </xf>
    <xf numFmtId="3" fontId="3" fillId="6" borderId="7" xfId="1" applyNumberFormat="1" applyFont="1" applyFill="1" applyBorder="1" applyAlignment="1">
      <alignment horizontal="right" vertical="center"/>
    </xf>
    <xf numFmtId="0" fontId="3" fillId="6" borderId="7" xfId="0" applyFont="1" applyFill="1" applyBorder="1" applyAlignment="1">
      <alignment horizontal="center" vertical="center" wrapText="1"/>
    </xf>
    <xf numFmtId="0" fontId="22" fillId="6" borderId="7" xfId="0" applyFont="1" applyFill="1" applyBorder="1" applyAlignment="1">
      <alignment horizontal="left" vertical="center" wrapText="1"/>
    </xf>
    <xf numFmtId="0" fontId="9" fillId="6" borderId="7" xfId="0" applyFont="1" applyFill="1" applyBorder="1" applyAlignment="1">
      <alignment horizontal="center" vertical="center" wrapText="1"/>
    </xf>
    <xf numFmtId="164" fontId="3" fillId="6" borderId="7" xfId="1" applyNumberFormat="1" applyFont="1" applyFill="1" applyBorder="1" applyAlignment="1">
      <alignment horizontal="right" vertical="center"/>
    </xf>
    <xf numFmtId="3" fontId="3" fillId="6" borderId="7" xfId="0" applyNumberFormat="1" applyFont="1" applyFill="1" applyBorder="1" applyAlignment="1">
      <alignment horizontal="center" vertical="center"/>
    </xf>
    <xf numFmtId="164" fontId="3" fillId="13" borderId="5" xfId="1" applyNumberFormat="1" applyFont="1" applyFill="1" applyBorder="1" applyAlignment="1">
      <alignment horizontal="right" vertical="center"/>
    </xf>
    <xf numFmtId="3" fontId="3" fillId="6" borderId="2" xfId="1" applyNumberFormat="1" applyFont="1" applyFill="1" applyBorder="1" applyAlignment="1">
      <alignment horizontal="right" vertical="center"/>
    </xf>
    <xf numFmtId="0" fontId="10" fillId="6" borderId="4" xfId="0" applyFont="1" applyFill="1" applyBorder="1" applyAlignment="1">
      <alignment horizontal="center" vertical="center" wrapText="1"/>
    </xf>
    <xf numFmtId="0" fontId="8" fillId="6" borderId="5" xfId="0" applyFont="1" applyFill="1" applyBorder="1" applyAlignment="1">
      <alignment horizontal="center" vertical="center" wrapText="1"/>
    </xf>
    <xf numFmtId="0" fontId="23" fillId="6" borderId="7" xfId="0" applyFont="1" applyFill="1" applyBorder="1" applyAlignment="1">
      <alignment horizontal="left" vertical="center" wrapText="1"/>
    </xf>
    <xf numFmtId="16" fontId="3" fillId="6" borderId="5" xfId="0" applyNumberFormat="1" applyFont="1" applyFill="1" applyBorder="1" applyAlignment="1">
      <alignment horizontal="center" vertical="center" wrapText="1"/>
    </xf>
    <xf numFmtId="0" fontId="9" fillId="0" borderId="5" xfId="0" applyFont="1" applyBorder="1" applyAlignment="1">
      <alignment vertical="center" wrapText="1"/>
    </xf>
    <xf numFmtId="16" fontId="3" fillId="4" borderId="5" xfId="0" applyNumberFormat="1" applyFont="1" applyFill="1" applyBorder="1" applyAlignment="1">
      <alignment horizontal="center" vertical="center" wrapText="1"/>
    </xf>
    <xf numFmtId="3" fontId="10" fillId="4" borderId="5" xfId="0" applyNumberFormat="1" applyFont="1" applyFill="1" applyBorder="1" applyAlignment="1">
      <alignment horizontal="center" vertical="center" wrapText="1"/>
    </xf>
    <xf numFmtId="3" fontId="3" fillId="0" borderId="5" xfId="0" applyNumberFormat="1" applyFont="1" applyBorder="1" applyAlignment="1">
      <alignment horizontal="center" vertical="center" wrapText="1"/>
    </xf>
    <xf numFmtId="3" fontId="3" fillId="0" borderId="7" xfId="1" applyNumberFormat="1" applyFont="1" applyBorder="1" applyAlignment="1">
      <alignment horizontal="right" vertical="center"/>
    </xf>
    <xf numFmtId="3" fontId="3" fillId="0" borderId="7" xfId="0" applyNumberFormat="1" applyFont="1" applyBorder="1" applyAlignment="1">
      <alignment horizontal="center" vertical="center" wrapText="1"/>
    </xf>
    <xf numFmtId="16" fontId="3" fillId="6" borderId="7" xfId="0" applyNumberFormat="1" applyFont="1" applyFill="1" applyBorder="1" applyAlignment="1">
      <alignment horizontal="center" vertical="center" wrapText="1"/>
    </xf>
    <xf numFmtId="3" fontId="9" fillId="6" borderId="7" xfId="0" applyNumberFormat="1" applyFont="1" applyFill="1" applyBorder="1" applyAlignment="1">
      <alignment horizontal="center" vertical="center" wrapText="1"/>
    </xf>
    <xf numFmtId="3" fontId="10" fillId="6" borderId="7" xfId="0" applyNumberFormat="1" applyFont="1" applyFill="1" applyBorder="1" applyAlignment="1">
      <alignment horizontal="center" vertical="center" wrapText="1"/>
    </xf>
    <xf numFmtId="0" fontId="28" fillId="0" borderId="12" xfId="0" applyFont="1" applyBorder="1" applyAlignment="1">
      <alignment horizontal="center" vertical="center"/>
    </xf>
    <xf numFmtId="0" fontId="9" fillId="0" borderId="12" xfId="0" applyFont="1" applyBorder="1" applyAlignment="1">
      <alignment vertical="center" wrapText="1"/>
    </xf>
    <xf numFmtId="0" fontId="11" fillId="0" borderId="12" xfId="0" applyFont="1" applyBorder="1" applyAlignment="1">
      <alignment horizontal="left" vertical="center" wrapText="1"/>
    </xf>
    <xf numFmtId="164" fontId="3" fillId="0" borderId="12" xfId="1" applyNumberFormat="1" applyFont="1" applyBorder="1" applyAlignment="1">
      <alignment horizontal="right" vertical="center"/>
    </xf>
    <xf numFmtId="0" fontId="7" fillId="0" borderId="2" xfId="0" applyFont="1" applyBorder="1" applyAlignment="1">
      <alignment horizontal="center" vertical="center"/>
    </xf>
    <xf numFmtId="164" fontId="5" fillId="0" borderId="0" xfId="1" applyNumberFormat="1" applyFont="1" applyBorder="1" applyAlignment="1">
      <alignment horizontal="left" vertical="center"/>
    </xf>
    <xf numFmtId="165" fontId="20" fillId="0" borderId="5" xfId="1" applyNumberFormat="1" applyFont="1" applyBorder="1" applyAlignment="1">
      <alignment vertical="center"/>
    </xf>
    <xf numFmtId="0" fontId="11" fillId="0" borderId="5" xfId="0" applyFont="1" applyBorder="1" applyAlignment="1">
      <alignment horizontal="left" vertical="center" wrapText="1"/>
    </xf>
    <xf numFmtId="0" fontId="48" fillId="0" borderId="12" xfId="0" applyFont="1" applyBorder="1" applyAlignment="1">
      <alignment horizontal="center" vertical="center"/>
    </xf>
    <xf numFmtId="0" fontId="15" fillId="6" borderId="7" xfId="0" applyFont="1" applyFill="1" applyBorder="1" applyAlignment="1">
      <alignment horizontal="left" vertical="center" wrapText="1"/>
    </xf>
    <xf numFmtId="0" fontId="10" fillId="6" borderId="7" xfId="0" applyFont="1" applyFill="1" applyBorder="1" applyAlignment="1">
      <alignment horizontal="center" vertical="center" wrapText="1"/>
    </xf>
    <xf numFmtId="0" fontId="9" fillId="6" borderId="5" xfId="0" applyFont="1" applyFill="1" applyBorder="1" applyAlignment="1">
      <alignment vertical="center" wrapText="1"/>
    </xf>
    <xf numFmtId="3" fontId="3" fillId="6" borderId="5" xfId="0" applyNumberFormat="1" applyFont="1" applyFill="1" applyBorder="1" applyAlignment="1">
      <alignment horizontal="center" vertical="center" wrapText="1"/>
    </xf>
    <xf numFmtId="3" fontId="9" fillId="6" borderId="5" xfId="0" applyNumberFormat="1" applyFont="1" applyFill="1" applyBorder="1" applyAlignment="1">
      <alignment horizontal="center" vertical="center" wrapText="1"/>
    </xf>
    <xf numFmtId="3" fontId="3" fillId="0" borderId="5" xfId="1" applyNumberFormat="1" applyFont="1" applyBorder="1" applyAlignment="1">
      <alignment horizontal="center" vertical="center"/>
    </xf>
    <xf numFmtId="0" fontId="8" fillId="16" borderId="5" xfId="0" applyFont="1" applyFill="1" applyBorder="1" applyAlignment="1">
      <alignment vertical="center" wrapText="1"/>
    </xf>
    <xf numFmtId="0" fontId="8" fillId="0" borderId="5" xfId="0" applyFont="1" applyBorder="1" applyAlignment="1">
      <alignment vertical="center" wrapText="1"/>
    </xf>
    <xf numFmtId="16" fontId="3" fillId="0" borderId="5" xfId="0" applyNumberFormat="1" applyFont="1" applyBorder="1" applyAlignment="1">
      <alignment horizontal="center" vertical="center" wrapText="1"/>
    </xf>
    <xf numFmtId="0" fontId="3" fillId="4" borderId="7" xfId="0" applyFont="1" applyFill="1" applyBorder="1" applyAlignment="1">
      <alignment horizontal="center" vertical="center"/>
    </xf>
    <xf numFmtId="3" fontId="3" fillId="4" borderId="7" xfId="1" applyNumberFormat="1" applyFont="1" applyFill="1" applyBorder="1" applyAlignment="1">
      <alignment horizontal="right" vertical="center"/>
    </xf>
    <xf numFmtId="16" fontId="3" fillId="4" borderId="7" xfId="0" applyNumberFormat="1" applyFont="1" applyFill="1" applyBorder="1" applyAlignment="1">
      <alignment horizontal="center" vertical="center" wrapText="1"/>
    </xf>
    <xf numFmtId="0" fontId="3" fillId="4" borderId="7" xfId="0" applyFont="1" applyFill="1" applyBorder="1" applyAlignment="1">
      <alignment horizontal="center" vertical="center" wrapText="1"/>
    </xf>
    <xf numFmtId="14" fontId="3" fillId="4" borderId="7" xfId="0" applyNumberFormat="1" applyFont="1" applyFill="1" applyBorder="1" applyAlignment="1">
      <alignment horizontal="center" vertical="center" wrapText="1"/>
    </xf>
    <xf numFmtId="0" fontId="10" fillId="4" borderId="7" xfId="0" applyFont="1" applyFill="1" applyBorder="1" applyAlignment="1">
      <alignment horizontal="center" vertical="center" wrapText="1"/>
    </xf>
    <xf numFmtId="14" fontId="3" fillId="6" borderId="7" xfId="0" applyNumberFormat="1" applyFont="1" applyFill="1" applyBorder="1" applyAlignment="1">
      <alignment horizontal="center" vertical="center" wrapText="1"/>
    </xf>
    <xf numFmtId="0" fontId="9" fillId="6" borderId="7" xfId="0" applyFont="1" applyFill="1" applyBorder="1" applyAlignment="1">
      <alignment vertical="center" wrapText="1"/>
    </xf>
    <xf numFmtId="16" fontId="9" fillId="6" borderId="7" xfId="0" applyNumberFormat="1" applyFont="1" applyFill="1" applyBorder="1" applyAlignment="1">
      <alignment vertical="center" wrapText="1"/>
    </xf>
    <xf numFmtId="3" fontId="3" fillId="6" borderId="7" xfId="0" applyNumberFormat="1" applyFont="1" applyFill="1" applyBorder="1" applyAlignment="1">
      <alignment horizontal="center" vertical="center" wrapText="1"/>
    </xf>
    <xf numFmtId="0" fontId="16" fillId="4" borderId="12" xfId="0" applyFont="1" applyFill="1" applyBorder="1" applyAlignment="1">
      <alignment horizontal="center" vertical="center" wrapText="1"/>
    </xf>
    <xf numFmtId="0" fontId="9" fillId="4" borderId="12" xfId="0" applyFont="1" applyFill="1" applyBorder="1" applyAlignment="1">
      <alignment vertical="center" wrapText="1"/>
    </xf>
    <xf numFmtId="0" fontId="15" fillId="4" borderId="12" xfId="0" applyFont="1" applyFill="1" applyBorder="1" applyAlignment="1">
      <alignment horizontal="center" vertical="center"/>
    </xf>
    <xf numFmtId="0" fontId="11" fillId="4" borderId="12" xfId="0" applyFont="1" applyFill="1" applyBorder="1" applyAlignment="1">
      <alignment horizontal="left" vertical="center" wrapText="1"/>
    </xf>
    <xf numFmtId="3" fontId="48" fillId="4" borderId="12" xfId="0" applyNumberFormat="1" applyFont="1" applyFill="1" applyBorder="1" applyAlignment="1">
      <alignment horizontal="center" vertical="center"/>
    </xf>
    <xf numFmtId="3" fontId="3" fillId="4" borderId="7" xfId="0" applyNumberFormat="1" applyFont="1" applyFill="1" applyBorder="1" applyAlignment="1">
      <alignment horizontal="center" vertical="center" wrapText="1"/>
    </xf>
    <xf numFmtId="164" fontId="3" fillId="4" borderId="12" xfId="1" applyNumberFormat="1" applyFont="1" applyFill="1" applyBorder="1" applyAlignment="1">
      <alignment horizontal="right" vertical="center"/>
    </xf>
    <xf numFmtId="0" fontId="48" fillId="4" borderId="12" xfId="0" applyFont="1" applyFill="1" applyBorder="1" applyAlignment="1">
      <alignment horizontal="center" vertical="center"/>
    </xf>
    <xf numFmtId="0" fontId="15" fillId="6" borderId="11" xfId="0" applyFont="1" applyFill="1" applyBorder="1" applyAlignment="1">
      <alignment horizontal="center" vertical="center"/>
    </xf>
    <xf numFmtId="0" fontId="8" fillId="6" borderId="5" xfId="0" applyFont="1" applyFill="1" applyBorder="1" applyAlignment="1">
      <alignment vertical="center" wrapText="1"/>
    </xf>
    <xf numFmtId="0" fontId="11" fillId="6" borderId="5" xfId="0" applyFont="1" applyFill="1" applyBorder="1" applyAlignment="1">
      <alignment horizontal="center" vertical="center" wrapText="1"/>
    </xf>
    <xf numFmtId="0" fontId="16" fillId="6" borderId="9" xfId="0" applyFont="1" applyFill="1" applyBorder="1" applyAlignment="1">
      <alignment horizontal="center" vertical="center" wrapText="1"/>
    </xf>
    <xf numFmtId="0" fontId="49" fillId="6" borderId="5" xfId="0" applyFont="1" applyFill="1" applyBorder="1" applyAlignment="1">
      <alignment horizontal="center" vertical="center" wrapText="1"/>
    </xf>
    <xf numFmtId="0" fontId="49" fillId="6" borderId="7" xfId="0" applyFont="1" applyFill="1" applyBorder="1" applyAlignment="1">
      <alignment horizontal="center" vertical="center" wrapText="1"/>
    </xf>
    <xf numFmtId="0" fontId="8" fillId="6" borderId="7" xfId="0" applyFont="1" applyFill="1" applyBorder="1" applyAlignment="1">
      <alignment vertical="center" wrapText="1"/>
    </xf>
    <xf numFmtId="0" fontId="12" fillId="6" borderId="7" xfId="0" applyFont="1" applyFill="1" applyBorder="1" applyAlignment="1">
      <alignment horizontal="center" vertical="center" wrapText="1"/>
    </xf>
    <xf numFmtId="0" fontId="8" fillId="4" borderId="5" xfId="0" applyFont="1" applyFill="1" applyBorder="1" applyAlignment="1">
      <alignment horizontal="center" vertical="center" wrapText="1"/>
    </xf>
    <xf numFmtId="0" fontId="8" fillId="4" borderId="5" xfId="0" applyFont="1" applyFill="1" applyBorder="1" applyAlignment="1">
      <alignment vertical="center" wrapText="1"/>
    </xf>
    <xf numFmtId="0" fontId="43" fillId="4" borderId="5" xfId="0" applyFont="1" applyFill="1" applyBorder="1" applyAlignment="1">
      <alignment horizontal="center" vertical="center" wrapText="1"/>
    </xf>
    <xf numFmtId="3" fontId="3" fillId="4" borderId="5" xfId="0" applyNumberFormat="1" applyFont="1" applyFill="1" applyBorder="1" applyAlignment="1">
      <alignment horizontal="center" vertical="center" wrapText="1"/>
    </xf>
    <xf numFmtId="0" fontId="8" fillId="6" borderId="7" xfId="0" applyFont="1" applyFill="1" applyBorder="1" applyAlignment="1">
      <alignment horizontal="center" vertical="center" wrapText="1"/>
    </xf>
    <xf numFmtId="0" fontId="48" fillId="6" borderId="7" xfId="0" applyFont="1" applyFill="1" applyBorder="1" applyAlignment="1">
      <alignment horizontal="center" vertical="center" wrapText="1"/>
    </xf>
    <xf numFmtId="3" fontId="3" fillId="0" borderId="0" xfId="1" applyNumberFormat="1" applyFont="1" applyFill="1" applyBorder="1" applyAlignment="1">
      <alignment horizontal="right" vertical="center"/>
    </xf>
    <xf numFmtId="0" fontId="8" fillId="0" borderId="0" xfId="0" applyFont="1" applyAlignment="1">
      <alignment horizontal="center" vertical="center" wrapText="1"/>
    </xf>
    <xf numFmtId="3" fontId="3" fillId="0" borderId="0" xfId="0" applyNumberFormat="1" applyFont="1" applyAlignment="1">
      <alignment horizontal="center" vertical="center"/>
    </xf>
    <xf numFmtId="0" fontId="3" fillId="6" borderId="2" xfId="0" applyFont="1" applyFill="1" applyBorder="1" applyAlignment="1">
      <alignment horizontal="center" vertical="center" wrapText="1"/>
    </xf>
    <xf numFmtId="0" fontId="3" fillId="6" borderId="4" xfId="0" applyFont="1" applyFill="1" applyBorder="1" applyAlignment="1">
      <alignment horizontal="center" vertical="center" wrapText="1"/>
    </xf>
    <xf numFmtId="3" fontId="15" fillId="6" borderId="18" xfId="1" applyNumberFormat="1" applyFont="1" applyFill="1" applyBorder="1" applyAlignment="1">
      <alignment horizontal="right" vertical="center"/>
    </xf>
    <xf numFmtId="164" fontId="15" fillId="6" borderId="18" xfId="1" applyNumberFormat="1" applyFont="1" applyFill="1" applyBorder="1" applyAlignment="1">
      <alignment horizontal="right" vertical="center"/>
    </xf>
    <xf numFmtId="3" fontId="3" fillId="0" borderId="5" xfId="1" applyNumberFormat="1" applyFont="1" applyFill="1" applyBorder="1" applyAlignment="1">
      <alignment horizontal="right" vertical="center"/>
    </xf>
    <xf numFmtId="0" fontId="8" fillId="0" borderId="5" xfId="0" applyFont="1" applyBorder="1" applyAlignment="1">
      <alignment horizontal="center" vertical="center" wrapText="1"/>
    </xf>
    <xf numFmtId="164" fontId="3" fillId="0" borderId="5" xfId="1" applyNumberFormat="1" applyFont="1" applyFill="1" applyBorder="1" applyAlignment="1">
      <alignment horizontal="right" vertical="center"/>
    </xf>
    <xf numFmtId="164" fontId="19" fillId="0" borderId="23" xfId="0" applyNumberFormat="1" applyFont="1" applyBorder="1" applyAlignment="1">
      <alignment horizontal="center" vertical="center" wrapText="1"/>
    </xf>
    <xf numFmtId="0" fontId="28" fillId="22" borderId="5" xfId="0" applyFont="1" applyFill="1" applyBorder="1" applyAlignment="1">
      <alignment horizontal="center" vertical="center"/>
    </xf>
    <xf numFmtId="0" fontId="3" fillId="22" borderId="5" xfId="0" applyFont="1" applyFill="1" applyBorder="1" applyAlignment="1">
      <alignment horizontal="center" vertical="center"/>
    </xf>
    <xf numFmtId="3" fontId="3" fillId="22" borderId="5" xfId="1" applyNumberFormat="1" applyFont="1" applyFill="1" applyBorder="1" applyAlignment="1">
      <alignment horizontal="right" vertical="center"/>
    </xf>
    <xf numFmtId="0" fontId="3" fillId="22" borderId="5" xfId="0" applyFont="1" applyFill="1" applyBorder="1" applyAlignment="1">
      <alignment horizontal="center" vertical="center" wrapText="1"/>
    </xf>
    <xf numFmtId="0" fontId="8" fillId="22" borderId="5" xfId="0" applyFont="1" applyFill="1" applyBorder="1" applyAlignment="1">
      <alignment horizontal="center" vertical="center" wrapText="1"/>
    </xf>
    <xf numFmtId="0" fontId="15" fillId="22" borderId="5" xfId="0" applyFont="1" applyFill="1" applyBorder="1" applyAlignment="1">
      <alignment horizontal="center" vertical="center"/>
    </xf>
    <xf numFmtId="0" fontId="12" fillId="22" borderId="5" xfId="0" applyFont="1" applyFill="1" applyBorder="1" applyAlignment="1">
      <alignment horizontal="center" vertical="center" wrapText="1"/>
    </xf>
    <xf numFmtId="164" fontId="3" fillId="22" borderId="5" xfId="1" applyNumberFormat="1" applyFont="1" applyFill="1" applyBorder="1" applyAlignment="1">
      <alignment horizontal="right" vertical="center"/>
    </xf>
    <xf numFmtId="0" fontId="3" fillId="22" borderId="0" xfId="0" applyFont="1" applyFill="1" applyAlignment="1">
      <alignment horizontal="center" vertical="center"/>
    </xf>
    <xf numFmtId="0" fontId="3" fillId="22" borderId="0" xfId="0" applyFont="1" applyFill="1" applyAlignment="1">
      <alignment vertical="center"/>
    </xf>
    <xf numFmtId="0" fontId="3" fillId="22" borderId="5" xfId="0" applyFont="1" applyFill="1" applyBorder="1" applyAlignment="1">
      <alignment horizontal="left" vertical="center" wrapText="1"/>
    </xf>
    <xf numFmtId="0" fontId="11" fillId="6" borderId="12" xfId="0" applyFont="1" applyFill="1" applyBorder="1" applyAlignment="1">
      <alignment horizontal="left" vertical="center" wrapText="1"/>
    </xf>
    <xf numFmtId="0" fontId="11" fillId="6" borderId="7" xfId="0" applyFont="1" applyFill="1" applyBorder="1" applyAlignment="1">
      <alignment horizontal="left" vertical="center" wrapText="1"/>
    </xf>
    <xf numFmtId="3" fontId="50" fillId="6" borderId="5" xfId="0" applyNumberFormat="1" applyFont="1" applyFill="1" applyBorder="1" applyAlignment="1">
      <alignment horizontal="center" vertical="center" wrapText="1"/>
    </xf>
    <xf numFmtId="14" fontId="3" fillId="6" borderId="5" xfId="0" applyNumberFormat="1" applyFont="1" applyFill="1" applyBorder="1" applyAlignment="1">
      <alignment horizontal="center" vertical="center" wrapText="1"/>
    </xf>
    <xf numFmtId="3" fontId="48" fillId="6" borderId="5" xfId="0" applyNumberFormat="1" applyFont="1" applyFill="1" applyBorder="1" applyAlignment="1">
      <alignment horizontal="center" vertical="center"/>
    </xf>
    <xf numFmtId="3" fontId="12" fillId="6" borderId="5" xfId="0" applyNumberFormat="1" applyFont="1" applyFill="1" applyBorder="1" applyAlignment="1">
      <alignment horizontal="center" vertical="center" wrapText="1"/>
    </xf>
    <xf numFmtId="14" fontId="3" fillId="4" borderId="5" xfId="0" applyNumberFormat="1" applyFont="1" applyFill="1" applyBorder="1" applyAlignment="1">
      <alignment horizontal="center" vertical="center" wrapText="1"/>
    </xf>
    <xf numFmtId="0" fontId="8" fillId="4" borderId="7" xfId="0" applyFont="1" applyFill="1" applyBorder="1" applyAlignment="1">
      <alignment horizontal="center" vertical="center" wrapText="1"/>
    </xf>
    <xf numFmtId="0" fontId="15" fillId="4" borderId="9" xfId="0" applyFont="1" applyFill="1" applyBorder="1" applyAlignment="1">
      <alignment horizontal="center" vertical="center"/>
    </xf>
    <xf numFmtId="0" fontId="3" fillId="4" borderId="11" xfId="0" applyFont="1" applyFill="1" applyBorder="1" applyAlignment="1">
      <alignment horizontal="left" vertical="center" wrapText="1"/>
    </xf>
    <xf numFmtId="3" fontId="48" fillId="4" borderId="7" xfId="0" applyNumberFormat="1" applyFont="1" applyFill="1" applyBorder="1" applyAlignment="1">
      <alignment horizontal="center" vertical="center" wrapText="1"/>
    </xf>
    <xf numFmtId="3" fontId="50" fillId="6" borderId="7" xfId="0" applyNumberFormat="1" applyFont="1" applyFill="1" applyBorder="1" applyAlignment="1">
      <alignment horizontal="center" vertical="center" wrapText="1"/>
    </xf>
    <xf numFmtId="3" fontId="48" fillId="6" borderId="5" xfId="0" applyNumberFormat="1" applyFont="1" applyFill="1" applyBorder="1" applyAlignment="1">
      <alignment horizontal="center" vertical="center" wrapText="1"/>
    </xf>
    <xf numFmtId="0" fontId="9" fillId="6" borderId="5" xfId="0" applyFont="1" applyFill="1" applyBorder="1" applyAlignment="1">
      <alignment horizontal="center" vertical="center" wrapText="1"/>
    </xf>
    <xf numFmtId="0" fontId="51" fillId="6" borderId="5" xfId="0" applyFont="1" applyFill="1" applyBorder="1" applyAlignment="1">
      <alignment horizontal="center" vertical="center" wrapText="1"/>
    </xf>
    <xf numFmtId="0" fontId="52" fillId="0" borderId="0" xfId="0" applyFont="1" applyAlignment="1">
      <alignment vertical="center" wrapText="1"/>
    </xf>
    <xf numFmtId="3" fontId="21" fillId="2" borderId="5" xfId="1" applyNumberFormat="1" applyFont="1" applyFill="1" applyBorder="1" applyAlignment="1">
      <alignment horizontal="center" vertical="center" wrapText="1"/>
    </xf>
    <xf numFmtId="3" fontId="3" fillId="0" borderId="6" xfId="1" applyNumberFormat="1" applyFont="1" applyBorder="1" applyAlignment="1">
      <alignment horizontal="right" vertical="center"/>
    </xf>
    <xf numFmtId="0" fontId="3" fillId="0" borderId="6" xfId="0" applyFont="1" applyBorder="1" applyAlignment="1">
      <alignment horizontal="left" vertical="center"/>
    </xf>
    <xf numFmtId="0" fontId="52" fillId="16" borderId="5" xfId="0" applyFont="1" applyFill="1" applyBorder="1" applyAlignment="1">
      <alignment vertical="center" wrapText="1"/>
    </xf>
    <xf numFmtId="0" fontId="8" fillId="13" borderId="5" xfId="0" applyFont="1" applyFill="1" applyBorder="1" applyAlignment="1">
      <alignment horizontal="center" vertical="center" wrapText="1"/>
    </xf>
    <xf numFmtId="0" fontId="52" fillId="13" borderId="5" xfId="0" applyFont="1" applyFill="1" applyBorder="1" applyAlignment="1">
      <alignment horizontal="center" vertical="center"/>
    </xf>
    <xf numFmtId="0" fontId="3" fillId="13" borderId="7" xfId="0" applyFont="1" applyFill="1" applyBorder="1" applyAlignment="1">
      <alignment horizontal="center" vertical="center" wrapText="1"/>
    </xf>
    <xf numFmtId="0" fontId="52" fillId="13" borderId="5" xfId="0" applyFont="1" applyFill="1" applyBorder="1" applyAlignment="1">
      <alignment vertical="center" wrapText="1"/>
    </xf>
    <xf numFmtId="0" fontId="15" fillId="13" borderId="5" xfId="0" applyFont="1" applyFill="1" applyBorder="1" applyAlignment="1">
      <alignment horizontal="left" vertical="center" wrapText="1"/>
    </xf>
    <xf numFmtId="0" fontId="3" fillId="13" borderId="5" xfId="0" applyFont="1" applyFill="1" applyBorder="1" applyAlignment="1">
      <alignment horizontal="left" vertical="center"/>
    </xf>
    <xf numFmtId="0" fontId="3" fillId="13" borderId="7" xfId="0" applyFont="1" applyFill="1" applyBorder="1" applyAlignment="1">
      <alignment horizontal="center" vertical="center"/>
    </xf>
    <xf numFmtId="3" fontId="3" fillId="13" borderId="9" xfId="1" applyNumberFormat="1" applyFont="1" applyFill="1" applyBorder="1" applyAlignment="1">
      <alignment horizontal="right" vertical="center"/>
    </xf>
    <xf numFmtId="0" fontId="3" fillId="13" borderId="2" xfId="0" applyFont="1" applyFill="1" applyBorder="1" applyAlignment="1">
      <alignment horizontal="center" vertical="center" wrapText="1"/>
    </xf>
    <xf numFmtId="0" fontId="3" fillId="13" borderId="8" xfId="0" applyFont="1" applyFill="1" applyBorder="1" applyAlignment="1">
      <alignment horizontal="center" vertical="center" wrapText="1"/>
    </xf>
    <xf numFmtId="0" fontId="52" fillId="13" borderId="0" xfId="0" applyFont="1" applyFill="1" applyAlignment="1">
      <alignment vertical="center" wrapText="1"/>
    </xf>
    <xf numFmtId="0" fontId="15" fillId="13" borderId="7" xfId="0" applyFont="1" applyFill="1" applyBorder="1" applyAlignment="1">
      <alignment horizontal="left" vertical="center" wrapText="1"/>
    </xf>
    <xf numFmtId="0" fontId="3" fillId="13" borderId="7" xfId="0" applyFont="1" applyFill="1" applyBorder="1" applyAlignment="1">
      <alignment horizontal="left" vertical="center"/>
    </xf>
    <xf numFmtId="0" fontId="8" fillId="13" borderId="20" xfId="0" applyFont="1" applyFill="1" applyBorder="1" applyAlignment="1">
      <alignment vertical="center" wrapText="1"/>
    </xf>
    <xf numFmtId="0" fontId="52" fillId="13" borderId="12" xfId="0" applyFont="1" applyFill="1" applyBorder="1" applyAlignment="1">
      <alignment vertical="center" wrapText="1"/>
    </xf>
    <xf numFmtId="0" fontId="3" fillId="13" borderId="7" xfId="0" applyFont="1" applyFill="1" applyBorder="1" applyAlignment="1">
      <alignment horizontal="left" vertical="center" wrapText="1"/>
    </xf>
    <xf numFmtId="0" fontId="28" fillId="0" borderId="2" xfId="0" applyFont="1" applyBorder="1" applyAlignment="1">
      <alignment horizontal="center" vertical="center"/>
    </xf>
    <xf numFmtId="3" fontId="3" fillId="0" borderId="5" xfId="0" applyNumberFormat="1" applyFont="1" applyBorder="1" applyAlignment="1">
      <alignment horizontal="left" vertical="center"/>
    </xf>
    <xf numFmtId="0" fontId="8" fillId="13" borderId="21" xfId="0" applyFont="1" applyFill="1" applyBorder="1" applyAlignment="1">
      <alignment vertical="center" wrapText="1"/>
    </xf>
    <xf numFmtId="0" fontId="13" fillId="13" borderId="5" xfId="0" applyFont="1" applyFill="1" applyBorder="1" applyAlignment="1">
      <alignment horizontal="center" vertical="center" wrapText="1"/>
    </xf>
    <xf numFmtId="0" fontId="3" fillId="13" borderId="2" xfId="0" applyFont="1" applyFill="1" applyBorder="1" applyAlignment="1">
      <alignment horizontal="center" vertical="center"/>
    </xf>
    <xf numFmtId="0" fontId="28" fillId="23" borderId="5" xfId="0" applyFont="1" applyFill="1" applyBorder="1" applyAlignment="1">
      <alignment horizontal="center" vertical="center"/>
    </xf>
    <xf numFmtId="0" fontId="3" fillId="23" borderId="5" xfId="0" applyFont="1" applyFill="1" applyBorder="1" applyAlignment="1">
      <alignment horizontal="center" vertical="center"/>
    </xf>
    <xf numFmtId="3" fontId="3" fillId="23" borderId="5" xfId="1" applyNumberFormat="1" applyFont="1" applyFill="1" applyBorder="1" applyAlignment="1">
      <alignment horizontal="right" vertical="center"/>
    </xf>
    <xf numFmtId="0" fontId="3" fillId="23" borderId="5" xfId="0" applyFont="1" applyFill="1" applyBorder="1" applyAlignment="1">
      <alignment horizontal="center" vertical="center" wrapText="1"/>
    </xf>
    <xf numFmtId="0" fontId="13" fillId="23" borderId="5" xfId="0" applyFont="1" applyFill="1" applyBorder="1" applyAlignment="1">
      <alignment horizontal="center" vertical="center" wrapText="1"/>
    </xf>
    <xf numFmtId="0" fontId="3" fillId="23" borderId="7" xfId="0" applyFont="1" applyFill="1" applyBorder="1" applyAlignment="1">
      <alignment horizontal="center" vertical="center"/>
    </xf>
    <xf numFmtId="0" fontId="3" fillId="23" borderId="9" xfId="0" applyFont="1" applyFill="1" applyBorder="1" applyAlignment="1">
      <alignment horizontal="center" vertical="center"/>
    </xf>
    <xf numFmtId="0" fontId="15" fillId="23" borderId="12" xfId="0" applyFont="1" applyFill="1" applyBorder="1" applyAlignment="1">
      <alignment vertical="center" wrapText="1"/>
    </xf>
    <xf numFmtId="0" fontId="3" fillId="23" borderId="5" xfId="0" applyFont="1" applyFill="1" applyBorder="1" applyAlignment="1">
      <alignment horizontal="left" vertical="center" wrapText="1"/>
    </xf>
    <xf numFmtId="0" fontId="3" fillId="23" borderId="5" xfId="0" applyFont="1" applyFill="1" applyBorder="1" applyAlignment="1">
      <alignment horizontal="left" vertical="center"/>
    </xf>
    <xf numFmtId="0" fontId="3" fillId="23" borderId="0" xfId="0" applyFont="1" applyFill="1" applyAlignment="1">
      <alignment vertical="center"/>
    </xf>
    <xf numFmtId="0" fontId="3" fillId="23" borderId="6" xfId="0" applyFont="1" applyFill="1" applyBorder="1" applyAlignment="1">
      <alignment horizontal="left" vertical="center" wrapText="1"/>
    </xf>
    <xf numFmtId="0" fontId="3" fillId="23" borderId="6" xfId="0" applyFont="1" applyFill="1" applyBorder="1" applyAlignment="1">
      <alignment horizontal="center" vertical="center"/>
    </xf>
    <xf numFmtId="0" fontId="3" fillId="23" borderId="6" xfId="0" applyFont="1" applyFill="1" applyBorder="1" applyAlignment="1">
      <alignment horizontal="left" vertical="center"/>
    </xf>
    <xf numFmtId="3" fontId="3" fillId="23" borderId="5" xfId="0" applyNumberFormat="1" applyFont="1" applyFill="1" applyBorder="1" applyAlignment="1">
      <alignment horizontal="left" vertical="center"/>
    </xf>
    <xf numFmtId="0" fontId="15" fillId="23" borderId="5" xfId="0" applyFont="1" applyFill="1" applyBorder="1" applyAlignment="1">
      <alignment horizontal="left" vertical="center" wrapText="1"/>
    </xf>
    <xf numFmtId="0" fontId="12" fillId="23" borderId="5" xfId="0" applyFont="1" applyFill="1" applyBorder="1" applyAlignment="1">
      <alignment horizontal="center" vertical="center"/>
    </xf>
    <xf numFmtId="0" fontId="3" fillId="23" borderId="0" xfId="0" applyFont="1" applyFill="1" applyAlignment="1">
      <alignment horizontal="center" vertical="center"/>
    </xf>
    <xf numFmtId="3" fontId="3" fillId="13" borderId="5" xfId="0" applyNumberFormat="1" applyFont="1" applyFill="1" applyBorder="1" applyAlignment="1">
      <alignment horizontal="left" vertical="center"/>
    </xf>
    <xf numFmtId="3" fontId="3" fillId="22" borderId="5" xfId="0" applyNumberFormat="1" applyFont="1" applyFill="1" applyBorder="1" applyAlignment="1">
      <alignment horizontal="left" vertical="center"/>
    </xf>
    <xf numFmtId="0" fontId="3" fillId="22" borderId="7" xfId="0" applyFont="1" applyFill="1" applyBorder="1" applyAlignment="1">
      <alignment horizontal="center" vertical="center"/>
    </xf>
    <xf numFmtId="0" fontId="12" fillId="22" borderId="5" xfId="0" applyFont="1" applyFill="1" applyBorder="1" applyAlignment="1">
      <alignment vertical="center" wrapText="1"/>
    </xf>
    <xf numFmtId="0" fontId="3" fillId="22" borderId="5" xfId="0" applyFont="1" applyFill="1" applyBorder="1" applyAlignment="1">
      <alignment horizontal="left" vertical="center"/>
    </xf>
    <xf numFmtId="0" fontId="28" fillId="24" borderId="5" xfId="0" applyFont="1" applyFill="1" applyBorder="1" applyAlignment="1">
      <alignment horizontal="center" vertical="center"/>
    </xf>
    <xf numFmtId="0" fontId="3" fillId="24" borderId="5" xfId="0" applyFont="1" applyFill="1" applyBorder="1" applyAlignment="1">
      <alignment horizontal="center" vertical="center"/>
    </xf>
    <xf numFmtId="3" fontId="3" fillId="24" borderId="5" xfId="1" applyNumberFormat="1" applyFont="1" applyFill="1" applyBorder="1" applyAlignment="1">
      <alignment horizontal="right" vertical="center"/>
    </xf>
    <xf numFmtId="0" fontId="3" fillId="24" borderId="5" xfId="0" applyFont="1" applyFill="1" applyBorder="1" applyAlignment="1">
      <alignment horizontal="center" vertical="center" wrapText="1"/>
    </xf>
    <xf numFmtId="0" fontId="3" fillId="24" borderId="5" xfId="0" applyFont="1" applyFill="1" applyBorder="1" applyAlignment="1">
      <alignment horizontal="left" vertical="center"/>
    </xf>
    <xf numFmtId="3" fontId="3" fillId="24" borderId="5" xfId="0" applyNumberFormat="1" applyFont="1" applyFill="1" applyBorder="1" applyAlignment="1">
      <alignment horizontal="left" vertical="center"/>
    </xf>
    <xf numFmtId="0" fontId="3" fillId="24" borderId="0" xfId="0" applyFont="1" applyFill="1" applyAlignment="1">
      <alignment vertical="center"/>
    </xf>
    <xf numFmtId="164" fontId="5" fillId="0" borderId="0" xfId="1" applyNumberFormat="1" applyFont="1" applyAlignment="1">
      <alignment horizontal="left" vertical="center"/>
    </xf>
    <xf numFmtId="0" fontId="30" fillId="13" borderId="0" xfId="0" applyFont="1" applyFill="1" applyAlignment="1">
      <alignment horizontal="center" vertical="center"/>
    </xf>
    <xf numFmtId="3" fontId="15" fillId="13" borderId="5" xfId="1" applyNumberFormat="1" applyFont="1" applyFill="1" applyBorder="1" applyAlignment="1">
      <alignment horizontal="right" vertical="center"/>
    </xf>
    <xf numFmtId="0" fontId="15" fillId="13" borderId="5" xfId="0" applyFont="1" applyFill="1" applyBorder="1" applyAlignment="1">
      <alignment horizontal="center" vertical="center" wrapText="1"/>
    </xf>
    <xf numFmtId="0" fontId="15" fillId="13" borderId="5" xfId="0" applyFont="1" applyFill="1" applyBorder="1" applyAlignment="1">
      <alignment horizontal="left" vertical="center"/>
    </xf>
    <xf numFmtId="3" fontId="15" fillId="13" borderId="5" xfId="0" applyNumberFormat="1" applyFont="1" applyFill="1" applyBorder="1" applyAlignment="1">
      <alignment horizontal="left" vertical="center"/>
    </xf>
    <xf numFmtId="0" fontId="3" fillId="23" borderId="8" xfId="0" applyFont="1" applyFill="1" applyBorder="1" applyAlignment="1">
      <alignment horizontal="center" vertical="center"/>
    </xf>
    <xf numFmtId="3" fontId="3" fillId="23" borderId="8" xfId="1" applyNumberFormat="1" applyFont="1" applyFill="1" applyBorder="1" applyAlignment="1">
      <alignment horizontal="right" vertical="center"/>
    </xf>
    <xf numFmtId="0" fontId="3" fillId="23" borderId="8" xfId="0" applyFont="1" applyFill="1" applyBorder="1" applyAlignment="1">
      <alignment horizontal="center" vertical="center" wrapText="1"/>
    </xf>
    <xf numFmtId="0" fontId="15" fillId="23" borderId="8" xfId="0" applyFont="1" applyFill="1" applyBorder="1" applyAlignment="1">
      <alignment horizontal="left" vertical="center" wrapText="1"/>
    </xf>
    <xf numFmtId="0" fontId="3" fillId="23" borderId="18" xfId="0" applyFont="1" applyFill="1" applyBorder="1" applyAlignment="1">
      <alignment horizontal="left" vertical="center" wrapText="1"/>
    </xf>
    <xf numFmtId="3" fontId="3" fillId="23" borderId="8" xfId="0" applyNumberFormat="1" applyFont="1" applyFill="1" applyBorder="1" applyAlignment="1">
      <alignment horizontal="left" vertical="center"/>
    </xf>
    <xf numFmtId="3" fontId="3" fillId="13" borderId="5" xfId="0" applyNumberFormat="1" applyFont="1" applyFill="1" applyBorder="1" applyAlignment="1">
      <alignment horizontal="left" vertical="center" wrapText="1"/>
    </xf>
    <xf numFmtId="0" fontId="15" fillId="22" borderId="5" xfId="0" applyFont="1" applyFill="1" applyBorder="1" applyAlignment="1">
      <alignment horizontal="left" vertical="center" wrapText="1"/>
    </xf>
    <xf numFmtId="0" fontId="15" fillId="24" borderId="5" xfId="0" applyFont="1" applyFill="1" applyBorder="1" applyAlignment="1">
      <alignment horizontal="left" vertical="center" wrapText="1"/>
    </xf>
    <xf numFmtId="3" fontId="19" fillId="0" borderId="5" xfId="1" applyNumberFormat="1" applyFont="1" applyBorder="1" applyAlignment="1">
      <alignment horizontal="center" vertical="center"/>
    </xf>
    <xf numFmtId="14" fontId="19" fillId="0" borderId="5" xfId="0" applyNumberFormat="1" applyFont="1" applyBorder="1" applyAlignment="1">
      <alignment horizontal="center" vertical="center" wrapText="1"/>
    </xf>
    <xf numFmtId="165" fontId="24" fillId="0" borderId="5" xfId="1" applyNumberFormat="1" applyFont="1" applyBorder="1" applyAlignment="1">
      <alignment vertical="center"/>
    </xf>
    <xf numFmtId="0" fontId="55" fillId="2" borderId="5" xfId="0" applyFont="1" applyFill="1" applyBorder="1" applyAlignment="1">
      <alignment horizontal="center" vertical="center" wrapText="1"/>
    </xf>
    <xf numFmtId="0" fontId="56" fillId="2" borderId="5" xfId="0" applyFont="1" applyFill="1" applyBorder="1" applyAlignment="1">
      <alignment horizontal="center" vertical="center" wrapText="1"/>
    </xf>
    <xf numFmtId="3" fontId="56" fillId="2" borderId="5" xfId="1" applyNumberFormat="1" applyFont="1" applyFill="1" applyBorder="1" applyAlignment="1">
      <alignment horizontal="center" vertical="center" wrapText="1"/>
    </xf>
    <xf numFmtId="0" fontId="56" fillId="2" borderId="5" xfId="0" applyFont="1" applyFill="1" applyBorder="1" applyAlignment="1">
      <alignment horizontal="left" vertical="center" wrapText="1"/>
    </xf>
    <xf numFmtId="0" fontId="57" fillId="13" borderId="5" xfId="0" applyFont="1" applyFill="1" applyBorder="1" applyAlignment="1">
      <alignment vertical="center" wrapText="1"/>
    </xf>
    <xf numFmtId="0" fontId="15" fillId="13" borderId="5" xfId="0" applyFont="1" applyFill="1" applyBorder="1" applyAlignment="1">
      <alignment vertical="center" wrapText="1"/>
    </xf>
    <xf numFmtId="0" fontId="48" fillId="13" borderId="5" xfId="0" applyFont="1" applyFill="1" applyBorder="1" applyAlignment="1">
      <alignment vertical="center" wrapText="1"/>
    </xf>
    <xf numFmtId="0" fontId="12" fillId="13" borderId="5" xfId="0" applyFont="1" applyFill="1" applyBorder="1" applyAlignment="1">
      <alignment vertical="center" wrapText="1"/>
    </xf>
    <xf numFmtId="0" fontId="48" fillId="23" borderId="5" xfId="0" applyFont="1" applyFill="1" applyBorder="1" applyAlignment="1">
      <alignment vertical="center" wrapText="1"/>
    </xf>
    <xf numFmtId="0" fontId="12" fillId="23" borderId="5" xfId="0" applyFont="1" applyFill="1" applyBorder="1" applyAlignment="1">
      <alignment vertical="center" wrapText="1"/>
    </xf>
    <xf numFmtId="0" fontId="48" fillId="22" borderId="5" xfId="0" applyFont="1" applyFill="1" applyBorder="1" applyAlignment="1">
      <alignment vertical="center" wrapText="1"/>
    </xf>
    <xf numFmtId="0" fontId="58" fillId="22" borderId="5" xfId="0" applyFont="1" applyFill="1" applyBorder="1" applyAlignment="1">
      <alignment vertical="center" wrapText="1"/>
    </xf>
    <xf numFmtId="0" fontId="48" fillId="24" borderId="5" xfId="0" applyFont="1" applyFill="1" applyBorder="1" applyAlignment="1">
      <alignment vertical="center" wrapText="1"/>
    </xf>
    <xf numFmtId="0" fontId="58" fillId="24" borderId="5" xfId="0" applyFont="1" applyFill="1" applyBorder="1" applyAlignment="1">
      <alignment vertical="center" wrapText="1"/>
    </xf>
    <xf numFmtId="0" fontId="3" fillId="7" borderId="6" xfId="0" applyFont="1" applyFill="1" applyBorder="1" applyAlignment="1">
      <alignment horizontal="center" vertical="center"/>
    </xf>
    <xf numFmtId="0" fontId="58" fillId="22" borderId="7" xfId="0" applyFont="1" applyFill="1" applyBorder="1" applyAlignment="1">
      <alignment vertical="center" wrapText="1"/>
    </xf>
    <xf numFmtId="3" fontId="3" fillId="22" borderId="0" xfId="0" applyNumberFormat="1" applyFont="1" applyFill="1" applyAlignment="1">
      <alignment horizontal="left" vertical="center"/>
    </xf>
    <xf numFmtId="0" fontId="13" fillId="22" borderId="5" xfId="0" applyFont="1" applyFill="1" applyBorder="1" applyAlignment="1">
      <alignment horizontal="center" vertical="center" wrapText="1"/>
    </xf>
    <xf numFmtId="0" fontId="28" fillId="22" borderId="6" xfId="0" applyFont="1" applyFill="1" applyBorder="1" applyAlignment="1">
      <alignment horizontal="center" vertical="center"/>
    </xf>
    <xf numFmtId="0" fontId="3" fillId="22" borderId="6" xfId="0" applyFont="1" applyFill="1" applyBorder="1" applyAlignment="1">
      <alignment horizontal="center" vertical="center"/>
    </xf>
    <xf numFmtId="3" fontId="3" fillId="22" borderId="36" xfId="1" applyNumberFormat="1" applyFont="1" applyFill="1" applyBorder="1" applyAlignment="1">
      <alignment horizontal="right" vertical="center"/>
    </xf>
    <xf numFmtId="0" fontId="3" fillId="22" borderId="8" xfId="0" applyFont="1" applyFill="1" applyBorder="1" applyAlignment="1">
      <alignment horizontal="center" vertical="center" wrapText="1"/>
    </xf>
    <xf numFmtId="0" fontId="3" fillId="22" borderId="8" xfId="0" applyFont="1" applyFill="1" applyBorder="1" applyAlignment="1">
      <alignment horizontal="center" vertical="center"/>
    </xf>
    <xf numFmtId="0" fontId="58" fillId="22" borderId="8" xfId="0" applyFont="1" applyFill="1" applyBorder="1" applyAlignment="1">
      <alignment vertical="center" wrapText="1"/>
    </xf>
    <xf numFmtId="0" fontId="3" fillId="22" borderId="10" xfId="0" applyFont="1" applyFill="1" applyBorder="1" applyAlignment="1">
      <alignment horizontal="center" vertical="center"/>
    </xf>
    <xf numFmtId="0" fontId="3" fillId="22" borderId="6" xfId="0" applyFont="1" applyFill="1" applyBorder="1" applyAlignment="1">
      <alignment horizontal="left" vertical="center"/>
    </xf>
    <xf numFmtId="0" fontId="48" fillId="13" borderId="7" xfId="0" applyFont="1" applyFill="1" applyBorder="1" applyAlignment="1">
      <alignment vertical="center" wrapText="1"/>
    </xf>
    <xf numFmtId="0" fontId="12" fillId="13" borderId="7" xfId="0" applyFont="1" applyFill="1" applyBorder="1" applyAlignment="1">
      <alignment vertical="center" wrapText="1"/>
    </xf>
    <xf numFmtId="3" fontId="3" fillId="13" borderId="0" xfId="0" applyNumberFormat="1" applyFont="1" applyFill="1" applyAlignment="1">
      <alignment horizontal="left" vertical="center"/>
    </xf>
    <xf numFmtId="164" fontId="18" fillId="0" borderId="23" xfId="0" applyNumberFormat="1" applyFont="1" applyBorder="1" applyAlignment="1">
      <alignment horizontal="center" vertical="center" wrapText="1"/>
    </xf>
    <xf numFmtId="0" fontId="13" fillId="0" borderId="0" xfId="0" applyFont="1" applyAlignment="1">
      <alignment vertical="center" wrapText="1"/>
    </xf>
    <xf numFmtId="0" fontId="54" fillId="0" borderId="5" xfId="0" applyFont="1" applyBorder="1" applyAlignment="1">
      <alignment horizontal="center" vertical="center"/>
    </xf>
    <xf numFmtId="0" fontId="12" fillId="23" borderId="5" xfId="0" applyFont="1" applyFill="1" applyBorder="1" applyAlignment="1">
      <alignment horizontal="center" vertical="center" wrapText="1"/>
    </xf>
    <xf numFmtId="0" fontId="48" fillId="23" borderId="7" xfId="0" applyFont="1" applyFill="1" applyBorder="1" applyAlignment="1">
      <alignment vertical="center" wrapText="1"/>
    </xf>
    <xf numFmtId="0" fontId="12" fillId="23" borderId="7" xfId="0" applyFont="1" applyFill="1" applyBorder="1" applyAlignment="1">
      <alignment vertical="center" wrapText="1"/>
    </xf>
    <xf numFmtId="3" fontId="3" fillId="23" borderId="0" xfId="0" applyNumberFormat="1" applyFont="1" applyFill="1" applyAlignment="1">
      <alignment horizontal="left" vertical="center"/>
    </xf>
    <xf numFmtId="0" fontId="12" fillId="0" borderId="5" xfId="0" applyFont="1" applyBorder="1" applyAlignment="1">
      <alignment horizontal="center" vertical="center"/>
    </xf>
    <xf numFmtId="0" fontId="28" fillId="23" borderId="8" xfId="0" applyFont="1" applyFill="1" applyBorder="1" applyAlignment="1">
      <alignment horizontal="center" vertical="center"/>
    </xf>
    <xf numFmtId="0" fontId="3" fillId="23" borderId="12" xfId="0" applyFont="1" applyFill="1" applyBorder="1" applyAlignment="1">
      <alignment horizontal="center" vertical="center" wrapText="1"/>
    </xf>
    <xf numFmtId="0" fontId="58" fillId="23" borderId="12" xfId="0" applyFont="1" applyFill="1" applyBorder="1" applyAlignment="1">
      <alignment vertical="center" wrapText="1"/>
    </xf>
    <xf numFmtId="0" fontId="3" fillId="23" borderId="12" xfId="0" applyFont="1" applyFill="1" applyBorder="1" applyAlignment="1">
      <alignment horizontal="center" vertical="center"/>
    </xf>
    <xf numFmtId="0" fontId="15" fillId="23" borderId="12" xfId="0" applyFont="1" applyFill="1" applyBorder="1" applyAlignment="1">
      <alignment horizontal="left" vertical="center" wrapText="1"/>
    </xf>
    <xf numFmtId="0" fontId="3" fillId="23" borderId="8" xfId="0" applyFont="1" applyFill="1" applyBorder="1" applyAlignment="1">
      <alignment horizontal="left" vertical="center"/>
    </xf>
    <xf numFmtId="0" fontId="3" fillId="23" borderId="8" xfId="0" applyFont="1" applyFill="1" applyBorder="1" applyAlignment="1">
      <alignment vertical="center"/>
    </xf>
    <xf numFmtId="3" fontId="3" fillId="23" borderId="36" xfId="1" applyNumberFormat="1" applyFont="1" applyFill="1" applyBorder="1" applyAlignment="1">
      <alignment horizontal="right" vertical="center"/>
    </xf>
    <xf numFmtId="0" fontId="58" fillId="23" borderId="8" xfId="0" applyFont="1" applyFill="1" applyBorder="1" applyAlignment="1">
      <alignment vertical="center" wrapText="1"/>
    </xf>
    <xf numFmtId="0" fontId="3" fillId="23" borderId="0" xfId="0" applyFont="1" applyFill="1" applyAlignment="1">
      <alignment horizontal="left" vertical="center"/>
    </xf>
    <xf numFmtId="3" fontId="3" fillId="7" borderId="0" xfId="0" applyNumberFormat="1" applyFont="1" applyFill="1" applyAlignment="1">
      <alignment horizontal="left" vertical="center"/>
    </xf>
    <xf numFmtId="0" fontId="28" fillId="23" borderId="12" xfId="0" applyFont="1" applyFill="1" applyBorder="1" applyAlignment="1">
      <alignment horizontal="center" vertical="center"/>
    </xf>
    <xf numFmtId="0" fontId="3" fillId="23" borderId="7" xfId="0" applyFont="1" applyFill="1" applyBorder="1" applyAlignment="1">
      <alignment horizontal="center" vertical="center" wrapText="1"/>
    </xf>
    <xf numFmtId="3" fontId="3" fillId="23" borderId="7" xfId="1" applyNumberFormat="1" applyFont="1" applyFill="1" applyBorder="1" applyAlignment="1">
      <alignment horizontal="right" vertical="center"/>
    </xf>
    <xf numFmtId="0" fontId="13" fillId="23" borderId="7" xfId="0" applyFont="1" applyFill="1" applyBorder="1" applyAlignment="1">
      <alignment horizontal="center" vertical="center" wrapText="1"/>
    </xf>
    <xf numFmtId="0" fontId="16" fillId="23" borderId="12" xfId="0" applyFont="1" applyFill="1" applyBorder="1" applyAlignment="1">
      <alignment vertical="center" wrapText="1"/>
    </xf>
    <xf numFmtId="3" fontId="3" fillId="23" borderId="12" xfId="0" applyNumberFormat="1" applyFont="1" applyFill="1" applyBorder="1" applyAlignment="1">
      <alignment horizontal="left" vertical="center"/>
    </xf>
    <xf numFmtId="0" fontId="3" fillId="23" borderId="12" xfId="0" applyFont="1" applyFill="1" applyBorder="1" applyAlignment="1">
      <alignment vertical="center"/>
    </xf>
    <xf numFmtId="14" fontId="15" fillId="23" borderId="8" xfId="0" applyNumberFormat="1" applyFont="1" applyFill="1" applyBorder="1" applyAlignment="1">
      <alignment horizontal="center" vertical="center" wrapText="1"/>
    </xf>
    <xf numFmtId="0" fontId="13" fillId="23" borderId="10" xfId="0" applyFont="1" applyFill="1" applyBorder="1" applyAlignment="1">
      <alignment horizontal="center" vertical="center" wrapText="1"/>
    </xf>
    <xf numFmtId="0" fontId="48" fillId="23" borderId="39" xfId="0" applyFont="1" applyFill="1" applyBorder="1" applyAlignment="1">
      <alignment vertical="center" wrapText="1"/>
    </xf>
    <xf numFmtId="0" fontId="16" fillId="23" borderId="16" xfId="0" applyFont="1" applyFill="1" applyBorder="1" applyAlignment="1">
      <alignment vertical="center" wrapText="1"/>
    </xf>
    <xf numFmtId="0" fontId="3" fillId="23" borderId="34" xfId="0" applyFont="1" applyFill="1" applyBorder="1" applyAlignment="1">
      <alignment vertical="center"/>
    </xf>
    <xf numFmtId="0" fontId="28" fillId="23" borderId="17" xfId="0" applyFont="1" applyFill="1" applyBorder="1" applyAlignment="1">
      <alignment horizontal="center" vertical="center"/>
    </xf>
    <xf numFmtId="3" fontId="3" fillId="7" borderId="8" xfId="0" applyNumberFormat="1" applyFont="1" applyFill="1" applyBorder="1" applyAlignment="1">
      <alignment horizontal="left" vertical="center"/>
    </xf>
    <xf numFmtId="0" fontId="3" fillId="7" borderId="8" xfId="0" applyFont="1" applyFill="1" applyBorder="1" applyAlignment="1">
      <alignment vertical="center"/>
    </xf>
    <xf numFmtId="0" fontId="3" fillId="23" borderId="16" xfId="0" applyFont="1" applyFill="1" applyBorder="1" applyAlignment="1">
      <alignment horizontal="center" vertical="center" wrapText="1"/>
    </xf>
    <xf numFmtId="0" fontId="28" fillId="13" borderId="8" xfId="0" applyFont="1" applyFill="1" applyBorder="1" applyAlignment="1">
      <alignment horizontal="center" vertical="center"/>
    </xf>
    <xf numFmtId="0" fontId="3" fillId="13" borderId="13" xfId="0" applyFont="1" applyFill="1" applyBorder="1" applyAlignment="1">
      <alignment horizontal="center" vertical="center" wrapText="1"/>
    </xf>
    <xf numFmtId="3" fontId="3" fillId="13" borderId="6" xfId="1" applyNumberFormat="1" applyFont="1" applyFill="1" applyBorder="1" applyAlignment="1">
      <alignment horizontal="right" vertical="center"/>
    </xf>
    <xf numFmtId="0" fontId="3" fillId="13" borderId="18" xfId="0" applyFont="1" applyFill="1" applyBorder="1" applyAlignment="1">
      <alignment horizontal="center" vertical="center" wrapText="1"/>
    </xf>
    <xf numFmtId="0" fontId="3" fillId="13" borderId="40" xfId="0" applyFont="1" applyFill="1" applyBorder="1" applyAlignment="1">
      <alignment horizontal="center" vertical="center"/>
    </xf>
    <xf numFmtId="0" fontId="48" fillId="13" borderId="39" xfId="0" applyFont="1" applyFill="1" applyBorder="1" applyAlignment="1">
      <alignment vertical="center" wrapText="1"/>
    </xf>
    <xf numFmtId="0" fontId="16" fillId="13" borderId="18" xfId="0" applyFont="1" applyFill="1" applyBorder="1" applyAlignment="1">
      <alignment vertical="center" wrapText="1"/>
    </xf>
    <xf numFmtId="0" fontId="3" fillId="13" borderId="6" xfId="0" applyFont="1" applyFill="1" applyBorder="1" applyAlignment="1">
      <alignment horizontal="center" vertical="center"/>
    </xf>
    <xf numFmtId="0" fontId="3" fillId="13" borderId="6" xfId="0" applyFont="1" applyFill="1" applyBorder="1" applyAlignment="1">
      <alignment horizontal="left" vertical="center"/>
    </xf>
    <xf numFmtId="0" fontId="48" fillId="13" borderId="6" xfId="0" applyFont="1" applyFill="1" applyBorder="1" applyAlignment="1">
      <alignment horizontal="left" vertical="center" wrapText="1"/>
    </xf>
    <xf numFmtId="0" fontId="28" fillId="13" borderId="35" xfId="0" applyFont="1" applyFill="1" applyBorder="1" applyAlignment="1">
      <alignment horizontal="center" vertical="center"/>
    </xf>
    <xf numFmtId="3" fontId="3" fillId="13" borderId="8" xfId="1" applyNumberFormat="1" applyFont="1" applyFill="1" applyBorder="1" applyAlignment="1">
      <alignment horizontal="right" vertical="center"/>
    </xf>
    <xf numFmtId="14" fontId="15" fillId="13" borderId="8" xfId="0" applyNumberFormat="1" applyFont="1" applyFill="1" applyBorder="1" applyAlignment="1">
      <alignment horizontal="center" vertical="center" wrapText="1"/>
    </xf>
    <xf numFmtId="0" fontId="16" fillId="13" borderId="8" xfId="0" applyFont="1" applyFill="1" applyBorder="1" applyAlignment="1">
      <alignment vertical="center" wrapText="1"/>
    </xf>
    <xf numFmtId="0" fontId="3" fillId="13" borderId="8" xfId="0" applyFont="1" applyFill="1" applyBorder="1" applyAlignment="1">
      <alignment horizontal="left" vertical="center"/>
    </xf>
    <xf numFmtId="0" fontId="12" fillId="13" borderId="8" xfId="0" applyFont="1" applyFill="1" applyBorder="1" applyAlignment="1">
      <alignment vertical="center" wrapText="1"/>
    </xf>
    <xf numFmtId="0" fontId="58" fillId="13" borderId="8" xfId="0" applyFont="1" applyFill="1" applyBorder="1" applyAlignment="1">
      <alignment vertical="center" wrapText="1"/>
    </xf>
    <xf numFmtId="0" fontId="15" fillId="13" borderId="8" xfId="0" applyFont="1" applyFill="1" applyBorder="1" applyAlignment="1">
      <alignment horizontal="left" vertical="center" wrapText="1"/>
    </xf>
    <xf numFmtId="3" fontId="3" fillId="13" borderId="8" xfId="0" applyNumberFormat="1" applyFont="1" applyFill="1" applyBorder="1" applyAlignment="1">
      <alignment horizontal="left" vertical="center"/>
    </xf>
    <xf numFmtId="0" fontId="3" fillId="13" borderId="8" xfId="0" applyFont="1" applyFill="1" applyBorder="1" applyAlignment="1">
      <alignment vertical="center"/>
    </xf>
    <xf numFmtId="0" fontId="3" fillId="13" borderId="25" xfId="0" applyFont="1" applyFill="1" applyBorder="1" applyAlignment="1">
      <alignment horizontal="center" vertical="center"/>
    </xf>
    <xf numFmtId="0" fontId="30" fillId="13" borderId="17" xfId="0" applyFont="1" applyFill="1" applyBorder="1" applyAlignment="1">
      <alignment horizontal="center" vertical="center"/>
    </xf>
    <xf numFmtId="0" fontId="15" fillId="13" borderId="8" xfId="0" applyFont="1" applyFill="1" applyBorder="1" applyAlignment="1">
      <alignment horizontal="center" vertical="center"/>
    </xf>
    <xf numFmtId="3" fontId="15" fillId="13" borderId="8" xfId="1" applyNumberFormat="1" applyFont="1" applyFill="1" applyBorder="1" applyAlignment="1">
      <alignment horizontal="right" vertical="center"/>
    </xf>
    <xf numFmtId="0" fontId="15" fillId="13" borderId="8" xfId="0" applyFont="1" applyFill="1" applyBorder="1" applyAlignment="1">
      <alignment horizontal="center" vertical="center" wrapText="1"/>
    </xf>
    <xf numFmtId="0" fontId="15" fillId="13" borderId="8" xfId="0" applyFont="1" applyFill="1" applyBorder="1" applyAlignment="1">
      <alignment vertical="center" wrapText="1"/>
    </xf>
    <xf numFmtId="0" fontId="15" fillId="13" borderId="8" xfId="0" applyFont="1" applyFill="1" applyBorder="1" applyAlignment="1">
      <alignment horizontal="left" vertical="center"/>
    </xf>
    <xf numFmtId="3" fontId="15" fillId="13" borderId="8" xfId="0" applyNumberFormat="1" applyFont="1" applyFill="1" applyBorder="1" applyAlignment="1">
      <alignment horizontal="left" vertical="center"/>
    </xf>
    <xf numFmtId="0" fontId="15" fillId="13" borderId="8" xfId="0" applyFont="1" applyFill="1" applyBorder="1" applyAlignment="1">
      <alignment vertical="center"/>
    </xf>
    <xf numFmtId="0" fontId="15" fillId="23" borderId="8" xfId="0" applyFont="1" applyFill="1" applyBorder="1" applyAlignment="1">
      <alignment vertical="center" wrapText="1"/>
    </xf>
    <xf numFmtId="0" fontId="48" fillId="23" borderId="34" xfId="0" applyFont="1" applyFill="1" applyBorder="1" applyAlignment="1">
      <alignment vertical="center" wrapText="1"/>
    </xf>
    <xf numFmtId="0" fontId="3" fillId="23" borderId="8" xfId="0" applyFont="1" applyFill="1" applyBorder="1" applyAlignment="1">
      <alignment horizontal="left" vertical="center" wrapText="1"/>
    </xf>
    <xf numFmtId="0" fontId="3" fillId="23" borderId="25" xfId="0" applyFont="1" applyFill="1" applyBorder="1" applyAlignment="1">
      <alignment horizontal="center" vertical="center"/>
    </xf>
    <xf numFmtId="3" fontId="3" fillId="23" borderId="25" xfId="1" applyNumberFormat="1" applyFont="1" applyFill="1" applyBorder="1" applyAlignment="1">
      <alignment horizontal="right" vertical="center"/>
    </xf>
    <xf numFmtId="14" fontId="15" fillId="23" borderId="12" xfId="0" applyNumberFormat="1" applyFont="1" applyFill="1" applyBorder="1" applyAlignment="1">
      <alignment horizontal="center" vertical="center" wrapText="1"/>
    </xf>
    <xf numFmtId="0" fontId="9" fillId="23" borderId="12" xfId="0" applyFont="1" applyFill="1" applyBorder="1" applyAlignment="1">
      <alignment vertical="center" wrapText="1"/>
    </xf>
    <xf numFmtId="0" fontId="3" fillId="23" borderId="12" xfId="0" applyFont="1" applyFill="1" applyBorder="1" applyAlignment="1">
      <alignment horizontal="left" vertical="center" wrapText="1"/>
    </xf>
    <xf numFmtId="3" fontId="3" fillId="13" borderId="16" xfId="1" applyNumberFormat="1" applyFont="1" applyFill="1" applyBorder="1" applyAlignment="1">
      <alignment horizontal="right" vertical="center"/>
    </xf>
    <xf numFmtId="0" fontId="48" fillId="13" borderId="34" xfId="0" applyFont="1" applyFill="1" applyBorder="1" applyAlignment="1">
      <alignment vertical="center" wrapText="1"/>
    </xf>
    <xf numFmtId="0" fontId="3" fillId="13" borderId="10" xfId="0" applyFont="1" applyFill="1" applyBorder="1" applyAlignment="1">
      <alignment horizontal="center" vertical="center" wrapText="1"/>
    </xf>
    <xf numFmtId="0" fontId="3" fillId="13" borderId="16" xfId="0" applyFont="1" applyFill="1" applyBorder="1" applyAlignment="1">
      <alignment horizontal="left" vertical="center" wrapText="1"/>
    </xf>
    <xf numFmtId="0" fontId="3" fillId="13" borderId="4" xfId="0" applyFont="1" applyFill="1" applyBorder="1" applyAlignment="1">
      <alignment horizontal="center" vertical="center"/>
    </xf>
    <xf numFmtId="14" fontId="3" fillId="13" borderId="5" xfId="0" applyNumberFormat="1" applyFont="1" applyFill="1" applyBorder="1" applyAlignment="1">
      <alignment horizontal="center" vertical="center" wrapText="1"/>
    </xf>
    <xf numFmtId="0" fontId="15" fillId="13" borderId="6" xfId="0" applyFont="1" applyFill="1" applyBorder="1" applyAlignment="1">
      <alignment horizontal="left" vertical="center" wrapText="1"/>
    </xf>
    <xf numFmtId="0" fontId="28" fillId="13" borderId="19" xfId="0" applyFont="1" applyFill="1" applyBorder="1" applyAlignment="1">
      <alignment horizontal="center" vertical="center"/>
    </xf>
    <xf numFmtId="0" fontId="12" fillId="13" borderId="8" xfId="0" applyFont="1" applyFill="1" applyBorder="1" applyAlignment="1">
      <alignment horizontal="left" vertical="center"/>
    </xf>
    <xf numFmtId="0" fontId="15" fillId="13" borderId="18" xfId="0" applyFont="1" applyFill="1" applyBorder="1" applyAlignment="1">
      <alignment horizontal="left" vertical="center" wrapText="1"/>
    </xf>
    <xf numFmtId="0" fontId="54" fillId="13" borderId="0" xfId="0" applyFont="1" applyFill="1" applyAlignment="1">
      <alignment vertical="center" wrapText="1"/>
    </xf>
    <xf numFmtId="0" fontId="3" fillId="13" borderId="8" xfId="0" applyFont="1" applyFill="1" applyBorder="1" applyAlignment="1">
      <alignment vertical="center" wrapText="1"/>
    </xf>
    <xf numFmtId="0" fontId="16" fillId="22" borderId="5" xfId="0" applyFont="1" applyFill="1" applyBorder="1" applyAlignment="1">
      <alignment horizontal="left" vertical="center" wrapText="1"/>
    </xf>
    <xf numFmtId="0" fontId="15" fillId="22" borderId="8" xfId="0" applyFont="1" applyFill="1" applyBorder="1" applyAlignment="1">
      <alignment horizontal="left" vertical="center" wrapText="1"/>
    </xf>
    <xf numFmtId="0" fontId="15" fillId="13" borderId="7" xfId="0" applyFont="1" applyFill="1" applyBorder="1" applyAlignment="1">
      <alignment horizontal="center" vertical="center" wrapText="1"/>
    </xf>
    <xf numFmtId="0" fontId="15" fillId="23" borderId="7" xfId="0" applyFont="1" applyFill="1" applyBorder="1" applyAlignment="1">
      <alignment horizontal="center" vertical="center" wrapText="1"/>
    </xf>
    <xf numFmtId="0" fontId="3" fillId="0" borderId="12" xfId="0" applyFont="1" applyBorder="1" applyAlignment="1">
      <alignment horizontal="left" vertical="center"/>
    </xf>
    <xf numFmtId="0" fontId="3" fillId="0" borderId="12" xfId="0" applyFont="1" applyBorder="1" applyAlignment="1">
      <alignment vertical="center"/>
    </xf>
    <xf numFmtId="14" fontId="3" fillId="23" borderId="8" xfId="0" applyNumberFormat="1" applyFont="1" applyFill="1" applyBorder="1" applyAlignment="1">
      <alignment horizontal="center" vertical="center" wrapText="1"/>
    </xf>
    <xf numFmtId="0" fontId="48" fillId="23" borderId="8" xfId="0" applyFont="1" applyFill="1" applyBorder="1" applyAlignment="1">
      <alignment vertical="center" wrapText="1"/>
    </xf>
    <xf numFmtId="0" fontId="3" fillId="23" borderId="16" xfId="0" applyFont="1" applyFill="1" applyBorder="1" applyAlignment="1">
      <alignment horizontal="center" vertical="center"/>
    </xf>
    <xf numFmtId="0" fontId="43" fillId="23" borderId="8" xfId="0" applyFont="1" applyFill="1" applyBorder="1" applyAlignment="1">
      <alignment vertical="center" wrapText="1"/>
    </xf>
    <xf numFmtId="0" fontId="15" fillId="23" borderId="18" xfId="0" applyFont="1" applyFill="1" applyBorder="1" applyAlignment="1">
      <alignment horizontal="left" vertical="center" wrapText="1"/>
    </xf>
    <xf numFmtId="0" fontId="3" fillId="0" borderId="25" xfId="0" applyFont="1" applyBorder="1" applyAlignment="1">
      <alignment horizontal="left" vertical="center"/>
    </xf>
    <xf numFmtId="0" fontId="3" fillId="23" borderId="18" xfId="0" applyFont="1" applyFill="1" applyBorder="1" applyAlignment="1">
      <alignment horizontal="center" vertical="center"/>
    </xf>
    <xf numFmtId="3" fontId="3" fillId="23" borderId="18" xfId="1" applyNumberFormat="1" applyFont="1" applyFill="1" applyBorder="1" applyAlignment="1">
      <alignment horizontal="right" vertical="center"/>
    </xf>
    <xf numFmtId="0" fontId="9" fillId="23" borderId="18" xfId="0" applyFont="1" applyFill="1" applyBorder="1" applyAlignment="1">
      <alignment horizontal="center" vertical="center" wrapText="1"/>
    </xf>
    <xf numFmtId="0" fontId="3" fillId="23" borderId="34" xfId="0" applyFont="1" applyFill="1" applyBorder="1" applyAlignment="1">
      <alignment vertical="center" wrapText="1"/>
    </xf>
    <xf numFmtId="0" fontId="3" fillId="23" borderId="0" xfId="0" applyFont="1" applyFill="1" applyAlignment="1">
      <alignment vertical="center" wrapText="1"/>
    </xf>
    <xf numFmtId="0" fontId="3" fillId="10" borderId="22" xfId="0" applyFont="1" applyFill="1" applyBorder="1" applyAlignment="1">
      <alignment vertical="center"/>
    </xf>
    <xf numFmtId="0" fontId="3" fillId="10" borderId="8" xfId="0" applyFont="1" applyFill="1" applyBorder="1" applyAlignment="1">
      <alignment vertical="center"/>
    </xf>
    <xf numFmtId="0" fontId="12" fillId="13" borderId="8" xfId="0" applyFont="1" applyFill="1" applyBorder="1" applyAlignment="1">
      <alignment horizontal="left" vertical="center" wrapText="1"/>
    </xf>
    <xf numFmtId="0" fontId="3" fillId="7" borderId="7" xfId="0" applyFont="1" applyFill="1" applyBorder="1" applyAlignment="1">
      <alignment horizontal="center" vertical="center"/>
    </xf>
    <xf numFmtId="3" fontId="3" fillId="7" borderId="7" xfId="1" applyNumberFormat="1" applyFont="1" applyFill="1" applyBorder="1" applyAlignment="1">
      <alignment horizontal="right" vertical="center"/>
    </xf>
    <xf numFmtId="0" fontId="3" fillId="7" borderId="7" xfId="0" applyFont="1" applyFill="1" applyBorder="1" applyAlignment="1">
      <alignment horizontal="center" vertical="center" wrapText="1"/>
    </xf>
    <xf numFmtId="0" fontId="12" fillId="7" borderId="7" xfId="0" applyFont="1" applyFill="1" applyBorder="1" applyAlignment="1">
      <alignment horizontal="left" vertical="center" wrapText="1"/>
    </xf>
    <xf numFmtId="0" fontId="3" fillId="7" borderId="9" xfId="0" applyFont="1" applyFill="1" applyBorder="1" applyAlignment="1">
      <alignment horizontal="center" vertical="center"/>
    </xf>
    <xf numFmtId="0" fontId="60" fillId="7" borderId="12" xfId="0" applyFont="1" applyFill="1" applyBorder="1" applyAlignment="1">
      <alignment horizontal="left" vertical="center" wrapText="1"/>
    </xf>
    <xf numFmtId="3" fontId="9" fillId="7" borderId="11" xfId="0" applyNumberFormat="1" applyFont="1" applyFill="1" applyBorder="1" applyAlignment="1">
      <alignment horizontal="left" vertical="center"/>
    </xf>
    <xf numFmtId="0" fontId="3" fillId="7" borderId="7" xfId="0" applyFont="1" applyFill="1" applyBorder="1" applyAlignment="1">
      <alignment horizontal="left" vertical="center"/>
    </xf>
    <xf numFmtId="0" fontId="15" fillId="16" borderId="8" xfId="0" applyFont="1" applyFill="1" applyBorder="1" applyAlignment="1">
      <alignment horizontal="left" vertical="center" wrapText="1"/>
    </xf>
    <xf numFmtId="0" fontId="28" fillId="13" borderId="14" xfId="0" applyFont="1" applyFill="1" applyBorder="1" applyAlignment="1">
      <alignment horizontal="center" vertical="center"/>
    </xf>
    <xf numFmtId="0" fontId="15" fillId="13" borderId="18" xfId="0" applyFont="1" applyFill="1" applyBorder="1" applyAlignment="1">
      <alignment horizontal="center" vertical="center" wrapText="1"/>
    </xf>
    <xf numFmtId="3" fontId="3" fillId="13" borderId="18" xfId="1" applyNumberFormat="1" applyFont="1" applyFill="1" applyBorder="1" applyAlignment="1">
      <alignment horizontal="right" vertical="center"/>
    </xf>
    <xf numFmtId="3" fontId="9" fillId="13" borderId="16" xfId="0" applyNumberFormat="1" applyFont="1" applyFill="1" applyBorder="1" applyAlignment="1">
      <alignment horizontal="left" vertical="center"/>
    </xf>
    <xf numFmtId="0" fontId="3" fillId="13" borderId="18" xfId="0" applyFont="1" applyFill="1" applyBorder="1" applyAlignment="1">
      <alignment horizontal="left" vertical="center"/>
    </xf>
    <xf numFmtId="0" fontId="3" fillId="13" borderId="18" xfId="0" applyFont="1" applyFill="1" applyBorder="1" applyAlignment="1">
      <alignment vertical="center"/>
    </xf>
    <xf numFmtId="0" fontId="9" fillId="13" borderId="8" xfId="0" applyFont="1" applyFill="1" applyBorder="1" applyAlignment="1">
      <alignment horizontal="left" vertical="center" wrapText="1"/>
    </xf>
    <xf numFmtId="0" fontId="3" fillId="0" borderId="25" xfId="0" applyFont="1" applyBorder="1" applyAlignment="1">
      <alignment vertical="center"/>
    </xf>
    <xf numFmtId="0" fontId="3" fillId="10" borderId="16" xfId="0" applyFont="1" applyFill="1" applyBorder="1" applyAlignment="1">
      <alignment vertical="center"/>
    </xf>
    <xf numFmtId="0" fontId="3" fillId="10" borderId="21" xfId="0" applyFont="1" applyFill="1" applyBorder="1" applyAlignment="1">
      <alignment vertical="center"/>
    </xf>
    <xf numFmtId="0" fontId="15" fillId="10" borderId="5" xfId="0" applyFont="1" applyFill="1" applyBorder="1" applyAlignment="1">
      <alignment horizontal="center" vertical="center" wrapText="1"/>
    </xf>
    <xf numFmtId="3" fontId="3" fillId="10" borderId="5" xfId="1" applyNumberFormat="1" applyFont="1" applyFill="1" applyBorder="1" applyAlignment="1">
      <alignment horizontal="right" vertical="center"/>
    </xf>
    <xf numFmtId="0" fontId="3" fillId="10" borderId="5" xfId="0" applyFont="1" applyFill="1" applyBorder="1" applyAlignment="1">
      <alignment horizontal="center" vertical="center" wrapText="1"/>
    </xf>
    <xf numFmtId="0" fontId="3" fillId="10" borderId="5" xfId="0" applyFont="1" applyFill="1" applyBorder="1" applyAlignment="1">
      <alignment horizontal="center" vertical="center"/>
    </xf>
    <xf numFmtId="0" fontId="15" fillId="10" borderId="5" xfId="0" applyFont="1" applyFill="1" applyBorder="1" applyAlignment="1">
      <alignment horizontal="left" vertical="center" wrapText="1"/>
    </xf>
    <xf numFmtId="0" fontId="3" fillId="10" borderId="5" xfId="0" applyFont="1" applyFill="1" applyBorder="1" applyAlignment="1">
      <alignment vertical="center"/>
    </xf>
    <xf numFmtId="0" fontId="3" fillId="10" borderId="5" xfId="0" applyFont="1" applyFill="1" applyBorder="1" applyAlignment="1">
      <alignment horizontal="left" vertical="center"/>
    </xf>
    <xf numFmtId="16" fontId="3" fillId="10" borderId="5" xfId="0" quotePrefix="1" applyNumberFormat="1" applyFont="1" applyFill="1" applyBorder="1" applyAlignment="1">
      <alignment horizontal="center" vertical="center" wrapText="1"/>
    </xf>
    <xf numFmtId="0" fontId="58" fillId="10" borderId="5" xfId="0" applyFont="1" applyFill="1" applyBorder="1" applyAlignment="1">
      <alignment vertical="center" wrapText="1"/>
    </xf>
    <xf numFmtId="3" fontId="3" fillId="10" borderId="5" xfId="0" applyNumberFormat="1" applyFont="1" applyFill="1" applyBorder="1" applyAlignment="1">
      <alignment horizontal="left" vertical="center"/>
    </xf>
    <xf numFmtId="0" fontId="28" fillId="23" borderId="10" xfId="0" applyFont="1" applyFill="1" applyBorder="1" applyAlignment="1">
      <alignment horizontal="center" vertical="center"/>
    </xf>
    <xf numFmtId="3" fontId="3" fillId="23" borderId="16" xfId="1" applyNumberFormat="1" applyFont="1" applyFill="1" applyBorder="1" applyAlignment="1">
      <alignment horizontal="right" vertical="center"/>
    </xf>
    <xf numFmtId="16" fontId="3" fillId="13" borderId="18" xfId="0" quotePrefix="1" applyNumberFormat="1" applyFont="1" applyFill="1" applyBorder="1" applyAlignment="1">
      <alignment horizontal="center" vertical="center" wrapText="1"/>
    </xf>
    <xf numFmtId="0" fontId="3" fillId="13" borderId="18" xfId="0" quotePrefix="1" applyFont="1" applyFill="1" applyBorder="1" applyAlignment="1">
      <alignment horizontal="center" vertical="center"/>
    </xf>
    <xf numFmtId="0" fontId="3" fillId="13" borderId="5" xfId="0" applyFont="1" applyFill="1" applyBorder="1" applyAlignment="1">
      <alignment vertical="center" wrapText="1"/>
    </xf>
    <xf numFmtId="0" fontId="3" fillId="13" borderId="16" xfId="0" applyFont="1" applyFill="1" applyBorder="1" applyAlignment="1">
      <alignment vertical="center"/>
    </xf>
    <xf numFmtId="0" fontId="3" fillId="13" borderId="25" xfId="0" applyFont="1" applyFill="1" applyBorder="1" applyAlignment="1">
      <alignment vertical="center"/>
    </xf>
    <xf numFmtId="0" fontId="3" fillId="13" borderId="12" xfId="0" applyFont="1" applyFill="1" applyBorder="1" applyAlignment="1">
      <alignment vertical="center"/>
    </xf>
    <xf numFmtId="16" fontId="3" fillId="13" borderId="5" xfId="0" quotePrefix="1" applyNumberFormat="1" applyFont="1" applyFill="1" applyBorder="1" applyAlignment="1">
      <alignment horizontal="center" vertical="center" wrapText="1"/>
    </xf>
    <xf numFmtId="0" fontId="3" fillId="13" borderId="21" xfId="0" applyFont="1" applyFill="1" applyBorder="1" applyAlignment="1">
      <alignment vertical="center"/>
    </xf>
    <xf numFmtId="0" fontId="3" fillId="13" borderId="22" xfId="0" applyFont="1" applyFill="1" applyBorder="1" applyAlignment="1">
      <alignment vertical="center"/>
    </xf>
    <xf numFmtId="0" fontId="15" fillId="26" borderId="8" xfId="0" applyFont="1" applyFill="1" applyBorder="1" applyAlignment="1">
      <alignment horizontal="center" vertical="center" wrapText="1"/>
    </xf>
    <xf numFmtId="0" fontId="15" fillId="26" borderId="16" xfId="0" applyFont="1" applyFill="1" applyBorder="1" applyAlignment="1">
      <alignment horizontal="center" vertical="center" wrapText="1"/>
    </xf>
    <xf numFmtId="0" fontId="15" fillId="26" borderId="18" xfId="0" applyFont="1" applyFill="1" applyBorder="1" applyAlignment="1">
      <alignment horizontal="center" vertical="center" wrapText="1"/>
    </xf>
    <xf numFmtId="0" fontId="15" fillId="26" borderId="20" xfId="0" applyFont="1" applyFill="1" applyBorder="1" applyAlignment="1">
      <alignment horizontal="center" vertical="center" wrapText="1"/>
    </xf>
    <xf numFmtId="0" fontId="15" fillId="26" borderId="6" xfId="0" applyFont="1" applyFill="1" applyBorder="1" applyAlignment="1">
      <alignment horizontal="center" vertical="center" wrapText="1"/>
    </xf>
    <xf numFmtId="0" fontId="12" fillId="13" borderId="5" xfId="0" quotePrefix="1" applyFont="1" applyFill="1" applyBorder="1" applyAlignment="1">
      <alignment horizontal="center" vertical="center" wrapText="1"/>
    </xf>
    <xf numFmtId="14" fontId="3" fillId="13" borderId="5" xfId="0" quotePrefix="1" applyNumberFormat="1" applyFont="1" applyFill="1" applyBorder="1" applyAlignment="1">
      <alignment horizontal="center" vertical="center" wrapText="1"/>
    </xf>
    <xf numFmtId="0" fontId="3" fillId="13" borderId="5" xfId="0" quotePrefix="1" applyFont="1" applyFill="1" applyBorder="1" applyAlignment="1">
      <alignment horizontal="center" vertical="center" wrapText="1"/>
    </xf>
    <xf numFmtId="0" fontId="9" fillId="13" borderId="5" xfId="0" applyFont="1" applyFill="1" applyBorder="1" applyAlignment="1">
      <alignment horizontal="left" vertical="center"/>
    </xf>
    <xf numFmtId="0" fontId="12" fillId="13" borderId="5" xfId="0" applyFont="1" applyFill="1" applyBorder="1" applyAlignment="1">
      <alignment horizontal="left" vertical="center"/>
    </xf>
    <xf numFmtId="0" fontId="11" fillId="13" borderId="5" xfId="0" quotePrefix="1" applyFont="1" applyFill="1" applyBorder="1" applyAlignment="1">
      <alignment horizontal="center" vertical="center" wrapText="1"/>
    </xf>
    <xf numFmtId="0" fontId="11" fillId="10" borderId="5" xfId="0" quotePrefix="1" applyFont="1" applyFill="1" applyBorder="1" applyAlignment="1">
      <alignment horizontal="center" vertical="center" wrapText="1"/>
    </xf>
    <xf numFmtId="0" fontId="12" fillId="10" borderId="5" xfId="0" applyFont="1" applyFill="1" applyBorder="1" applyAlignment="1">
      <alignment horizontal="left" vertical="center"/>
    </xf>
    <xf numFmtId="0" fontId="3" fillId="10" borderId="25" xfId="0" applyFont="1" applyFill="1" applyBorder="1" applyAlignment="1">
      <alignment vertical="center"/>
    </xf>
    <xf numFmtId="0" fontId="3" fillId="10" borderId="12" xfId="0" applyFont="1" applyFill="1" applyBorder="1" applyAlignment="1">
      <alignment vertical="center"/>
    </xf>
    <xf numFmtId="0" fontId="9" fillId="13" borderId="5" xfId="0" applyFont="1" applyFill="1" applyBorder="1" applyAlignment="1">
      <alignment horizontal="left" vertical="center" wrapText="1"/>
    </xf>
    <xf numFmtId="0" fontId="55" fillId="13" borderId="5" xfId="0" applyFont="1" applyFill="1" applyBorder="1" applyAlignment="1">
      <alignment horizontal="center" vertical="center"/>
    </xf>
    <xf numFmtId="0" fontId="11" fillId="13" borderId="5" xfId="0" applyFont="1" applyFill="1" applyBorder="1" applyAlignment="1">
      <alignment horizontal="center" vertical="center"/>
    </xf>
    <xf numFmtId="3" fontId="11" fillId="13" borderId="5" xfId="1" applyNumberFormat="1" applyFont="1" applyFill="1" applyBorder="1" applyAlignment="1">
      <alignment horizontal="right" vertical="center"/>
    </xf>
    <xf numFmtId="0" fontId="11" fillId="13" borderId="5" xfId="0" applyFont="1" applyFill="1" applyBorder="1" applyAlignment="1">
      <alignment horizontal="center" vertical="center" wrapText="1"/>
    </xf>
    <xf numFmtId="0" fontId="11" fillId="13" borderId="5" xfId="0" applyFont="1" applyFill="1" applyBorder="1" applyAlignment="1">
      <alignment horizontal="left" vertical="center" wrapText="1"/>
    </xf>
    <xf numFmtId="0" fontId="12" fillId="13" borderId="5" xfId="0" applyFont="1" applyFill="1" applyBorder="1" applyAlignment="1">
      <alignment horizontal="left" vertical="center" wrapText="1"/>
    </xf>
    <xf numFmtId="3" fontId="11" fillId="13" borderId="5" xfId="0" applyNumberFormat="1" applyFont="1" applyFill="1" applyBorder="1" applyAlignment="1">
      <alignment horizontal="left" vertical="center"/>
    </xf>
    <xf numFmtId="0" fontId="11" fillId="13" borderId="25" xfId="0" applyFont="1" applyFill="1" applyBorder="1" applyAlignment="1">
      <alignment vertical="center"/>
    </xf>
    <xf numFmtId="0" fontId="11" fillId="13" borderId="0" xfId="0" applyFont="1" applyFill="1" applyAlignment="1">
      <alignment vertical="center"/>
    </xf>
    <xf numFmtId="3" fontId="15" fillId="0" borderId="8" xfId="1" applyNumberFormat="1" applyFont="1" applyBorder="1" applyAlignment="1">
      <alignment horizontal="right" vertical="center"/>
    </xf>
    <xf numFmtId="0" fontId="15" fillId="0" borderId="8" xfId="0" quotePrefix="1" applyFont="1" applyBorder="1" applyAlignment="1">
      <alignment horizontal="center" vertical="center" wrapText="1"/>
    </xf>
    <xf numFmtId="0" fontId="15" fillId="0" borderId="10" xfId="0" applyFont="1" applyBorder="1" applyAlignment="1">
      <alignment horizontal="center" vertical="center"/>
    </xf>
    <xf numFmtId="0" fontId="15" fillId="0" borderId="8" xfId="0" applyFont="1" applyBorder="1" applyAlignment="1">
      <alignment horizontal="left" vertical="center"/>
    </xf>
    <xf numFmtId="3" fontId="15" fillId="0" borderId="8" xfId="0" applyNumberFormat="1" applyFont="1" applyBorder="1" applyAlignment="1">
      <alignment horizontal="left" vertical="center"/>
    </xf>
    <xf numFmtId="0" fontId="30" fillId="13" borderId="18" xfId="0" applyFont="1" applyFill="1" applyBorder="1" applyAlignment="1">
      <alignment horizontal="center" vertical="center"/>
    </xf>
    <xf numFmtId="0" fontId="15" fillId="13" borderId="18" xfId="0" applyFont="1" applyFill="1" applyBorder="1" applyAlignment="1">
      <alignment horizontal="center" vertical="center"/>
    </xf>
    <xf numFmtId="3" fontId="15" fillId="13" borderId="18" xfId="1" applyNumberFormat="1" applyFont="1" applyFill="1" applyBorder="1" applyAlignment="1">
      <alignment horizontal="right" vertical="center"/>
    </xf>
    <xf numFmtId="0" fontId="15" fillId="13" borderId="18" xfId="0" quotePrefix="1" applyFont="1" applyFill="1" applyBorder="1" applyAlignment="1">
      <alignment horizontal="center" vertical="center" wrapText="1"/>
    </xf>
    <xf numFmtId="0" fontId="15" fillId="13" borderId="19" xfId="0" applyFont="1" applyFill="1" applyBorder="1" applyAlignment="1">
      <alignment horizontal="center" vertical="center"/>
    </xf>
    <xf numFmtId="0" fontId="15" fillId="13" borderId="18" xfId="0" applyFont="1" applyFill="1" applyBorder="1" applyAlignment="1">
      <alignment horizontal="left" vertical="center"/>
    </xf>
    <xf numFmtId="3" fontId="15" fillId="13" borderId="18" xfId="0" applyNumberFormat="1" applyFont="1" applyFill="1" applyBorder="1" applyAlignment="1">
      <alignment horizontal="left" vertical="center"/>
    </xf>
    <xf numFmtId="0" fontId="15" fillId="13" borderId="18" xfId="0" applyFont="1" applyFill="1" applyBorder="1" applyAlignment="1">
      <alignment vertical="center"/>
    </xf>
    <xf numFmtId="0" fontId="15" fillId="10" borderId="2" xfId="0" applyFont="1" applyFill="1" applyBorder="1" applyAlignment="1">
      <alignment horizontal="left" vertical="center" wrapText="1"/>
    </xf>
    <xf numFmtId="0" fontId="12" fillId="10" borderId="8" xfId="0" quotePrefix="1" applyFont="1" applyFill="1" applyBorder="1"/>
    <xf numFmtId="0" fontId="3" fillId="10" borderId="4" xfId="0" applyFont="1" applyFill="1" applyBorder="1" applyAlignment="1">
      <alignment horizontal="center" vertical="center"/>
    </xf>
    <xf numFmtId="0" fontId="28" fillId="13" borderId="7" xfId="0" applyFont="1" applyFill="1" applyBorder="1" applyAlignment="1">
      <alignment horizontal="center" vertical="center"/>
    </xf>
    <xf numFmtId="3" fontId="3" fillId="13" borderId="7" xfId="1" applyNumberFormat="1" applyFont="1" applyFill="1" applyBorder="1" applyAlignment="1">
      <alignment horizontal="right" vertical="center"/>
    </xf>
    <xf numFmtId="0" fontId="15" fillId="13" borderId="7" xfId="0" applyFont="1" applyFill="1" applyBorder="1" applyAlignment="1">
      <alignment horizontal="left" vertical="center"/>
    </xf>
    <xf numFmtId="3" fontId="3" fillId="13" borderId="7" xfId="0" applyNumberFormat="1" applyFont="1" applyFill="1" applyBorder="1" applyAlignment="1">
      <alignment horizontal="left" vertical="center"/>
    </xf>
    <xf numFmtId="0" fontId="63" fillId="0" borderId="5" xfId="0" applyFont="1" applyBorder="1" applyAlignment="1">
      <alignment horizontal="center" vertical="center"/>
    </xf>
    <xf numFmtId="0" fontId="63" fillId="0" borderId="0" xfId="0" applyFont="1" applyAlignment="1">
      <alignment horizontal="center" vertical="center"/>
    </xf>
    <xf numFmtId="0" fontId="63" fillId="0" borderId="0" xfId="0" applyFont="1" applyAlignment="1">
      <alignment vertical="center"/>
    </xf>
    <xf numFmtId="0" fontId="15" fillId="10" borderId="22" xfId="0" applyFont="1" applyFill="1" applyBorder="1" applyAlignment="1">
      <alignment horizontal="center" vertical="center"/>
    </xf>
    <xf numFmtId="0" fontId="3" fillId="13" borderId="22" xfId="0" applyFont="1" applyFill="1" applyBorder="1" applyAlignment="1">
      <alignment horizontal="left" vertical="center" wrapText="1"/>
    </xf>
    <xf numFmtId="0" fontId="15" fillId="13" borderId="2" xfId="0" applyFont="1" applyFill="1" applyBorder="1" applyAlignment="1">
      <alignment horizontal="left" vertical="center" wrapText="1"/>
    </xf>
    <xf numFmtId="0" fontId="12" fillId="13" borderId="8" xfId="0" applyFont="1" applyFill="1" applyBorder="1"/>
    <xf numFmtId="0" fontId="12" fillId="13" borderId="0" xfId="0" applyFont="1" applyFill="1"/>
    <xf numFmtId="0" fontId="30" fillId="13" borderId="8" xfId="0" applyFont="1" applyFill="1" applyBorder="1" applyAlignment="1">
      <alignment horizontal="center" vertical="center"/>
    </xf>
    <xf numFmtId="16" fontId="15" fillId="13" borderId="8" xfId="0" quotePrefix="1" applyNumberFormat="1" applyFont="1" applyFill="1" applyBorder="1" applyAlignment="1">
      <alignment horizontal="center" vertical="center" wrapText="1"/>
    </xf>
    <xf numFmtId="0" fontId="15" fillId="13" borderId="10" xfId="0" applyFont="1" applyFill="1" applyBorder="1" applyAlignment="1">
      <alignment horizontal="center" vertical="center"/>
    </xf>
    <xf numFmtId="16" fontId="3" fillId="13" borderId="8" xfId="0" quotePrefix="1" applyNumberFormat="1" applyFont="1" applyFill="1" applyBorder="1" applyAlignment="1">
      <alignment horizontal="center" vertical="center" wrapText="1"/>
    </xf>
    <xf numFmtId="0" fontId="28" fillId="27" borderId="5" xfId="0" applyFont="1" applyFill="1" applyBorder="1" applyAlignment="1">
      <alignment horizontal="center" vertical="center"/>
    </xf>
    <xf numFmtId="0" fontId="3" fillId="27" borderId="5" xfId="0" applyFont="1" applyFill="1" applyBorder="1" applyAlignment="1">
      <alignment horizontal="center" vertical="center"/>
    </xf>
    <xf numFmtId="3" fontId="3" fillId="27" borderId="5" xfId="1" applyNumberFormat="1" applyFont="1" applyFill="1" applyBorder="1" applyAlignment="1">
      <alignment horizontal="right" vertical="center"/>
    </xf>
    <xf numFmtId="14" fontId="3" fillId="27" borderId="5" xfId="0" applyNumberFormat="1" applyFont="1" applyFill="1" applyBorder="1" applyAlignment="1">
      <alignment horizontal="center" vertical="center" wrapText="1"/>
    </xf>
    <xf numFmtId="0" fontId="3" fillId="27" borderId="5" xfId="0" applyFont="1" applyFill="1" applyBorder="1" applyAlignment="1">
      <alignment horizontal="center" vertical="center" wrapText="1"/>
    </xf>
    <xf numFmtId="0" fontId="15" fillId="27" borderId="5" xfId="0" applyFont="1" applyFill="1" applyBorder="1" applyAlignment="1">
      <alignment horizontal="left" vertical="center" wrapText="1"/>
    </xf>
    <xf numFmtId="0" fontId="3" fillId="27" borderId="5" xfId="0" applyFont="1" applyFill="1" applyBorder="1" applyAlignment="1">
      <alignment horizontal="left" vertical="center"/>
    </xf>
    <xf numFmtId="0" fontId="3" fillId="27" borderId="25" xfId="0" applyFont="1" applyFill="1" applyBorder="1" applyAlignment="1">
      <alignment vertical="center"/>
    </xf>
    <xf numFmtId="0" fontId="3" fillId="27" borderId="12" xfId="0" applyFont="1" applyFill="1" applyBorder="1" applyAlignment="1">
      <alignment vertical="center"/>
    </xf>
    <xf numFmtId="0" fontId="3" fillId="23" borderId="5" xfId="0" quotePrefix="1" applyFont="1" applyFill="1" applyBorder="1" applyAlignment="1">
      <alignment horizontal="center" vertical="center" wrapText="1"/>
    </xf>
    <xf numFmtId="0" fontId="9" fillId="23" borderId="8" xfId="0" applyFont="1" applyFill="1" applyBorder="1" applyAlignment="1">
      <alignment vertical="center"/>
    </xf>
    <xf numFmtId="0" fontId="3" fillId="23" borderId="4" xfId="0" applyFont="1" applyFill="1" applyBorder="1" applyAlignment="1">
      <alignment horizontal="center" vertical="center"/>
    </xf>
    <xf numFmtId="0" fontId="3" fillId="23" borderId="25" xfId="0" applyFont="1" applyFill="1" applyBorder="1" applyAlignment="1">
      <alignment vertical="center"/>
    </xf>
    <xf numFmtId="0" fontId="12" fillId="23" borderId="8" xfId="0" applyFont="1" applyFill="1" applyBorder="1" applyAlignment="1">
      <alignment horizontal="center" vertical="center" wrapText="1"/>
    </xf>
    <xf numFmtId="14" fontId="3" fillId="23" borderId="5" xfId="0" applyNumberFormat="1" applyFont="1" applyFill="1" applyBorder="1" applyAlignment="1">
      <alignment horizontal="center" vertical="center" wrapText="1"/>
    </xf>
    <xf numFmtId="16" fontId="3" fillId="23" borderId="5" xfId="0" quotePrefix="1" applyNumberFormat="1" applyFont="1" applyFill="1" applyBorder="1" applyAlignment="1">
      <alignment horizontal="center" vertical="center" wrapText="1"/>
    </xf>
    <xf numFmtId="0" fontId="3" fillId="23" borderId="7" xfId="0" applyFont="1" applyFill="1" applyBorder="1" applyAlignment="1">
      <alignment horizontal="left" vertical="center"/>
    </xf>
    <xf numFmtId="0" fontId="28" fillId="23" borderId="7" xfId="0" applyFont="1" applyFill="1" applyBorder="1" applyAlignment="1">
      <alignment horizontal="center" vertical="center"/>
    </xf>
    <xf numFmtId="14" fontId="3" fillId="23" borderId="7" xfId="0" quotePrefix="1" applyNumberFormat="1" applyFont="1" applyFill="1" applyBorder="1" applyAlignment="1">
      <alignment horizontal="center" vertical="center" wrapText="1"/>
    </xf>
    <xf numFmtId="0" fontId="15" fillId="23" borderId="2" xfId="0" applyFont="1" applyFill="1" applyBorder="1" applyAlignment="1">
      <alignment horizontal="left" vertical="center" wrapText="1"/>
    </xf>
    <xf numFmtId="0" fontId="15" fillId="23" borderId="7" xfId="0" applyFont="1" applyFill="1" applyBorder="1" applyAlignment="1">
      <alignment horizontal="left" vertical="center" wrapText="1"/>
    </xf>
    <xf numFmtId="0" fontId="15" fillId="13" borderId="8" xfId="0" quotePrefix="1" applyFont="1" applyFill="1" applyBorder="1" applyAlignment="1">
      <alignment horizontal="center" vertical="center" wrapText="1"/>
    </xf>
    <xf numFmtId="0" fontId="12" fillId="13" borderId="8" xfId="0" quotePrefix="1" applyFont="1" applyFill="1" applyBorder="1" applyAlignment="1">
      <alignment vertical="center" wrapText="1"/>
    </xf>
    <xf numFmtId="0" fontId="28" fillId="28" borderId="8" xfId="0" applyFont="1" applyFill="1" applyBorder="1" applyAlignment="1">
      <alignment horizontal="center" vertical="center"/>
    </xf>
    <xf numFmtId="0" fontId="3" fillId="28" borderId="8" xfId="0" applyFont="1" applyFill="1" applyBorder="1" applyAlignment="1">
      <alignment horizontal="center" vertical="center"/>
    </xf>
    <xf numFmtId="3" fontId="3" fillId="28" borderId="8" xfId="1" applyNumberFormat="1" applyFont="1" applyFill="1" applyBorder="1" applyAlignment="1">
      <alignment horizontal="right" vertical="center"/>
    </xf>
    <xf numFmtId="0" fontId="3" fillId="28" borderId="8" xfId="0" quotePrefix="1" applyFont="1" applyFill="1" applyBorder="1" applyAlignment="1">
      <alignment horizontal="center" vertical="center" wrapText="1"/>
    </xf>
    <xf numFmtId="0" fontId="3" fillId="28" borderId="8" xfId="0" applyFont="1" applyFill="1" applyBorder="1" applyAlignment="1">
      <alignment horizontal="center" vertical="center" wrapText="1"/>
    </xf>
    <xf numFmtId="0" fontId="3" fillId="28" borderId="8" xfId="0" applyFont="1" applyFill="1" applyBorder="1" applyAlignment="1">
      <alignment horizontal="left" vertical="center" wrapText="1"/>
    </xf>
    <xf numFmtId="0" fontId="3" fillId="28" borderId="8" xfId="0" applyFont="1" applyFill="1" applyBorder="1" applyAlignment="1">
      <alignment horizontal="left" vertical="center"/>
    </xf>
    <xf numFmtId="0" fontId="3" fillId="28" borderId="0" xfId="0" applyFont="1" applyFill="1" applyAlignment="1">
      <alignment vertical="center"/>
    </xf>
    <xf numFmtId="0" fontId="3" fillId="23" borderId="8" xfId="0" quotePrefix="1" applyFont="1" applyFill="1" applyBorder="1" applyAlignment="1">
      <alignment horizontal="center" vertical="center" wrapText="1"/>
    </xf>
    <xf numFmtId="16" fontId="3" fillId="23" borderId="8" xfId="0" quotePrefix="1" applyNumberFormat="1" applyFont="1" applyFill="1" applyBorder="1" applyAlignment="1">
      <alignment horizontal="center" vertical="center" wrapText="1"/>
    </xf>
    <xf numFmtId="3" fontId="19" fillId="2" borderId="5" xfId="1" applyNumberFormat="1" applyFont="1" applyFill="1" applyBorder="1" applyAlignment="1">
      <alignment horizontal="center" vertical="center"/>
    </xf>
    <xf numFmtId="0" fontId="3" fillId="23" borderId="10" xfId="0" applyFont="1" applyFill="1" applyBorder="1" applyAlignment="1">
      <alignment horizontal="center" vertical="center"/>
    </xf>
    <xf numFmtId="0" fontId="3" fillId="23" borderId="8" xfId="0" applyFont="1" applyFill="1" applyBorder="1" applyAlignment="1">
      <alignment vertical="center" wrapText="1"/>
    </xf>
    <xf numFmtId="0" fontId="3" fillId="23" borderId="16" xfId="0" applyFont="1" applyFill="1" applyBorder="1" applyAlignment="1">
      <alignment horizontal="left" vertical="center"/>
    </xf>
    <xf numFmtId="0" fontId="12" fillId="0" borderId="8" xfId="0" applyFont="1" applyBorder="1" applyAlignment="1">
      <alignment horizontal="center" vertical="center" wrapText="1"/>
    </xf>
    <xf numFmtId="0" fontId="3" fillId="23" borderId="10" xfId="0" applyFont="1" applyFill="1" applyBorder="1" applyAlignment="1">
      <alignment horizontal="center" vertical="center" wrapText="1"/>
    </xf>
    <xf numFmtId="0" fontId="3" fillId="23" borderId="12" xfId="0" applyFont="1" applyFill="1" applyBorder="1" applyAlignment="1">
      <alignment vertical="center" wrapText="1"/>
    </xf>
    <xf numFmtId="0" fontId="9" fillId="23" borderId="8" xfId="0" applyFont="1" applyFill="1" applyBorder="1" applyAlignment="1">
      <alignment horizontal="left" vertical="center"/>
    </xf>
    <xf numFmtId="49" fontId="3" fillId="0" borderId="8" xfId="0" applyNumberFormat="1" applyFont="1" applyBorder="1" applyAlignment="1">
      <alignment horizontal="center" vertical="center"/>
    </xf>
    <xf numFmtId="0" fontId="3" fillId="0" borderId="8" xfId="0" applyFont="1" applyBorder="1" applyAlignment="1">
      <alignment vertical="center"/>
    </xf>
    <xf numFmtId="0" fontId="65" fillId="23" borderId="0" xfId="0" applyFont="1" applyFill="1" applyAlignment="1">
      <alignment wrapText="1"/>
    </xf>
    <xf numFmtId="0" fontId="15" fillId="23" borderId="0" xfId="0" applyFont="1" applyFill="1" applyAlignment="1">
      <alignment wrapText="1"/>
    </xf>
    <xf numFmtId="0" fontId="15" fillId="23" borderId="8" xfId="0" applyFont="1" applyFill="1" applyBorder="1" applyAlignment="1">
      <alignment horizontal="center" vertical="center" wrapText="1"/>
    </xf>
    <xf numFmtId="0" fontId="30" fillId="23" borderId="8" xfId="0" applyFont="1" applyFill="1" applyBorder="1" applyAlignment="1">
      <alignment horizontal="center" vertical="center"/>
    </xf>
    <xf numFmtId="0" fontId="15" fillId="23" borderId="8" xfId="0" applyFont="1" applyFill="1" applyBorder="1" applyAlignment="1">
      <alignment horizontal="center" vertical="center"/>
    </xf>
    <xf numFmtId="3" fontId="15" fillId="23" borderId="8" xfId="1" applyNumberFormat="1" applyFont="1" applyFill="1" applyBorder="1" applyAlignment="1">
      <alignment horizontal="right" vertical="center"/>
    </xf>
    <xf numFmtId="0" fontId="15" fillId="23" borderId="8" xfId="0" applyFont="1" applyFill="1" applyBorder="1" applyAlignment="1">
      <alignment horizontal="left" vertical="center"/>
    </xf>
    <xf numFmtId="0" fontId="15" fillId="23" borderId="0" xfId="0" applyFont="1" applyFill="1" applyAlignment="1">
      <alignment vertical="center"/>
    </xf>
    <xf numFmtId="16" fontId="12" fillId="23" borderId="8" xfId="0" applyNumberFormat="1" applyFont="1" applyFill="1" applyBorder="1" applyAlignment="1">
      <alignment horizontal="center" vertical="center" wrapText="1"/>
    </xf>
    <xf numFmtId="16" fontId="3" fillId="23" borderId="8" xfId="0" applyNumberFormat="1" applyFont="1" applyFill="1" applyBorder="1" applyAlignment="1">
      <alignment horizontal="center" vertical="center" wrapText="1"/>
    </xf>
    <xf numFmtId="16" fontId="3" fillId="23" borderId="8" xfId="0" applyNumberFormat="1" applyFont="1" applyFill="1" applyBorder="1" applyAlignment="1">
      <alignment horizontal="left" vertical="center" wrapText="1"/>
    </xf>
    <xf numFmtId="16" fontId="3" fillId="23" borderId="8" xfId="0" applyNumberFormat="1" applyFont="1" applyFill="1" applyBorder="1" applyAlignment="1">
      <alignment horizontal="center" vertical="center"/>
    </xf>
    <xf numFmtId="0" fontId="12" fillId="23" borderId="8" xfId="0" applyFont="1" applyFill="1" applyBorder="1" applyAlignment="1">
      <alignment horizontal="center" vertical="center"/>
    </xf>
    <xf numFmtId="0" fontId="28" fillId="27" borderId="8" xfId="0" applyFont="1" applyFill="1" applyBorder="1" applyAlignment="1">
      <alignment horizontal="center" vertical="center"/>
    </xf>
    <xf numFmtId="0" fontId="3" fillId="27" borderId="8" xfId="0" applyFont="1" applyFill="1" applyBorder="1" applyAlignment="1">
      <alignment horizontal="center" vertical="center"/>
    </xf>
    <xf numFmtId="3" fontId="3" fillId="27" borderId="8" xfId="1" applyNumberFormat="1" applyFont="1" applyFill="1" applyBorder="1" applyAlignment="1">
      <alignment horizontal="right" vertical="center"/>
    </xf>
    <xf numFmtId="0" fontId="3" fillId="27" borderId="8" xfId="0" applyFont="1" applyFill="1" applyBorder="1" applyAlignment="1">
      <alignment horizontal="center" vertical="center" wrapText="1"/>
    </xf>
    <xf numFmtId="0" fontId="3" fillId="27" borderId="8" xfId="0" applyFont="1" applyFill="1" applyBorder="1" applyAlignment="1">
      <alignment horizontal="left" vertical="center"/>
    </xf>
    <xf numFmtId="0" fontId="3" fillId="27" borderId="0" xfId="0" applyFont="1" applyFill="1" applyAlignment="1">
      <alignment vertical="center"/>
    </xf>
    <xf numFmtId="0" fontId="28" fillId="29" borderId="8" xfId="0" applyFont="1" applyFill="1" applyBorder="1" applyAlignment="1">
      <alignment horizontal="center" vertical="center"/>
    </xf>
    <xf numFmtId="0" fontId="12" fillId="29" borderId="8" xfId="0" applyFont="1" applyFill="1" applyBorder="1" applyAlignment="1">
      <alignment horizontal="center" vertical="center"/>
    </xf>
    <xf numFmtId="3" fontId="3" fillId="29" borderId="8" xfId="1" applyNumberFormat="1" applyFont="1" applyFill="1" applyBorder="1" applyAlignment="1">
      <alignment horizontal="right" vertical="center"/>
    </xf>
    <xf numFmtId="14" fontId="3" fillId="29" borderId="8" xfId="0" applyNumberFormat="1" applyFont="1" applyFill="1" applyBorder="1" applyAlignment="1">
      <alignment horizontal="center" vertical="center" wrapText="1"/>
    </xf>
    <xf numFmtId="0" fontId="3" fillId="29" borderId="8" xfId="0" applyFont="1" applyFill="1" applyBorder="1" applyAlignment="1">
      <alignment horizontal="center" vertical="center"/>
    </xf>
    <xf numFmtId="0" fontId="3" fillId="29" borderId="8" xfId="0" applyFont="1" applyFill="1" applyBorder="1" applyAlignment="1">
      <alignment horizontal="center" vertical="center" wrapText="1"/>
    </xf>
    <xf numFmtId="0" fontId="3" fillId="29" borderId="8" xfId="0" applyFont="1" applyFill="1" applyBorder="1" applyAlignment="1">
      <alignment horizontal="left" vertical="center" wrapText="1"/>
    </xf>
    <xf numFmtId="0" fontId="12" fillId="29" borderId="8" xfId="0" applyFont="1" applyFill="1" applyBorder="1" applyAlignment="1">
      <alignment horizontal="left" vertical="center"/>
    </xf>
    <xf numFmtId="0" fontId="3" fillId="29" borderId="8" xfId="0" applyFont="1" applyFill="1" applyBorder="1" applyAlignment="1">
      <alignment horizontal="left" vertical="center"/>
    </xf>
    <xf numFmtId="0" fontId="3" fillId="29" borderId="0" xfId="0" applyFont="1" applyFill="1" applyAlignment="1">
      <alignment vertical="center"/>
    </xf>
    <xf numFmtId="0" fontId="3" fillId="23" borderId="16" xfId="0" applyFont="1" applyFill="1" applyBorder="1" applyAlignment="1">
      <alignment vertical="center"/>
    </xf>
    <xf numFmtId="3" fontId="3" fillId="23" borderId="8" xfId="1" applyNumberFormat="1" applyFont="1" applyFill="1" applyBorder="1" applyAlignment="1">
      <alignment horizontal="center" vertical="center"/>
    </xf>
    <xf numFmtId="0" fontId="8" fillId="23" borderId="8" xfId="0" applyFont="1" applyFill="1" applyBorder="1" applyAlignment="1">
      <alignment horizontal="left" vertical="center" wrapText="1"/>
    </xf>
    <xf numFmtId="164" fontId="19" fillId="2" borderId="5" xfId="1" applyNumberFormat="1" applyFont="1" applyFill="1" applyBorder="1" applyAlignment="1">
      <alignment horizontal="right" vertical="center"/>
    </xf>
    <xf numFmtId="164" fontId="21" fillId="2" borderId="5" xfId="1" applyNumberFormat="1" applyFont="1" applyFill="1" applyBorder="1" applyAlignment="1">
      <alignment horizontal="right" vertical="center" wrapText="1"/>
    </xf>
    <xf numFmtId="0" fontId="3" fillId="23" borderId="8" xfId="0" quotePrefix="1" applyFont="1" applyFill="1" applyBorder="1" applyAlignment="1">
      <alignment horizontal="center" vertical="center"/>
    </xf>
    <xf numFmtId="0" fontId="63" fillId="0" borderId="7" xfId="0" applyFont="1" applyBorder="1" applyAlignment="1">
      <alignment horizontal="center" vertical="center"/>
    </xf>
    <xf numFmtId="3" fontId="19" fillId="2" borderId="8" xfId="1" applyNumberFormat="1" applyFont="1" applyFill="1" applyBorder="1" applyAlignment="1">
      <alignment horizontal="right" vertical="center"/>
    </xf>
    <xf numFmtId="14" fontId="19" fillId="0" borderId="8" xfId="0" applyNumberFormat="1" applyFont="1" applyBorder="1" applyAlignment="1">
      <alignment horizontal="center" vertical="center" wrapText="1"/>
    </xf>
    <xf numFmtId="165" fontId="24" fillId="0" borderId="8" xfId="1" applyNumberFormat="1" applyFont="1" applyBorder="1" applyAlignment="1">
      <alignment vertical="center"/>
    </xf>
    <xf numFmtId="0" fontId="29" fillId="2" borderId="8" xfId="0" applyFont="1" applyFill="1" applyBorder="1" applyAlignment="1">
      <alignment horizontal="center" vertical="center" wrapText="1"/>
    </xf>
    <xf numFmtId="0" fontId="21" fillId="2" borderId="8" xfId="0" applyFont="1" applyFill="1" applyBorder="1" applyAlignment="1">
      <alignment horizontal="center" vertical="center" wrapText="1"/>
    </xf>
    <xf numFmtId="3" fontId="21" fillId="2" borderId="8" xfId="1" applyNumberFormat="1" applyFont="1" applyFill="1" applyBorder="1" applyAlignment="1">
      <alignment horizontal="right" vertical="center" wrapText="1"/>
    </xf>
    <xf numFmtId="164" fontId="18" fillId="0" borderId="8" xfId="0" applyNumberFormat="1" applyFont="1" applyBorder="1" applyAlignment="1">
      <alignment horizontal="center" vertical="center" wrapText="1"/>
    </xf>
    <xf numFmtId="0" fontId="15" fillId="23" borderId="8" xfId="0" applyFont="1" applyFill="1" applyBorder="1" applyAlignment="1">
      <alignment vertical="center"/>
    </xf>
    <xf numFmtId="0" fontId="3" fillId="27" borderId="8" xfId="0" applyFont="1" applyFill="1" applyBorder="1" applyAlignment="1">
      <alignment vertical="center"/>
    </xf>
    <xf numFmtId="0" fontId="3" fillId="29" borderId="8" xfId="0" applyFont="1" applyFill="1" applyBorder="1" applyAlignment="1">
      <alignment vertical="center"/>
    </xf>
    <xf numFmtId="16" fontId="15" fillId="23" borderId="8" xfId="0" applyNumberFormat="1" applyFont="1" applyFill="1" applyBorder="1" applyAlignment="1">
      <alignment horizontal="center" vertical="center" wrapText="1"/>
    </xf>
    <xf numFmtId="0" fontId="48" fillId="23" borderId="8" xfId="0" applyFont="1" applyFill="1" applyBorder="1" applyAlignment="1">
      <alignment horizontal="left" vertical="center" wrapText="1"/>
    </xf>
    <xf numFmtId="164" fontId="3" fillId="23" borderId="8" xfId="1" applyNumberFormat="1" applyFont="1" applyFill="1" applyBorder="1" applyAlignment="1">
      <alignment horizontal="right" vertical="center"/>
    </xf>
    <xf numFmtId="164" fontId="3" fillId="23" borderId="12" xfId="1" applyNumberFormat="1" applyFont="1" applyFill="1" applyBorder="1" applyAlignment="1">
      <alignment horizontal="right" vertical="center"/>
    </xf>
    <xf numFmtId="0" fontId="3" fillId="23" borderId="12" xfId="0" applyFont="1" applyFill="1" applyBorder="1" applyAlignment="1">
      <alignment horizontal="left" vertical="center"/>
    </xf>
    <xf numFmtId="164" fontId="3" fillId="27" borderId="8" xfId="1" applyNumberFormat="1" applyFont="1" applyFill="1" applyBorder="1" applyAlignment="1">
      <alignment horizontal="right" vertical="center"/>
    </xf>
    <xf numFmtId="164" fontId="3" fillId="29" borderId="8" xfId="1" applyNumberFormat="1" applyFont="1" applyFill="1" applyBorder="1" applyAlignment="1">
      <alignment horizontal="right" vertical="center"/>
    </xf>
    <xf numFmtId="0" fontId="28" fillId="24" borderId="8" xfId="0" applyFont="1" applyFill="1" applyBorder="1" applyAlignment="1">
      <alignment horizontal="center" vertical="center"/>
    </xf>
    <xf numFmtId="0" fontId="3" fillId="24" borderId="8" xfId="0" applyFont="1" applyFill="1" applyBorder="1" applyAlignment="1">
      <alignment horizontal="center" vertical="center"/>
    </xf>
    <xf numFmtId="164" fontId="3" fillId="24" borderId="8" xfId="1" applyNumberFormat="1" applyFont="1" applyFill="1" applyBorder="1" applyAlignment="1">
      <alignment horizontal="right" vertical="center"/>
    </xf>
    <xf numFmtId="0" fontId="3" fillId="24" borderId="8" xfId="0" applyFont="1" applyFill="1" applyBorder="1" applyAlignment="1">
      <alignment horizontal="center" vertical="center" wrapText="1"/>
    </xf>
    <xf numFmtId="0" fontId="3" fillId="24" borderId="8" xfId="0" applyFont="1" applyFill="1" applyBorder="1" applyAlignment="1">
      <alignment horizontal="left" vertical="center" wrapText="1"/>
    </xf>
    <xf numFmtId="0" fontId="3" fillId="24" borderId="8" xfId="0" applyFont="1" applyFill="1" applyBorder="1" applyAlignment="1">
      <alignment horizontal="left" vertical="center"/>
    </xf>
    <xf numFmtId="0" fontId="3" fillId="24" borderId="8" xfId="0" applyFont="1" applyFill="1" applyBorder="1" applyAlignment="1">
      <alignment vertical="center"/>
    </xf>
    <xf numFmtId="0" fontId="3" fillId="27" borderId="8" xfId="0" quotePrefix="1" applyFont="1" applyFill="1" applyBorder="1" applyAlignment="1">
      <alignment horizontal="center" vertical="center" wrapText="1"/>
    </xf>
    <xf numFmtId="0" fontId="3" fillId="27" borderId="12" xfId="0" applyFont="1" applyFill="1" applyBorder="1" applyAlignment="1">
      <alignment horizontal="center" vertical="center"/>
    </xf>
    <xf numFmtId="0" fontId="3" fillId="27" borderId="8" xfId="0" applyFont="1" applyFill="1" applyBorder="1" applyAlignment="1">
      <alignment horizontal="left" vertical="center" wrapText="1"/>
    </xf>
    <xf numFmtId="0" fontId="3" fillId="27" borderId="10" xfId="0" applyFont="1" applyFill="1" applyBorder="1" applyAlignment="1">
      <alignment horizontal="center" vertical="center"/>
    </xf>
    <xf numFmtId="0" fontId="3" fillId="27" borderId="16" xfId="0" applyFont="1" applyFill="1" applyBorder="1" applyAlignment="1">
      <alignment horizontal="left" vertical="center"/>
    </xf>
    <xf numFmtId="0" fontId="12" fillId="23" borderId="8" xfId="0" applyFont="1" applyFill="1" applyBorder="1" applyAlignment="1">
      <alignment horizontal="left" vertical="center" wrapText="1"/>
    </xf>
    <xf numFmtId="0" fontId="11" fillId="23" borderId="8" xfId="0" applyFont="1" applyFill="1" applyBorder="1" applyAlignment="1">
      <alignment horizontal="left" vertical="center" wrapText="1"/>
    </xf>
    <xf numFmtId="0" fontId="13" fillId="23" borderId="8" xfId="0" applyFont="1" applyFill="1" applyBorder="1" applyAlignment="1">
      <alignment horizontal="left" vertical="center" wrapText="1"/>
    </xf>
    <xf numFmtId="16" fontId="3" fillId="29" borderId="8" xfId="0" applyNumberFormat="1" applyFont="1" applyFill="1" applyBorder="1" applyAlignment="1">
      <alignment horizontal="center" vertical="center" wrapText="1"/>
    </xf>
    <xf numFmtId="0" fontId="28" fillId="29" borderId="12" xfId="0" applyFont="1" applyFill="1" applyBorder="1" applyAlignment="1">
      <alignment horizontal="center" vertical="center"/>
    </xf>
    <xf numFmtId="164" fontId="5" fillId="0" borderId="0" xfId="1" applyNumberFormat="1" applyFont="1" applyAlignment="1">
      <alignment horizontal="center" vertical="center"/>
    </xf>
    <xf numFmtId="165" fontId="24" fillId="0" borderId="5" xfId="1" applyNumberFormat="1" applyFont="1" applyBorder="1" applyAlignment="1">
      <alignment horizontal="center" vertical="center"/>
    </xf>
    <xf numFmtId="0" fontId="28" fillId="23" borderId="18" xfId="0" applyFont="1" applyFill="1" applyBorder="1" applyAlignment="1">
      <alignment horizontal="center" vertical="center"/>
    </xf>
    <xf numFmtId="0" fontId="3" fillId="23" borderId="18" xfId="0" applyFont="1" applyFill="1" applyBorder="1" applyAlignment="1">
      <alignment horizontal="center" vertical="center" wrapText="1"/>
    </xf>
    <xf numFmtId="0" fontId="12" fillId="23" borderId="12" xfId="0" applyFont="1" applyFill="1" applyBorder="1" applyAlignment="1">
      <alignment horizontal="center" vertical="center"/>
    </xf>
    <xf numFmtId="0" fontId="12" fillId="0" borderId="8" xfId="0" applyFont="1" applyBorder="1" applyAlignment="1">
      <alignment horizontal="center" vertical="center"/>
    </xf>
    <xf numFmtId="0" fontId="3" fillId="23" borderId="8" xfId="0" quotePrefix="1" applyFont="1" applyFill="1" applyBorder="1" applyAlignment="1">
      <alignment horizontal="left" vertical="center" wrapText="1"/>
    </xf>
    <xf numFmtId="164" fontId="3" fillId="23" borderId="16" xfId="1" applyNumberFormat="1" applyFont="1" applyFill="1" applyBorder="1" applyAlignment="1">
      <alignment horizontal="right" vertical="center"/>
    </xf>
    <xf numFmtId="0" fontId="12" fillId="24" borderId="8" xfId="0" applyFont="1" applyFill="1" applyBorder="1" applyAlignment="1">
      <alignment horizontal="center" vertical="center"/>
    </xf>
    <xf numFmtId="0" fontId="15" fillId="24" borderId="8" xfId="0" applyFont="1" applyFill="1" applyBorder="1" applyAlignment="1">
      <alignment horizontal="left" vertical="center" wrapText="1"/>
    </xf>
    <xf numFmtId="0" fontId="20" fillId="2" borderId="5" xfId="0" applyFont="1" applyFill="1" applyBorder="1" applyAlignment="1">
      <alignment horizontal="center" vertical="center" wrapText="1"/>
    </xf>
    <xf numFmtId="0" fontId="12" fillId="23" borderId="8" xfId="0" applyFont="1" applyFill="1" applyBorder="1" applyAlignment="1">
      <alignment horizontal="left" vertical="center"/>
    </xf>
    <xf numFmtId="0" fontId="12" fillId="23" borderId="12" xfId="0" applyFont="1" applyFill="1" applyBorder="1" applyAlignment="1">
      <alignment horizontal="left" vertical="center" wrapText="1"/>
    </xf>
    <xf numFmtId="0" fontId="14" fillId="23" borderId="8" xfId="0" applyFont="1" applyFill="1" applyBorder="1" applyAlignment="1">
      <alignment horizontal="left" vertical="center"/>
    </xf>
    <xf numFmtId="0" fontId="9" fillId="23" borderId="8" xfId="0" applyFont="1" applyFill="1" applyBorder="1" applyAlignment="1">
      <alignment horizontal="left" vertical="center" wrapText="1"/>
    </xf>
    <xf numFmtId="0" fontId="12" fillId="29" borderId="8" xfId="0" applyFont="1" applyFill="1" applyBorder="1" applyAlignment="1">
      <alignment horizontal="center" vertical="center" wrapText="1"/>
    </xf>
    <xf numFmtId="0" fontId="12" fillId="29" borderId="8" xfId="0" applyFont="1" applyFill="1" applyBorder="1" applyAlignment="1">
      <alignment horizontal="left" vertical="center" wrapText="1"/>
    </xf>
    <xf numFmtId="164" fontId="3" fillId="23" borderId="5" xfId="1" applyNumberFormat="1" applyFont="1" applyFill="1" applyBorder="1" applyAlignment="1">
      <alignment horizontal="right" vertical="center"/>
    </xf>
    <xf numFmtId="0" fontId="3" fillId="29" borderId="12" xfId="0" applyFont="1" applyFill="1" applyBorder="1" applyAlignment="1">
      <alignment horizontal="center" vertical="center" wrapText="1"/>
    </xf>
    <xf numFmtId="0" fontId="12" fillId="23" borderId="22" xfId="0" applyFont="1" applyFill="1" applyBorder="1" applyAlignment="1">
      <alignment horizontal="center" vertical="center"/>
    </xf>
    <xf numFmtId="164" fontId="3" fillId="23" borderId="18" xfId="1" applyNumberFormat="1" applyFont="1" applyFill="1" applyBorder="1" applyAlignment="1">
      <alignment horizontal="right" vertical="center"/>
    </xf>
    <xf numFmtId="0" fontId="3" fillId="23" borderId="22" xfId="0" applyFont="1" applyFill="1" applyBorder="1" applyAlignment="1">
      <alignment horizontal="center" vertical="center"/>
    </xf>
    <xf numFmtId="164" fontId="12" fillId="23" borderId="8" xfId="1" applyNumberFormat="1" applyFont="1" applyFill="1" applyBorder="1" applyAlignment="1">
      <alignment horizontal="right" vertical="center"/>
    </xf>
    <xf numFmtId="0" fontId="3" fillId="23" borderId="21" xfId="0" applyFont="1" applyFill="1" applyBorder="1" applyAlignment="1">
      <alignment horizontal="center" vertical="center"/>
    </xf>
    <xf numFmtId="0" fontId="3" fillId="23" borderId="19" xfId="0" applyFont="1" applyFill="1" applyBorder="1" applyAlignment="1">
      <alignment horizontal="center" vertical="center" wrapText="1"/>
    </xf>
    <xf numFmtId="0" fontId="3" fillId="23" borderId="20" xfId="0" applyFont="1" applyFill="1" applyBorder="1" applyAlignment="1">
      <alignment horizontal="left" vertical="center" wrapText="1"/>
    </xf>
    <xf numFmtId="16" fontId="3" fillId="23" borderId="12" xfId="0" quotePrefix="1" applyNumberFormat="1" applyFont="1" applyFill="1" applyBorder="1" applyAlignment="1">
      <alignment horizontal="center" vertical="center" wrapText="1"/>
    </xf>
    <xf numFmtId="0" fontId="3" fillId="23" borderId="22" xfId="0" applyFont="1" applyFill="1" applyBorder="1" applyAlignment="1">
      <alignment horizontal="center" vertical="center" wrapText="1"/>
    </xf>
    <xf numFmtId="164" fontId="3" fillId="0" borderId="18" xfId="1" applyNumberFormat="1" applyFont="1" applyBorder="1" applyAlignment="1">
      <alignment horizontal="right" vertical="center"/>
    </xf>
    <xf numFmtId="0" fontId="3" fillId="0" borderId="18" xfId="0" applyFont="1" applyBorder="1" applyAlignment="1">
      <alignment horizontal="left" vertical="center" wrapText="1"/>
    </xf>
    <xf numFmtId="0" fontId="3" fillId="0" borderId="18" xfId="0" applyFont="1" applyBorder="1" applyAlignment="1">
      <alignment horizontal="left" vertical="center"/>
    </xf>
    <xf numFmtId="0" fontId="12" fillId="0" borderId="18" xfId="0" applyFont="1" applyBorder="1" applyAlignment="1">
      <alignment horizontal="center" vertical="center"/>
    </xf>
    <xf numFmtId="0" fontId="3" fillId="0" borderId="18" xfId="0" applyFont="1" applyBorder="1" applyAlignment="1">
      <alignment vertical="center"/>
    </xf>
    <xf numFmtId="0" fontId="3" fillId="23" borderId="18" xfId="0" applyFont="1" applyFill="1" applyBorder="1" applyAlignment="1">
      <alignment horizontal="left" vertical="center"/>
    </xf>
    <xf numFmtId="0" fontId="12" fillId="23" borderId="18" xfId="0" applyFont="1" applyFill="1" applyBorder="1" applyAlignment="1">
      <alignment horizontal="center" vertical="center"/>
    </xf>
    <xf numFmtId="0" fontId="3" fillId="23" borderId="18" xfId="0" applyFont="1" applyFill="1" applyBorder="1" applyAlignment="1">
      <alignment vertical="center"/>
    </xf>
    <xf numFmtId="0" fontId="43" fillId="23" borderId="16" xfId="0" applyFont="1" applyFill="1" applyBorder="1" applyAlignment="1">
      <alignment horizontal="center" vertical="center" wrapText="1"/>
    </xf>
    <xf numFmtId="0" fontId="3" fillId="23" borderId="5" xfId="0" applyFont="1" applyFill="1" applyBorder="1" applyAlignment="1">
      <alignment vertical="center" wrapText="1"/>
    </xf>
    <xf numFmtId="0" fontId="15" fillId="23" borderId="16" xfId="0" applyFont="1" applyFill="1" applyBorder="1" applyAlignment="1">
      <alignment horizontal="left" vertical="center" wrapText="1"/>
    </xf>
    <xf numFmtId="0" fontId="28" fillId="23" borderId="18" xfId="0" applyFont="1" applyFill="1" applyBorder="1" applyAlignment="1">
      <alignment horizontal="left" vertical="center" wrapText="1"/>
    </xf>
    <xf numFmtId="0" fontId="13" fillId="23" borderId="18" xfId="0" applyFont="1" applyFill="1" applyBorder="1" applyAlignment="1">
      <alignment horizontal="left" vertical="center"/>
    </xf>
    <xf numFmtId="0" fontId="14" fillId="23" borderId="8" xfId="0" applyFont="1" applyFill="1" applyBorder="1" applyAlignment="1">
      <alignment horizontal="left" vertical="center" wrapText="1"/>
    </xf>
    <xf numFmtId="16" fontId="3" fillId="23" borderId="18" xfId="0" applyNumberFormat="1" applyFont="1" applyFill="1" applyBorder="1" applyAlignment="1">
      <alignment horizontal="center" vertical="center" wrapText="1"/>
    </xf>
    <xf numFmtId="0" fontId="24" fillId="23" borderId="8" xfId="0" applyFont="1" applyFill="1" applyBorder="1" applyAlignment="1">
      <alignment horizontal="left" vertical="center" wrapText="1"/>
    </xf>
    <xf numFmtId="0" fontId="20" fillId="2" borderId="7" xfId="0" applyFont="1" applyFill="1" applyBorder="1" applyAlignment="1">
      <alignment horizontal="center" vertical="center" wrapText="1"/>
    </xf>
    <xf numFmtId="164" fontId="18" fillId="0" borderId="24" xfId="0" applyNumberFormat="1" applyFont="1" applyBorder="1" applyAlignment="1">
      <alignment horizontal="center" vertical="center" wrapText="1"/>
    </xf>
    <xf numFmtId="3" fontId="3" fillId="0" borderId="8" xfId="0" applyNumberFormat="1" applyFont="1" applyBorder="1" applyAlignment="1">
      <alignment vertical="center"/>
    </xf>
    <xf numFmtId="0" fontId="13" fillId="0" borderId="8" xfId="0" applyFont="1" applyBorder="1" applyAlignment="1">
      <alignment horizontal="center" vertical="center"/>
    </xf>
    <xf numFmtId="0" fontId="29" fillId="2" borderId="14" xfId="0" applyFont="1" applyFill="1" applyBorder="1" applyAlignment="1">
      <alignment horizontal="center" vertical="center" wrapText="1"/>
    </xf>
    <xf numFmtId="0" fontId="21" fillId="2" borderId="14" xfId="0" applyFont="1" applyFill="1" applyBorder="1" applyAlignment="1">
      <alignment horizontal="center" vertical="center" wrapText="1"/>
    </xf>
    <xf numFmtId="3" fontId="8" fillId="0" borderId="4" xfId="1" applyNumberFormat="1" applyFont="1" applyFill="1" applyBorder="1" applyAlignment="1">
      <alignment horizontal="right" vertical="center"/>
    </xf>
    <xf numFmtId="0" fontId="3" fillId="23" borderId="17" xfId="0" applyFont="1" applyFill="1" applyBorder="1" applyAlignment="1">
      <alignment horizontal="center" vertical="center" wrapText="1"/>
    </xf>
    <xf numFmtId="0" fontId="3" fillId="23" borderId="25" xfId="0" applyFont="1" applyFill="1" applyBorder="1" applyAlignment="1">
      <alignment horizontal="center" vertical="center" wrapText="1"/>
    </xf>
    <xf numFmtId="3" fontId="3" fillId="23" borderId="8" xfId="0" applyNumberFormat="1" applyFont="1" applyFill="1" applyBorder="1" applyAlignment="1">
      <alignment vertical="center"/>
    </xf>
    <xf numFmtId="0" fontId="13" fillId="23" borderId="8" xfId="0" applyFont="1" applyFill="1" applyBorder="1" applyAlignment="1">
      <alignment horizontal="center" vertical="center"/>
    </xf>
    <xf numFmtId="3" fontId="3" fillId="23" borderId="8" xfId="1" applyNumberFormat="1" applyFont="1" applyFill="1" applyBorder="1" applyAlignment="1">
      <alignment vertical="center"/>
    </xf>
    <xf numFmtId="0" fontId="13" fillId="23" borderId="0" xfId="0" applyFont="1" applyFill="1" applyAlignment="1">
      <alignment vertical="center" wrapText="1"/>
    </xf>
    <xf numFmtId="0" fontId="62" fillId="0" borderId="5" xfId="0" applyFont="1" applyBorder="1" applyAlignment="1">
      <alignment horizontal="center" vertical="center"/>
    </xf>
    <xf numFmtId="165" fontId="24" fillId="0" borderId="2" xfId="1" applyNumberFormat="1" applyFont="1" applyBorder="1" applyAlignment="1">
      <alignment vertical="center"/>
    </xf>
    <xf numFmtId="165" fontId="24" fillId="0" borderId="4" xfId="1" applyNumberFormat="1" applyFont="1" applyBorder="1" applyAlignment="1">
      <alignment vertical="center"/>
    </xf>
    <xf numFmtId="0" fontId="3" fillId="23" borderId="8" xfId="0" quotePrefix="1" applyFont="1" applyFill="1" applyBorder="1" applyAlignment="1">
      <alignment horizontal="left" vertical="center"/>
    </xf>
    <xf numFmtId="0" fontId="9" fillId="23" borderId="8" xfId="0" applyFont="1" applyFill="1" applyBorder="1" applyAlignment="1">
      <alignment horizontal="center" vertical="center" wrapText="1"/>
    </xf>
    <xf numFmtId="3" fontId="8" fillId="0" borderId="4" xfId="1" applyNumberFormat="1" applyFont="1" applyBorder="1" applyAlignment="1">
      <alignment horizontal="right" vertical="center"/>
    </xf>
    <xf numFmtId="0" fontId="13" fillId="23" borderId="8" xfId="0" applyFont="1" applyFill="1" applyBorder="1" applyAlignment="1">
      <alignment horizontal="left" vertical="center"/>
    </xf>
    <xf numFmtId="14" fontId="3" fillId="23" borderId="8" xfId="0" applyNumberFormat="1" applyFont="1" applyFill="1" applyBorder="1" applyAlignment="1">
      <alignment horizontal="center" vertical="center"/>
    </xf>
    <xf numFmtId="3" fontId="3" fillId="23" borderId="12" xfId="0" applyNumberFormat="1" applyFont="1" applyFill="1" applyBorder="1" applyAlignment="1">
      <alignment vertical="center"/>
    </xf>
    <xf numFmtId="164" fontId="18" fillId="23" borderId="24" xfId="0" applyNumberFormat="1" applyFont="1" applyFill="1" applyBorder="1" applyAlignment="1">
      <alignment horizontal="center" vertical="center" wrapText="1"/>
    </xf>
    <xf numFmtId="3" fontId="3" fillId="23" borderId="18" xfId="0" applyNumberFormat="1" applyFont="1" applyFill="1" applyBorder="1" applyAlignment="1">
      <alignment vertical="center"/>
    </xf>
    <xf numFmtId="0" fontId="13" fillId="23" borderId="8" xfId="0" applyFont="1" applyFill="1" applyBorder="1" applyAlignment="1">
      <alignment vertical="center" wrapText="1"/>
    </xf>
    <xf numFmtId="0" fontId="28" fillId="23" borderId="22" xfId="0" applyFont="1" applyFill="1" applyBorder="1" applyAlignment="1">
      <alignment horizontal="center" vertical="center"/>
    </xf>
    <xf numFmtId="3" fontId="3" fillId="23" borderId="22" xfId="0" applyNumberFormat="1" applyFont="1" applyFill="1" applyBorder="1" applyAlignment="1">
      <alignment vertical="center"/>
    </xf>
    <xf numFmtId="164" fontId="18" fillId="23" borderId="0" xfId="0" applyNumberFormat="1" applyFont="1" applyFill="1" applyAlignment="1">
      <alignment horizontal="center" vertical="center" wrapText="1"/>
    </xf>
    <xf numFmtId="0" fontId="3" fillId="23" borderId="21" xfId="0" applyFont="1" applyFill="1" applyBorder="1" applyAlignment="1">
      <alignment horizontal="left" vertical="center"/>
    </xf>
    <xf numFmtId="0" fontId="13" fillId="23" borderId="8" xfId="0" applyFont="1" applyFill="1" applyBorder="1" applyAlignment="1">
      <alignment horizontal="center" vertical="center" wrapText="1"/>
    </xf>
    <xf numFmtId="3" fontId="3" fillId="0" borderId="12" xfId="0" applyNumberFormat="1" applyFont="1" applyBorder="1" applyAlignment="1">
      <alignment vertical="center"/>
    </xf>
    <xf numFmtId="0" fontId="3" fillId="0" borderId="12" xfId="0" applyFont="1" applyBorder="1" applyAlignment="1">
      <alignment horizontal="left" vertical="center" wrapText="1"/>
    </xf>
    <xf numFmtId="0" fontId="12" fillId="0" borderId="12" xfId="0" applyFont="1" applyBorder="1" applyAlignment="1">
      <alignment horizontal="center" vertical="center"/>
    </xf>
    <xf numFmtId="3" fontId="3" fillId="0" borderId="18" xfId="0" applyNumberFormat="1" applyFont="1" applyBorder="1" applyAlignment="1">
      <alignment vertical="center"/>
    </xf>
    <xf numFmtId="0" fontId="3" fillId="0" borderId="19" xfId="0" applyFont="1" applyBorder="1" applyAlignment="1">
      <alignment horizontal="center" vertical="center" wrapText="1"/>
    </xf>
    <xf numFmtId="0" fontId="3" fillId="0" borderId="20" xfId="0" applyFont="1" applyBorder="1" applyAlignment="1">
      <alignment horizontal="left" vertical="center"/>
    </xf>
    <xf numFmtId="0" fontId="3" fillId="0" borderId="20" xfId="0" applyFont="1" applyBorder="1" applyAlignment="1">
      <alignment horizontal="left" vertical="center" wrapText="1"/>
    </xf>
    <xf numFmtId="0" fontId="3" fillId="0" borderId="21" xfId="0" applyFont="1" applyBorder="1" applyAlignment="1">
      <alignment horizontal="center" vertical="center" wrapText="1"/>
    </xf>
    <xf numFmtId="0" fontId="21" fillId="2" borderId="9" xfId="0" applyFont="1" applyFill="1" applyBorder="1" applyAlignment="1">
      <alignment horizontal="center" vertical="center" wrapText="1"/>
    </xf>
    <xf numFmtId="0" fontId="21" fillId="2" borderId="11" xfId="0" applyFont="1" applyFill="1" applyBorder="1" applyAlignment="1">
      <alignment horizontal="center" vertical="center" wrapText="1"/>
    </xf>
    <xf numFmtId="14" fontId="19" fillId="0" borderId="7" xfId="0" applyNumberFormat="1" applyFont="1" applyBorder="1" applyAlignment="1">
      <alignment horizontal="center" vertical="center" wrapText="1"/>
    </xf>
    <xf numFmtId="0" fontId="21" fillId="2" borderId="15" xfId="0" applyFont="1" applyFill="1" applyBorder="1" applyAlignment="1">
      <alignment horizontal="center" vertical="center" wrapText="1"/>
    </xf>
    <xf numFmtId="165" fontId="24" fillId="0" borderId="9" xfId="1" applyNumberFormat="1" applyFont="1" applyBorder="1" applyAlignment="1">
      <alignment vertical="center"/>
    </xf>
    <xf numFmtId="0" fontId="3" fillId="23" borderId="19" xfId="0" applyFont="1" applyFill="1" applyBorder="1" applyAlignment="1">
      <alignment horizontal="center" vertical="center"/>
    </xf>
    <xf numFmtId="0" fontId="3" fillId="23" borderId="25" xfId="0" applyFont="1" applyFill="1" applyBorder="1" applyAlignment="1">
      <alignment horizontal="left" vertical="center"/>
    </xf>
    <xf numFmtId="0" fontId="3" fillId="23" borderId="23" xfId="0" applyFont="1" applyFill="1" applyBorder="1" applyAlignment="1">
      <alignment horizontal="center" vertical="center" wrapText="1"/>
    </xf>
    <xf numFmtId="0" fontId="3" fillId="23" borderId="20" xfId="0" applyFont="1" applyFill="1" applyBorder="1" applyAlignment="1">
      <alignment horizontal="left" vertical="center"/>
    </xf>
    <xf numFmtId="0" fontId="12" fillId="23" borderId="34" xfId="0" applyFont="1" applyFill="1" applyBorder="1" applyAlignment="1">
      <alignment horizontal="center" vertical="center" wrapText="1"/>
    </xf>
    <xf numFmtId="0" fontId="3" fillId="23" borderId="18" xfId="0" quotePrefix="1" applyFont="1" applyFill="1" applyBorder="1" applyAlignment="1">
      <alignment horizontal="left" vertical="center"/>
    </xf>
    <xf numFmtId="0" fontId="3" fillId="23" borderId="20" xfId="0" applyFont="1" applyFill="1" applyBorder="1" applyAlignment="1">
      <alignment horizontal="center" vertical="center"/>
    </xf>
    <xf numFmtId="0" fontId="3" fillId="23" borderId="35" xfId="0" applyFont="1" applyFill="1" applyBorder="1" applyAlignment="1">
      <alignment horizontal="center" vertical="center"/>
    </xf>
    <xf numFmtId="0" fontId="3" fillId="23" borderId="24" xfId="0" applyFont="1" applyFill="1" applyBorder="1" applyAlignment="1">
      <alignment horizontal="center" vertical="center" wrapText="1"/>
    </xf>
    <xf numFmtId="0" fontId="3" fillId="23" borderId="12" xfId="0" quotePrefix="1" applyFont="1" applyFill="1" applyBorder="1" applyAlignment="1">
      <alignment horizontal="left" vertical="center"/>
    </xf>
    <xf numFmtId="0" fontId="3" fillId="23" borderId="22" xfId="0" applyFont="1" applyFill="1" applyBorder="1" applyAlignment="1">
      <alignment vertical="center"/>
    </xf>
    <xf numFmtId="0" fontId="3" fillId="23" borderId="21" xfId="0" applyFont="1" applyFill="1" applyBorder="1" applyAlignment="1">
      <alignment horizontal="center" vertical="center" wrapText="1"/>
    </xf>
    <xf numFmtId="0" fontId="3" fillId="23" borderId="20" xfId="0" applyFont="1" applyFill="1" applyBorder="1" applyAlignment="1">
      <alignment horizontal="center" vertical="center" wrapText="1"/>
    </xf>
    <xf numFmtId="3" fontId="21" fillId="2" borderId="8" xfId="1" applyNumberFormat="1" applyFont="1" applyFill="1" applyBorder="1" applyAlignment="1">
      <alignment horizontal="center" vertical="center" wrapText="1"/>
    </xf>
    <xf numFmtId="0" fontId="20" fillId="2" borderId="8" xfId="0" applyFont="1" applyFill="1" applyBorder="1" applyAlignment="1">
      <alignment horizontal="center" vertical="center" wrapText="1"/>
    </xf>
    <xf numFmtId="3" fontId="8" fillId="0" borderId="11" xfId="1" applyNumberFormat="1" applyFont="1" applyBorder="1" applyAlignment="1">
      <alignment horizontal="right" vertical="center"/>
    </xf>
    <xf numFmtId="165" fontId="24" fillId="0" borderId="7" xfId="1" applyNumberFormat="1" applyFont="1" applyBorder="1" applyAlignment="1">
      <alignment horizontal="center" vertical="center"/>
    </xf>
    <xf numFmtId="165" fontId="24" fillId="0" borderId="11" xfId="1" applyNumberFormat="1" applyFont="1" applyBorder="1" applyAlignment="1">
      <alignment vertical="center"/>
    </xf>
    <xf numFmtId="0" fontId="3" fillId="5" borderId="18" xfId="0" applyFont="1" applyFill="1" applyBorder="1" applyAlignment="1">
      <alignment horizontal="center" vertical="center" wrapText="1"/>
    </xf>
    <xf numFmtId="0" fontId="28" fillId="5" borderId="8" xfId="0" applyFont="1" applyFill="1" applyBorder="1" applyAlignment="1">
      <alignment horizontal="center" vertical="center"/>
    </xf>
    <xf numFmtId="3" fontId="3" fillId="5" borderId="8" xfId="0" applyNumberFormat="1" applyFont="1" applyFill="1" applyBorder="1" applyAlignment="1">
      <alignment vertical="center"/>
    </xf>
    <xf numFmtId="0" fontId="3" fillId="5" borderId="8" xfId="0" applyFont="1" applyFill="1" applyBorder="1" applyAlignment="1">
      <alignment horizontal="left" vertical="center"/>
    </xf>
    <xf numFmtId="0" fontId="12" fillId="5" borderId="8" xfId="0" applyFont="1" applyFill="1" applyBorder="1" applyAlignment="1">
      <alignment horizontal="center" vertical="center"/>
    </xf>
    <xf numFmtId="0" fontId="3" fillId="5" borderId="8" xfId="0" applyFont="1" applyFill="1" applyBorder="1" applyAlignment="1">
      <alignment vertical="center"/>
    </xf>
    <xf numFmtId="0" fontId="62" fillId="0" borderId="8" xfId="0" applyFont="1" applyBorder="1" applyAlignment="1">
      <alignment horizontal="center" vertical="center"/>
    </xf>
    <xf numFmtId="3" fontId="8" fillId="0" borderId="8" xfId="1" applyNumberFormat="1" applyFont="1" applyBorder="1" applyAlignment="1">
      <alignment horizontal="right" vertical="center"/>
    </xf>
    <xf numFmtId="165" fontId="24" fillId="0" borderId="8" xfId="1" applyNumberFormat="1" applyFont="1" applyBorder="1" applyAlignment="1">
      <alignment horizontal="center" vertical="center"/>
    </xf>
    <xf numFmtId="0" fontId="12" fillId="23" borderId="18" xfId="0" applyFont="1" applyFill="1" applyBorder="1" applyAlignment="1">
      <alignment horizontal="left" vertical="center" wrapText="1"/>
    </xf>
    <xf numFmtId="0" fontId="12" fillId="23" borderId="8" xfId="0" quotePrefix="1" applyFont="1" applyFill="1" applyBorder="1" applyAlignment="1">
      <alignment horizontal="left" vertical="center" wrapText="1"/>
    </xf>
    <xf numFmtId="164" fontId="18" fillId="23" borderId="8" xfId="0" applyNumberFormat="1" applyFont="1" applyFill="1" applyBorder="1" applyAlignment="1">
      <alignment horizontal="center" vertical="center" wrapText="1"/>
    </xf>
    <xf numFmtId="164" fontId="18" fillId="23" borderId="12" xfId="0" applyNumberFormat="1" applyFont="1" applyFill="1" applyBorder="1" applyAlignment="1">
      <alignment horizontal="center" vertical="center" wrapText="1"/>
    </xf>
    <xf numFmtId="0" fontId="3" fillId="23" borderId="22" xfId="0" applyFont="1" applyFill="1" applyBorder="1" applyAlignment="1">
      <alignment horizontal="left" vertical="center" wrapText="1"/>
    </xf>
    <xf numFmtId="0" fontId="15" fillId="23" borderId="10" xfId="0" applyFont="1" applyFill="1" applyBorder="1" applyAlignment="1">
      <alignment horizontal="left" vertical="center" wrapText="1"/>
    </xf>
    <xf numFmtId="0" fontId="12" fillId="23" borderId="19" xfId="0" applyFont="1" applyFill="1" applyBorder="1" applyAlignment="1">
      <alignment horizontal="center" vertical="center"/>
    </xf>
    <xf numFmtId="0" fontId="12" fillId="23" borderId="21" xfId="0" applyFont="1" applyFill="1" applyBorder="1" applyAlignment="1">
      <alignment horizontal="left" vertical="center" wrapText="1"/>
    </xf>
    <xf numFmtId="0" fontId="21" fillId="2" borderId="12" xfId="0" applyFont="1" applyFill="1" applyBorder="1" applyAlignment="1">
      <alignment horizontal="center" vertical="center" wrapText="1"/>
    </xf>
    <xf numFmtId="0" fontId="55" fillId="23" borderId="8" xfId="0" applyFont="1" applyFill="1" applyBorder="1" applyAlignment="1">
      <alignment horizontal="center" vertical="center" wrapText="1"/>
    </xf>
    <xf numFmtId="0" fontId="56" fillId="23" borderId="8" xfId="0" applyFont="1" applyFill="1" applyBorder="1" applyAlignment="1">
      <alignment horizontal="center" vertical="center" wrapText="1"/>
    </xf>
    <xf numFmtId="3" fontId="56" fillId="23" borderId="8" xfId="1" applyNumberFormat="1" applyFont="1" applyFill="1" applyBorder="1" applyAlignment="1">
      <alignment horizontal="right" vertical="center" wrapText="1"/>
    </xf>
    <xf numFmtId="0" fontId="24" fillId="23" borderId="8" xfId="0" applyFont="1" applyFill="1" applyBorder="1" applyAlignment="1">
      <alignment horizontal="center" vertical="center" wrapText="1"/>
    </xf>
    <xf numFmtId="164" fontId="19" fillId="23" borderId="8" xfId="0" applyNumberFormat="1" applyFont="1" applyFill="1" applyBorder="1" applyAlignment="1">
      <alignment horizontal="center" vertical="center" wrapText="1"/>
    </xf>
    <xf numFmtId="0" fontId="70" fillId="23" borderId="8" xfId="0" applyFont="1" applyFill="1" applyBorder="1" applyAlignment="1">
      <alignment horizontal="left" vertical="center" wrapText="1"/>
    </xf>
    <xf numFmtId="0" fontId="3" fillId="5" borderId="12" xfId="0" applyFont="1" applyFill="1" applyBorder="1" applyAlignment="1">
      <alignment vertical="center"/>
    </xf>
    <xf numFmtId="0" fontId="29" fillId="2" borderId="12" xfId="0" applyFont="1" applyFill="1" applyBorder="1" applyAlignment="1">
      <alignment horizontal="center" vertical="center" wrapText="1"/>
    </xf>
    <xf numFmtId="0" fontId="56" fillId="23" borderId="8" xfId="0" applyFont="1" applyFill="1" applyBorder="1" applyAlignment="1">
      <alignment horizontal="left" vertical="center" wrapText="1"/>
    </xf>
    <xf numFmtId="0" fontId="13" fillId="0" borderId="16" xfId="0" applyFont="1" applyBorder="1" applyAlignment="1">
      <alignment vertical="center" wrapText="1"/>
    </xf>
    <xf numFmtId="0" fontId="3" fillId="23" borderId="16" xfId="0" applyFont="1" applyFill="1" applyBorder="1" applyAlignment="1">
      <alignment vertical="center" wrapText="1"/>
    </xf>
    <xf numFmtId="0" fontId="3" fillId="23" borderId="20" xfId="0" applyFont="1" applyFill="1" applyBorder="1" applyAlignment="1">
      <alignment vertical="center"/>
    </xf>
    <xf numFmtId="0" fontId="3" fillId="5" borderId="25" xfId="0" applyFont="1" applyFill="1" applyBorder="1" applyAlignment="1">
      <alignment vertical="center"/>
    </xf>
    <xf numFmtId="0" fontId="3" fillId="5" borderId="16" xfId="0" applyFont="1" applyFill="1" applyBorder="1" applyAlignment="1">
      <alignment vertical="center"/>
    </xf>
    <xf numFmtId="0" fontId="3" fillId="23" borderId="21" xfId="0" applyFont="1" applyFill="1" applyBorder="1" applyAlignment="1">
      <alignment vertical="center"/>
    </xf>
    <xf numFmtId="0" fontId="3" fillId="0" borderId="16" xfId="0" applyFont="1" applyBorder="1" applyAlignment="1">
      <alignment vertical="center"/>
    </xf>
    <xf numFmtId="0" fontId="15" fillId="23" borderId="22" xfId="0" applyFont="1" applyFill="1" applyBorder="1" applyAlignment="1">
      <alignment vertical="center" wrapText="1"/>
    </xf>
    <xf numFmtId="0" fontId="15" fillId="23" borderId="22" xfId="0" applyFont="1" applyFill="1" applyBorder="1" applyAlignment="1">
      <alignment horizontal="left" vertical="center" wrapText="1"/>
    </xf>
    <xf numFmtId="0" fontId="3" fillId="23" borderId="0" xfId="0" applyFont="1" applyFill="1" applyAlignment="1">
      <alignment horizontal="left" vertical="center" wrapText="1"/>
    </xf>
    <xf numFmtId="0" fontId="3" fillId="23" borderId="17" xfId="0" applyFont="1" applyFill="1" applyBorder="1" applyAlignment="1">
      <alignment horizontal="left" vertical="center" wrapText="1"/>
    </xf>
    <xf numFmtId="0" fontId="3" fillId="23" borderId="34" xfId="0" applyFont="1" applyFill="1" applyBorder="1" applyAlignment="1">
      <alignment horizontal="left" vertical="center" wrapText="1"/>
    </xf>
    <xf numFmtId="0" fontId="3" fillId="23" borderId="23" xfId="0" applyFont="1" applyFill="1" applyBorder="1" applyAlignment="1">
      <alignment horizontal="left" vertical="center" wrapText="1"/>
    </xf>
    <xf numFmtId="0" fontId="15" fillId="23" borderId="34" xfId="0" applyFont="1" applyFill="1" applyBorder="1" applyAlignment="1">
      <alignment horizontal="center" vertical="center"/>
    </xf>
    <xf numFmtId="0" fontId="3" fillId="23" borderId="18" xfId="0" applyFont="1" applyFill="1" applyBorder="1" applyAlignment="1">
      <alignment vertical="center" wrapText="1"/>
    </xf>
    <xf numFmtId="0" fontId="3" fillId="23" borderId="10" xfId="0" applyFont="1" applyFill="1" applyBorder="1" applyAlignment="1">
      <alignment horizontal="left" vertical="center" wrapText="1"/>
    </xf>
    <xf numFmtId="0" fontId="15" fillId="0" borderId="16" xfId="0" applyFont="1" applyBorder="1" applyAlignment="1">
      <alignment horizontal="left" vertical="center" wrapText="1"/>
    </xf>
    <xf numFmtId="0" fontId="13" fillId="5" borderId="8" xfId="0" applyFont="1" applyFill="1" applyBorder="1" applyAlignment="1">
      <alignment vertical="center" wrapText="1"/>
    </xf>
    <xf numFmtId="0" fontId="3" fillId="0" borderId="22" xfId="0" applyFont="1" applyBorder="1" applyAlignment="1">
      <alignment vertical="center"/>
    </xf>
    <xf numFmtId="0" fontId="3" fillId="23" borderId="18" xfId="0" quotePrefix="1" applyFont="1" applyFill="1" applyBorder="1" applyAlignment="1">
      <alignment horizontal="left" vertical="center" wrapText="1"/>
    </xf>
    <xf numFmtId="0" fontId="13" fillId="5" borderId="18" xfId="0" applyFont="1" applyFill="1" applyBorder="1" applyAlignment="1">
      <alignment vertical="center" wrapText="1"/>
    </xf>
    <xf numFmtId="0" fontId="3" fillId="0" borderId="20" xfId="0" applyFont="1" applyBorder="1" applyAlignment="1">
      <alignment horizontal="center" vertical="center" wrapText="1"/>
    </xf>
    <xf numFmtId="0" fontId="13" fillId="5" borderId="12" xfId="0" applyFont="1" applyFill="1" applyBorder="1" applyAlignment="1">
      <alignment vertical="center" wrapText="1"/>
    </xf>
    <xf numFmtId="0" fontId="13" fillId="23" borderId="12" xfId="0" applyFont="1" applyFill="1" applyBorder="1" applyAlignment="1">
      <alignment vertical="center" wrapText="1"/>
    </xf>
    <xf numFmtId="3" fontId="8" fillId="0" borderId="11" xfId="1" applyNumberFormat="1" applyFont="1" applyBorder="1" applyAlignment="1">
      <alignment horizontal="center" vertical="center"/>
    </xf>
    <xf numFmtId="3" fontId="3" fillId="23" borderId="18" xfId="1" applyNumberFormat="1" applyFont="1" applyFill="1" applyBorder="1" applyAlignment="1">
      <alignment horizontal="center" vertical="center"/>
    </xf>
    <xf numFmtId="3" fontId="3" fillId="23" borderId="8" xfId="0" applyNumberFormat="1" applyFont="1" applyFill="1" applyBorder="1" applyAlignment="1">
      <alignment horizontal="center" vertical="center"/>
    </xf>
    <xf numFmtId="3" fontId="3" fillId="23" borderId="12" xfId="0" applyNumberFormat="1" applyFont="1" applyFill="1" applyBorder="1" applyAlignment="1">
      <alignment horizontal="center" vertical="center"/>
    </xf>
    <xf numFmtId="3" fontId="3" fillId="0" borderId="8" xfId="1" applyNumberFormat="1" applyFont="1" applyFill="1" applyBorder="1" applyAlignment="1">
      <alignment horizontal="center" vertical="center"/>
    </xf>
    <xf numFmtId="3" fontId="3" fillId="23" borderId="18" xfId="0" applyNumberFormat="1" applyFont="1" applyFill="1" applyBorder="1" applyAlignment="1">
      <alignment horizontal="center" vertical="center" wrapText="1"/>
    </xf>
    <xf numFmtId="3" fontId="3" fillId="23" borderId="8" xfId="0" applyNumberFormat="1" applyFont="1" applyFill="1" applyBorder="1" applyAlignment="1">
      <alignment horizontal="center" vertical="center" wrapText="1"/>
    </xf>
    <xf numFmtId="0" fontId="3" fillId="30" borderId="18" xfId="0" applyFont="1" applyFill="1" applyBorder="1" applyAlignment="1">
      <alignment vertical="center"/>
    </xf>
    <xf numFmtId="0" fontId="3" fillId="5" borderId="18" xfId="0" applyFont="1" applyFill="1" applyBorder="1" applyAlignment="1">
      <alignment vertical="center"/>
    </xf>
    <xf numFmtId="0" fontId="3" fillId="0" borderId="25" xfId="0" applyFont="1" applyBorder="1" applyAlignment="1">
      <alignment horizontal="center" vertical="center" wrapText="1"/>
    </xf>
    <xf numFmtId="0" fontId="3" fillId="0" borderId="22" xfId="0" applyFont="1" applyBorder="1" applyAlignment="1">
      <alignment horizontal="center" vertical="center"/>
    </xf>
    <xf numFmtId="0" fontId="3" fillId="0" borderId="22" xfId="0" applyFont="1" applyBorder="1" applyAlignment="1">
      <alignment horizontal="center" vertical="center" wrapText="1"/>
    </xf>
    <xf numFmtId="0" fontId="28" fillId="0" borderId="22" xfId="0" applyFont="1" applyBorder="1" applyAlignment="1">
      <alignment horizontal="center" vertical="center"/>
    </xf>
    <xf numFmtId="0" fontId="3" fillId="0" borderId="22" xfId="0" applyFont="1" applyBorder="1" applyAlignment="1">
      <alignment horizontal="left" vertical="center" wrapText="1"/>
    </xf>
    <xf numFmtId="0" fontId="3" fillId="0" borderId="22" xfId="0" applyFont="1" applyBorder="1" applyAlignment="1">
      <alignment horizontal="left" vertical="center"/>
    </xf>
    <xf numFmtId="0" fontId="12" fillId="0" borderId="22" xfId="0" applyFont="1" applyBorder="1" applyAlignment="1">
      <alignment horizontal="center" vertical="center"/>
    </xf>
    <xf numFmtId="3" fontId="3" fillId="0" borderId="10" xfId="0" applyNumberFormat="1" applyFont="1" applyBorder="1" applyAlignment="1">
      <alignment vertical="center"/>
    </xf>
    <xf numFmtId="0" fontId="3" fillId="0" borderId="21" xfId="0" applyFont="1" applyBorder="1" applyAlignment="1">
      <alignment horizontal="center" vertical="center"/>
    </xf>
    <xf numFmtId="3" fontId="3" fillId="0" borderId="35" xfId="1" applyNumberFormat="1" applyFont="1" applyFill="1" applyBorder="1" applyAlignment="1">
      <alignment horizontal="right" vertical="center"/>
    </xf>
    <xf numFmtId="3" fontId="3" fillId="0" borderId="0" xfId="1" applyNumberFormat="1" applyFont="1" applyFill="1" applyAlignment="1">
      <alignment horizontal="right" vertical="center"/>
    </xf>
    <xf numFmtId="0" fontId="3" fillId="23" borderId="0" xfId="0" applyFont="1" applyFill="1" applyAlignment="1">
      <alignment horizontal="center" vertical="center" wrapText="1"/>
    </xf>
    <xf numFmtId="0" fontId="3" fillId="23" borderId="34" xfId="0" applyFont="1" applyFill="1" applyBorder="1" applyAlignment="1">
      <alignment horizontal="center" vertical="center" wrapText="1"/>
    </xf>
    <xf numFmtId="0" fontId="3" fillId="23" borderId="22" xfId="0" applyFont="1" applyFill="1" applyBorder="1" applyAlignment="1">
      <alignment horizontal="left" vertical="center"/>
    </xf>
    <xf numFmtId="3" fontId="3" fillId="23" borderId="17" xfId="1" applyNumberFormat="1" applyFont="1" applyFill="1" applyBorder="1" applyAlignment="1">
      <alignment horizontal="right" vertical="center"/>
    </xf>
    <xf numFmtId="0" fontId="3" fillId="23" borderId="35" xfId="0" applyFont="1" applyFill="1" applyBorder="1" applyAlignment="1">
      <alignment horizontal="center" vertical="center" wrapText="1"/>
    </xf>
    <xf numFmtId="3" fontId="3" fillId="23" borderId="17" xfId="0" applyNumberFormat="1" applyFont="1" applyFill="1" applyBorder="1" applyAlignment="1">
      <alignment vertical="center"/>
    </xf>
    <xf numFmtId="0" fontId="12" fillId="23" borderId="18" xfId="0" applyFont="1" applyFill="1" applyBorder="1" applyAlignment="1">
      <alignment horizontal="center" vertical="center" wrapText="1"/>
    </xf>
    <xf numFmtId="0" fontId="3" fillId="23" borderId="18" xfId="0" applyFont="1" applyFill="1" applyBorder="1" applyAlignment="1">
      <alignment horizontal="left" vertical="top" wrapText="1"/>
    </xf>
    <xf numFmtId="0" fontId="3" fillId="23" borderId="18" xfId="0" quotePrefix="1" applyFont="1" applyFill="1" applyBorder="1" applyAlignment="1">
      <alignment horizontal="center" vertical="center" wrapText="1"/>
    </xf>
    <xf numFmtId="0" fontId="13" fillId="23" borderId="18" xfId="0" applyFont="1" applyFill="1" applyBorder="1" applyAlignment="1">
      <alignment vertical="center" wrapText="1"/>
    </xf>
    <xf numFmtId="3" fontId="3" fillId="0" borderId="22" xfId="0" applyNumberFormat="1" applyFont="1" applyBorder="1" applyAlignment="1">
      <alignment vertical="center"/>
    </xf>
    <xf numFmtId="0" fontId="3" fillId="5" borderId="22" xfId="0" applyFont="1" applyFill="1" applyBorder="1" applyAlignment="1">
      <alignment vertical="center"/>
    </xf>
    <xf numFmtId="0" fontId="12" fillId="23" borderId="22" xfId="0" applyFont="1" applyFill="1" applyBorder="1" applyAlignment="1">
      <alignment horizontal="center" vertical="center" wrapText="1"/>
    </xf>
    <xf numFmtId="0" fontId="3" fillId="23" borderId="21" xfId="0" applyFont="1" applyFill="1" applyBorder="1" applyAlignment="1">
      <alignment horizontal="left" vertical="center" wrapText="1"/>
    </xf>
    <xf numFmtId="0" fontId="42" fillId="0" borderId="8" xfId="0" applyFont="1" applyBorder="1" applyAlignment="1">
      <alignment horizontal="left" vertical="center" wrapText="1"/>
    </xf>
    <xf numFmtId="0" fontId="42" fillId="23" borderId="8" xfId="0" applyFont="1" applyFill="1" applyBorder="1" applyAlignment="1">
      <alignment horizontal="left" vertical="center" wrapText="1"/>
    </xf>
    <xf numFmtId="0" fontId="12" fillId="23" borderId="25" xfId="0" applyFont="1" applyFill="1" applyBorder="1" applyAlignment="1">
      <alignment horizontal="center" vertical="center"/>
    </xf>
    <xf numFmtId="0" fontId="12" fillId="0" borderId="10" xfId="0" applyFont="1" applyBorder="1" applyAlignment="1">
      <alignment horizontal="center" vertical="center" wrapText="1"/>
    </xf>
    <xf numFmtId="0" fontId="12" fillId="0" borderId="16" xfId="0" applyFont="1" applyBorder="1" applyAlignment="1">
      <alignment horizontal="center" vertical="center" wrapText="1"/>
    </xf>
    <xf numFmtId="3" fontId="3" fillId="0" borderId="19" xfId="0" applyNumberFormat="1" applyFont="1" applyBorder="1" applyAlignment="1">
      <alignment vertical="center"/>
    </xf>
    <xf numFmtId="0" fontId="3" fillId="0" borderId="18" xfId="0" quotePrefix="1" applyFont="1" applyBorder="1" applyAlignment="1">
      <alignment horizontal="left" vertical="center" wrapText="1"/>
    </xf>
    <xf numFmtId="0" fontId="12" fillId="0" borderId="8" xfId="0" quotePrefix="1" applyFont="1" applyBorder="1" applyAlignment="1">
      <alignment horizontal="left" vertical="center" wrapText="1"/>
    </xf>
    <xf numFmtId="0" fontId="12" fillId="0" borderId="35" xfId="0" applyFont="1" applyBorder="1" applyAlignment="1">
      <alignment horizontal="center" vertical="center" wrapText="1"/>
    </xf>
    <xf numFmtId="0" fontId="3" fillId="0" borderId="34" xfId="0" applyFont="1" applyBorder="1" applyAlignment="1">
      <alignment horizontal="center" vertical="center"/>
    </xf>
    <xf numFmtId="0" fontId="12" fillId="0" borderId="34" xfId="0" applyFont="1" applyBorder="1" applyAlignment="1">
      <alignment horizontal="center" vertical="center" wrapText="1"/>
    </xf>
    <xf numFmtId="0" fontId="3" fillId="0" borderId="20" xfId="0" quotePrefix="1" applyFont="1" applyBorder="1" applyAlignment="1">
      <alignment horizontal="left" vertical="center" wrapText="1"/>
    </xf>
    <xf numFmtId="0" fontId="28" fillId="0" borderId="10" xfId="0" applyFont="1" applyBorder="1" applyAlignment="1">
      <alignment horizontal="center" vertical="center"/>
    </xf>
    <xf numFmtId="0" fontId="12" fillId="23" borderId="12" xfId="0" applyFont="1" applyFill="1" applyBorder="1" applyAlignment="1">
      <alignment horizontal="center" vertical="center" wrapText="1"/>
    </xf>
    <xf numFmtId="0" fontId="9" fillId="23" borderId="16" xfId="0" applyFont="1" applyFill="1" applyBorder="1" applyAlignment="1">
      <alignment horizontal="left" vertical="center" wrapText="1"/>
    </xf>
    <xf numFmtId="0" fontId="12" fillId="23" borderId="35" xfId="0" applyFont="1" applyFill="1" applyBorder="1" applyAlignment="1">
      <alignment horizontal="center" vertical="center" wrapText="1"/>
    </xf>
    <xf numFmtId="0" fontId="3" fillId="23" borderId="22" xfId="0" applyFont="1" applyFill="1" applyBorder="1" applyAlignment="1">
      <alignment horizontal="left" vertical="top" wrapText="1"/>
    </xf>
    <xf numFmtId="0" fontId="12" fillId="23" borderId="16" xfId="0" applyFont="1" applyFill="1" applyBorder="1" applyAlignment="1">
      <alignment horizontal="center" vertical="center" wrapText="1"/>
    </xf>
    <xf numFmtId="3" fontId="3" fillId="23" borderId="10" xfId="0" applyNumberFormat="1" applyFont="1" applyFill="1" applyBorder="1" applyAlignment="1">
      <alignment vertical="center"/>
    </xf>
    <xf numFmtId="0" fontId="12" fillId="23" borderId="0" xfId="0" applyFont="1" applyFill="1" applyAlignment="1">
      <alignment horizontal="center" vertical="center" wrapText="1"/>
    </xf>
    <xf numFmtId="0" fontId="42" fillId="23" borderId="21" xfId="0" applyFont="1" applyFill="1" applyBorder="1" applyAlignment="1">
      <alignment horizontal="left" vertical="center" wrapText="1"/>
    </xf>
    <xf numFmtId="0" fontId="42" fillId="23" borderId="12" xfId="0" quotePrefix="1" applyFont="1" applyFill="1" applyBorder="1" applyAlignment="1">
      <alignment horizontal="left" vertical="center" wrapText="1"/>
    </xf>
    <xf numFmtId="0" fontId="77" fillId="23" borderId="8" xfId="0" applyFont="1" applyFill="1" applyBorder="1" applyAlignment="1">
      <alignment horizontal="center" vertical="center" wrapText="1"/>
    </xf>
    <xf numFmtId="0" fontId="77" fillId="23" borderId="18" xfId="0" applyFont="1" applyFill="1" applyBorder="1" applyAlignment="1">
      <alignment horizontal="center" vertical="center" wrapText="1"/>
    </xf>
    <xf numFmtId="0" fontId="42" fillId="23" borderId="12" xfId="0" applyFont="1" applyFill="1" applyBorder="1" applyAlignment="1">
      <alignment horizontal="left" vertical="center" wrapText="1"/>
    </xf>
    <xf numFmtId="0" fontId="9" fillId="0" borderId="18" xfId="0" applyFont="1" applyBorder="1" applyAlignment="1">
      <alignment horizontal="center" vertical="center" wrapText="1"/>
    </xf>
    <xf numFmtId="3" fontId="3" fillId="0" borderId="12" xfId="1" applyNumberFormat="1" applyFont="1" applyBorder="1" applyAlignment="1">
      <alignment horizontal="right" vertical="center"/>
    </xf>
    <xf numFmtId="46" fontId="3" fillId="0" borderId="18" xfId="0" quotePrefix="1" applyNumberFormat="1" applyFont="1" applyBorder="1" applyAlignment="1">
      <alignment horizontal="left" vertical="center" wrapText="1"/>
    </xf>
    <xf numFmtId="3" fontId="3" fillId="23" borderId="16" xfId="0" applyNumberFormat="1" applyFont="1" applyFill="1" applyBorder="1" applyAlignment="1">
      <alignment vertical="center"/>
    </xf>
    <xf numFmtId="0" fontId="42" fillId="23" borderId="18" xfId="0" applyFont="1" applyFill="1" applyBorder="1" applyAlignment="1">
      <alignment horizontal="left" vertical="center" wrapText="1"/>
    </xf>
    <xf numFmtId="3" fontId="3" fillId="0" borderId="20" xfId="0" applyNumberFormat="1" applyFont="1" applyBorder="1" applyAlignment="1">
      <alignment vertical="center"/>
    </xf>
    <xf numFmtId="3" fontId="3" fillId="0" borderId="18" xfId="1" applyNumberFormat="1" applyFont="1" applyFill="1" applyBorder="1" applyAlignment="1">
      <alignment horizontal="right" vertical="center"/>
    </xf>
    <xf numFmtId="3" fontId="3" fillId="0" borderId="12" xfId="1" applyNumberFormat="1" applyFont="1" applyFill="1" applyBorder="1" applyAlignment="1">
      <alignment horizontal="right" vertical="center"/>
    </xf>
    <xf numFmtId="0" fontId="28" fillId="23" borderId="19" xfId="0" applyFont="1" applyFill="1" applyBorder="1" applyAlignment="1">
      <alignment horizontal="center" vertical="center"/>
    </xf>
    <xf numFmtId="3" fontId="3" fillId="23" borderId="20" xfId="0" applyNumberFormat="1" applyFont="1" applyFill="1" applyBorder="1" applyAlignment="1">
      <alignment vertical="center"/>
    </xf>
    <xf numFmtId="0" fontId="3" fillId="23" borderId="34" xfId="0" applyFont="1" applyFill="1" applyBorder="1" applyAlignment="1">
      <alignment horizontal="center" vertical="center"/>
    </xf>
    <xf numFmtId="0" fontId="79" fillId="23" borderId="18" xfId="0" applyFont="1" applyFill="1" applyBorder="1" applyAlignment="1">
      <alignment horizontal="left" vertical="center" wrapText="1"/>
    </xf>
    <xf numFmtId="0" fontId="80" fillId="23" borderId="18" xfId="0" applyFont="1" applyFill="1" applyBorder="1" applyAlignment="1">
      <alignment horizontal="left" vertical="center" wrapText="1"/>
    </xf>
    <xf numFmtId="0" fontId="81" fillId="23" borderId="18" xfId="0" applyFont="1" applyFill="1" applyBorder="1" applyAlignment="1">
      <alignment horizontal="left" vertical="center" wrapText="1"/>
    </xf>
    <xf numFmtId="0" fontId="13" fillId="0" borderId="18" xfId="0" applyFont="1" applyBorder="1" applyAlignment="1">
      <alignment vertical="center" wrapText="1"/>
    </xf>
    <xf numFmtId="0" fontId="79" fillId="23" borderId="22" xfId="0" applyFont="1" applyFill="1" applyBorder="1" applyAlignment="1">
      <alignment horizontal="left" vertical="center" wrapText="1"/>
    </xf>
    <xf numFmtId="0" fontId="13" fillId="23" borderId="22" xfId="0" applyFont="1" applyFill="1" applyBorder="1" applyAlignment="1">
      <alignment vertical="center" wrapText="1"/>
    </xf>
    <xf numFmtId="164" fontId="5" fillId="0" borderId="1" xfId="1" applyNumberFormat="1" applyFont="1" applyBorder="1" applyAlignment="1">
      <alignment horizontal="left" vertical="center"/>
    </xf>
    <xf numFmtId="0" fontId="28" fillId="5" borderId="18" xfId="0" applyFont="1" applyFill="1" applyBorder="1" applyAlignment="1">
      <alignment horizontal="center" vertical="center"/>
    </xf>
    <xf numFmtId="3" fontId="3" fillId="5" borderId="18" xfId="0" applyNumberFormat="1" applyFont="1" applyFill="1" applyBorder="1" applyAlignment="1">
      <alignment vertical="center"/>
    </xf>
    <xf numFmtId="0" fontId="3" fillId="5" borderId="19" xfId="0" applyFont="1" applyFill="1" applyBorder="1" applyAlignment="1">
      <alignment horizontal="center" vertical="center"/>
    </xf>
    <xf numFmtId="0" fontId="3" fillId="5" borderId="20" xfId="0" applyFont="1" applyFill="1" applyBorder="1" applyAlignment="1">
      <alignment horizontal="center" vertical="center" wrapText="1"/>
    </xf>
    <xf numFmtId="0" fontId="12" fillId="5" borderId="18" xfId="0" applyFont="1" applyFill="1" applyBorder="1" applyAlignment="1">
      <alignment horizontal="center" vertical="center"/>
    </xf>
    <xf numFmtId="0" fontId="13" fillId="0" borderId="22" xfId="0" applyFont="1" applyBorder="1" applyAlignment="1">
      <alignment vertical="center" wrapText="1"/>
    </xf>
    <xf numFmtId="0" fontId="13" fillId="23" borderId="41" xfId="0" applyFont="1" applyFill="1" applyBorder="1" applyAlignment="1">
      <alignment vertical="center" wrapText="1"/>
    </xf>
    <xf numFmtId="0" fontId="3" fillId="23" borderId="42" xfId="0" applyFont="1" applyFill="1" applyBorder="1" applyAlignment="1">
      <alignment vertical="center"/>
    </xf>
    <xf numFmtId="0" fontId="13" fillId="23" borderId="42" xfId="0" applyFont="1" applyFill="1" applyBorder="1" applyAlignment="1">
      <alignment vertical="center" wrapText="1"/>
    </xf>
    <xf numFmtId="3" fontId="21" fillId="2" borderId="12" xfId="1" applyNumberFormat="1" applyFont="1" applyFill="1" applyBorder="1" applyAlignment="1">
      <alignment horizontal="center" vertical="center" wrapText="1"/>
    </xf>
    <xf numFmtId="3" fontId="8" fillId="0" borderId="11" xfId="1" applyNumberFormat="1" applyFont="1" applyBorder="1" applyAlignment="1">
      <alignment horizontal="right" vertical="center" wrapText="1"/>
    </xf>
    <xf numFmtId="165" fontId="24" fillId="0" borderId="7" xfId="1" applyNumberFormat="1" applyFont="1" applyBorder="1" applyAlignment="1">
      <alignment horizontal="center" vertical="center" wrapText="1"/>
    </xf>
    <xf numFmtId="165" fontId="24" fillId="0" borderId="9" xfId="1" applyNumberFormat="1" applyFont="1" applyBorder="1" applyAlignment="1">
      <alignment vertical="center" wrapText="1"/>
    </xf>
    <xf numFmtId="165" fontId="20" fillId="0" borderId="11" xfId="1" applyNumberFormat="1" applyFont="1" applyBorder="1" applyAlignment="1">
      <alignment horizontal="center" vertical="center" wrapText="1"/>
    </xf>
    <xf numFmtId="3" fontId="3" fillId="23" borderId="5" xfId="0" applyNumberFormat="1" applyFont="1" applyFill="1" applyBorder="1" applyAlignment="1">
      <alignment vertical="center" wrapText="1"/>
    </xf>
    <xf numFmtId="0" fontId="28" fillId="23" borderId="18" xfId="0" applyFont="1" applyFill="1" applyBorder="1" applyAlignment="1">
      <alignment horizontal="center" vertical="center" wrapText="1"/>
    </xf>
    <xf numFmtId="3" fontId="3" fillId="23" borderId="18" xfId="0" applyNumberFormat="1" applyFont="1" applyFill="1" applyBorder="1" applyAlignment="1">
      <alignment vertical="center" wrapText="1"/>
    </xf>
    <xf numFmtId="0" fontId="3" fillId="23" borderId="2" xfId="0" applyFont="1" applyFill="1" applyBorder="1" applyAlignment="1">
      <alignment horizontal="center" vertical="center" wrapText="1"/>
    </xf>
    <xf numFmtId="165" fontId="24" fillId="0" borderId="9" xfId="1" applyNumberFormat="1" applyFont="1" applyBorder="1" applyAlignment="1">
      <alignment horizontal="center" vertical="center" wrapText="1"/>
    </xf>
    <xf numFmtId="0" fontId="20" fillId="2" borderId="17" xfId="0" applyFont="1" applyFill="1" applyBorder="1" applyAlignment="1">
      <alignment horizontal="center" vertical="center" wrapText="1"/>
    </xf>
    <xf numFmtId="0" fontId="12" fillId="23" borderId="2" xfId="0" applyFont="1" applyFill="1" applyBorder="1" applyAlignment="1">
      <alignment horizontal="center" vertical="center" wrapText="1"/>
    </xf>
    <xf numFmtId="0" fontId="12" fillId="23" borderId="19" xfId="0" applyFont="1" applyFill="1" applyBorder="1" applyAlignment="1">
      <alignment horizontal="center" vertical="center" wrapText="1"/>
    </xf>
    <xf numFmtId="0" fontId="12" fillId="0" borderId="19" xfId="0" applyFont="1" applyBorder="1" applyAlignment="1">
      <alignment horizontal="center" vertical="center" wrapText="1"/>
    </xf>
    <xf numFmtId="0" fontId="12" fillId="0" borderId="10" xfId="0" applyFont="1" applyBorder="1" applyAlignment="1">
      <alignment horizontal="center" vertical="center"/>
    </xf>
    <xf numFmtId="164" fontId="43" fillId="0" borderId="1" xfId="1" applyNumberFormat="1" applyFont="1" applyBorder="1" applyAlignment="1">
      <alignment horizontal="left" vertical="center"/>
    </xf>
    <xf numFmtId="164" fontId="3" fillId="23" borderId="4" xfId="0" applyNumberFormat="1" applyFont="1" applyFill="1" applyBorder="1" applyAlignment="1">
      <alignment horizontal="center" vertical="center" wrapText="1"/>
    </xf>
    <xf numFmtId="164" fontId="3" fillId="23" borderId="20" xfId="0" applyNumberFormat="1" applyFont="1" applyFill="1" applyBorder="1" applyAlignment="1">
      <alignment horizontal="center" vertical="center" wrapText="1"/>
    </xf>
    <xf numFmtId="164" fontId="15" fillId="23" borderId="20" xfId="0" applyNumberFormat="1" applyFont="1" applyFill="1" applyBorder="1" applyAlignment="1">
      <alignment horizontal="center" vertical="center" wrapText="1"/>
    </xf>
    <xf numFmtId="0" fontId="29" fillId="2" borderId="22" xfId="0" applyFont="1" applyFill="1" applyBorder="1" applyAlignment="1">
      <alignment horizontal="center" vertical="center" wrapText="1"/>
    </xf>
    <xf numFmtId="0" fontId="20" fillId="2" borderId="35" xfId="0" applyFont="1" applyFill="1" applyBorder="1" applyAlignment="1">
      <alignment horizontal="center" vertical="center" wrapText="1"/>
    </xf>
    <xf numFmtId="0" fontId="21" fillId="2" borderId="22" xfId="0" applyFont="1" applyFill="1" applyBorder="1" applyAlignment="1">
      <alignment horizontal="center" vertical="center" wrapText="1"/>
    </xf>
    <xf numFmtId="0" fontId="13" fillId="0" borderId="18" xfId="0" applyFont="1" applyBorder="1" applyAlignment="1">
      <alignment horizontal="center" vertical="center" wrapText="1"/>
    </xf>
    <xf numFmtId="0" fontId="13" fillId="0" borderId="19" xfId="0" applyFont="1" applyBorder="1" applyAlignment="1">
      <alignment horizontal="center" vertical="center" wrapText="1"/>
    </xf>
    <xf numFmtId="0" fontId="13" fillId="0" borderId="8" xfId="0" applyFont="1" applyBorder="1" applyAlignment="1">
      <alignment horizontal="center" vertical="center" wrapText="1"/>
    </xf>
    <xf numFmtId="0" fontId="13" fillId="0" borderId="20" xfId="0" applyFont="1" applyBorder="1" applyAlignment="1">
      <alignment horizontal="center" vertical="center" wrapText="1"/>
    </xf>
    <xf numFmtId="0" fontId="13" fillId="0" borderId="18" xfId="0" applyFont="1" applyBorder="1" applyAlignment="1">
      <alignment vertical="center"/>
    </xf>
    <xf numFmtId="0" fontId="9" fillId="23" borderId="19" xfId="0" applyFont="1" applyFill="1" applyBorder="1" applyAlignment="1">
      <alignment horizontal="center" vertical="center" wrapText="1"/>
    </xf>
    <xf numFmtId="0" fontId="13" fillId="23" borderId="18" xfId="0" applyFont="1" applyFill="1" applyBorder="1" applyAlignment="1">
      <alignment horizontal="center" vertical="center" wrapText="1"/>
    </xf>
    <xf numFmtId="3" fontId="13" fillId="23" borderId="18" xfId="0" applyNumberFormat="1" applyFont="1" applyFill="1" applyBorder="1" applyAlignment="1">
      <alignment vertical="center" wrapText="1"/>
    </xf>
    <xf numFmtId="0" fontId="13" fillId="23" borderId="19" xfId="0" applyFont="1" applyFill="1" applyBorder="1" applyAlignment="1">
      <alignment horizontal="center" vertical="center" wrapText="1"/>
    </xf>
    <xf numFmtId="164" fontId="13" fillId="23" borderId="20" xfId="0" applyNumberFormat="1" applyFont="1" applyFill="1" applyBorder="1" applyAlignment="1">
      <alignment horizontal="center" vertical="center" wrapText="1"/>
    </xf>
    <xf numFmtId="0" fontId="13" fillId="23" borderId="18" xfId="0" applyFont="1" applyFill="1" applyBorder="1" applyAlignment="1">
      <alignment vertical="center"/>
    </xf>
    <xf numFmtId="0" fontId="9" fillId="23" borderId="2" xfId="0" applyFont="1" applyFill="1" applyBorder="1" applyAlignment="1">
      <alignment horizontal="center" vertical="center" wrapText="1"/>
    </xf>
    <xf numFmtId="3" fontId="13" fillId="23" borderId="5" xfId="0" applyNumberFormat="1" applyFont="1" applyFill="1" applyBorder="1" applyAlignment="1">
      <alignment vertical="center" wrapText="1"/>
    </xf>
    <xf numFmtId="0" fontId="13" fillId="23" borderId="2" xfId="0" applyFont="1" applyFill="1" applyBorder="1" applyAlignment="1">
      <alignment horizontal="center" vertical="center" wrapText="1"/>
    </xf>
    <xf numFmtId="164" fontId="13" fillId="23" borderId="4" xfId="0" applyNumberFormat="1" applyFont="1" applyFill="1" applyBorder="1" applyAlignment="1">
      <alignment horizontal="center" vertical="center" wrapText="1"/>
    </xf>
    <xf numFmtId="0" fontId="13" fillId="23" borderId="12" xfId="0" applyFont="1" applyFill="1" applyBorder="1" applyAlignment="1">
      <alignment vertical="center"/>
    </xf>
    <xf numFmtId="0" fontId="13" fillId="23" borderId="41" xfId="0" applyFont="1" applyFill="1" applyBorder="1" applyAlignment="1">
      <alignment vertical="center"/>
    </xf>
    <xf numFmtId="0" fontId="13" fillId="23" borderId="22" xfId="0" applyFont="1" applyFill="1" applyBorder="1" applyAlignment="1">
      <alignment vertical="center"/>
    </xf>
    <xf numFmtId="0" fontId="9" fillId="23" borderId="19" xfId="0" applyFont="1" applyFill="1" applyBorder="1" applyAlignment="1">
      <alignment horizontal="left" vertical="center" wrapText="1"/>
    </xf>
    <xf numFmtId="0" fontId="12" fillId="23" borderId="19" xfId="0" applyFont="1" applyFill="1" applyBorder="1" applyAlignment="1">
      <alignment horizontal="left" vertical="center" wrapText="1"/>
    </xf>
    <xf numFmtId="0" fontId="9" fillId="0" borderId="34" xfId="0" applyFont="1" applyBorder="1" applyAlignment="1">
      <alignment horizontal="center" vertical="center" wrapText="1"/>
    </xf>
    <xf numFmtId="0" fontId="15" fillId="23" borderId="18" xfId="0" applyFont="1" applyFill="1" applyBorder="1" applyAlignment="1">
      <alignment vertical="center" wrapText="1"/>
    </xf>
    <xf numFmtId="0" fontId="9" fillId="23" borderId="21" xfId="0" applyFont="1" applyFill="1" applyBorder="1" applyAlignment="1">
      <alignment vertical="center" wrapText="1"/>
    </xf>
    <xf numFmtId="0" fontId="3" fillId="23" borderId="35" xfId="0" applyFont="1" applyFill="1" applyBorder="1" applyAlignment="1">
      <alignment horizontal="left" vertical="center" wrapText="1"/>
    </xf>
    <xf numFmtId="0" fontId="3" fillId="23" borderId="16" xfId="0" applyFont="1" applyFill="1" applyBorder="1" applyAlignment="1">
      <alignment horizontal="left" vertical="center" wrapText="1"/>
    </xf>
    <xf numFmtId="0" fontId="3" fillId="0" borderId="21" xfId="0" applyFont="1" applyBorder="1" applyAlignment="1">
      <alignment horizontal="left" vertical="center" wrapText="1"/>
    </xf>
    <xf numFmtId="0" fontId="3" fillId="0" borderId="16" xfId="0" applyFont="1" applyBorder="1" applyAlignment="1">
      <alignment horizontal="left" vertical="center" wrapText="1"/>
    </xf>
    <xf numFmtId="0" fontId="15" fillId="0" borderId="18" xfId="0" applyFont="1" applyBorder="1" applyAlignment="1">
      <alignment horizontal="left" vertical="center" wrapText="1"/>
    </xf>
    <xf numFmtId="0" fontId="15" fillId="0" borderId="12" xfId="0" applyFont="1" applyBorder="1" applyAlignment="1">
      <alignment horizontal="left" vertical="center" wrapText="1"/>
    </xf>
    <xf numFmtId="0" fontId="15" fillId="23" borderId="25" xfId="0" applyFont="1" applyFill="1" applyBorder="1" applyAlignment="1">
      <alignment horizontal="left" vertical="center" wrapText="1"/>
    </xf>
    <xf numFmtId="0" fontId="15" fillId="23" borderId="0" xfId="0" applyFont="1" applyFill="1" applyAlignment="1">
      <alignment horizontal="left" vertical="top" wrapText="1"/>
    </xf>
    <xf numFmtId="0" fontId="15" fillId="23" borderId="8" xfId="0" applyFont="1" applyFill="1" applyBorder="1" applyAlignment="1">
      <alignment horizontal="left" vertical="top" wrapText="1"/>
    </xf>
    <xf numFmtId="0" fontId="15" fillId="23" borderId="21" xfId="0" applyFont="1" applyFill="1" applyBorder="1" applyAlignment="1">
      <alignment horizontal="left" vertical="center" wrapText="1"/>
    </xf>
    <xf numFmtId="0" fontId="15" fillId="5" borderId="18" xfId="0" applyFont="1" applyFill="1" applyBorder="1" applyAlignment="1">
      <alignment horizontal="left" vertical="center" wrapText="1"/>
    </xf>
    <xf numFmtId="0" fontId="16" fillId="0" borderId="18" xfId="0" applyFont="1" applyBorder="1" applyAlignment="1">
      <alignment horizontal="left" vertical="center" wrapText="1"/>
    </xf>
    <xf numFmtId="0" fontId="16" fillId="0" borderId="0" xfId="0" applyFont="1" applyAlignment="1">
      <alignment horizontal="left" vertical="center"/>
    </xf>
    <xf numFmtId="0" fontId="13" fillId="23" borderId="8" xfId="0" applyFont="1" applyFill="1" applyBorder="1" applyAlignment="1" applyProtection="1">
      <alignment vertical="center" wrapText="1"/>
      <protection locked="0"/>
    </xf>
    <xf numFmtId="164" fontId="16" fillId="23" borderId="4" xfId="0" applyNumberFormat="1" applyFont="1" applyFill="1" applyBorder="1" applyAlignment="1">
      <alignment horizontal="center" vertical="center" wrapText="1"/>
    </xf>
    <xf numFmtId="0" fontId="13" fillId="23" borderId="8" xfId="0" applyFont="1" applyFill="1" applyBorder="1" applyAlignment="1">
      <alignment vertical="center"/>
    </xf>
    <xf numFmtId="164" fontId="16" fillId="23" borderId="20" xfId="0" applyNumberFormat="1" applyFont="1" applyFill="1" applyBorder="1" applyAlignment="1">
      <alignment horizontal="center" vertical="center" wrapText="1"/>
    </xf>
    <xf numFmtId="0" fontId="74" fillId="0" borderId="18" xfId="0" applyFont="1" applyBorder="1" applyAlignment="1">
      <alignment horizontal="center" vertical="center" wrapText="1"/>
    </xf>
    <xf numFmtId="0" fontId="15" fillId="23" borderId="20" xfId="0" applyFont="1" applyFill="1" applyBorder="1" applyAlignment="1">
      <alignment horizontal="left" vertical="center" wrapText="1"/>
    </xf>
    <xf numFmtId="0" fontId="77" fillId="23" borderId="18" xfId="0" applyFont="1" applyFill="1" applyBorder="1" applyAlignment="1">
      <alignment horizontal="left" vertical="center" wrapText="1"/>
    </xf>
    <xf numFmtId="0" fontId="15" fillId="23" borderId="16" xfId="0" applyFont="1" applyFill="1" applyBorder="1" applyAlignment="1">
      <alignment vertical="center" wrapText="1"/>
    </xf>
    <xf numFmtId="0" fontId="42" fillId="23" borderId="8" xfId="0" quotePrefix="1" applyFont="1" applyFill="1" applyBorder="1" applyAlignment="1">
      <alignment horizontal="left" vertical="top" wrapText="1"/>
    </xf>
    <xf numFmtId="46" fontId="74" fillId="23" borderId="8" xfId="0" quotePrefix="1" applyNumberFormat="1" applyFont="1" applyFill="1" applyBorder="1" applyAlignment="1">
      <alignment horizontal="left" vertical="center" wrapText="1"/>
    </xf>
    <xf numFmtId="0" fontId="42" fillId="0" borderId="18" xfId="0" applyFont="1" applyBorder="1" applyAlignment="1">
      <alignment horizontal="left" vertical="center" wrapText="1"/>
    </xf>
    <xf numFmtId="0" fontId="13" fillId="23" borderId="20" xfId="0" applyFont="1" applyFill="1" applyBorder="1" applyAlignment="1">
      <alignment horizontal="center" vertical="center" wrapText="1"/>
    </xf>
    <xf numFmtId="0" fontId="74" fillId="23" borderId="18" xfId="0" applyFont="1" applyFill="1" applyBorder="1" applyAlignment="1">
      <alignment horizontal="center" vertical="center" wrapText="1"/>
    </xf>
    <xf numFmtId="0" fontId="16" fillId="23" borderId="18" xfId="0" applyFont="1" applyFill="1" applyBorder="1" applyAlignment="1">
      <alignment horizontal="left" vertical="center" wrapText="1"/>
    </xf>
    <xf numFmtId="0" fontId="16" fillId="23" borderId="8" xfId="0" applyFont="1" applyFill="1" applyBorder="1" applyAlignment="1">
      <alignment vertical="center" wrapText="1"/>
    </xf>
    <xf numFmtId="0" fontId="74" fillId="0" borderId="19" xfId="0" applyFont="1" applyBorder="1" applyAlignment="1">
      <alignment horizontal="center" vertical="center" wrapText="1"/>
    </xf>
    <xf numFmtId="0" fontId="3" fillId="0" borderId="20" xfId="0" applyFont="1" applyBorder="1" applyAlignment="1">
      <alignment vertical="center"/>
    </xf>
    <xf numFmtId="0" fontId="27" fillId="23" borderId="22" xfId="0" applyFont="1" applyFill="1" applyBorder="1" applyAlignment="1">
      <alignment horizontal="center" vertical="center" wrapText="1"/>
    </xf>
    <xf numFmtId="0" fontId="82" fillId="0" borderId="8" xfId="0" applyFont="1" applyBorder="1" applyAlignment="1">
      <alignment vertical="center"/>
    </xf>
    <xf numFmtId="0" fontId="13" fillId="0" borderId="8" xfId="0" applyFont="1" applyBorder="1" applyAlignment="1">
      <alignment vertical="center"/>
    </xf>
    <xf numFmtId="0" fontId="9" fillId="0" borderId="10" xfId="0" applyFont="1" applyBorder="1" applyAlignment="1">
      <alignment horizontal="center" vertical="center" wrapText="1"/>
    </xf>
    <xf numFmtId="0" fontId="13" fillId="0" borderId="22" xfId="0" applyFont="1" applyBorder="1" applyAlignment="1">
      <alignment horizontal="center" vertical="center" wrapText="1"/>
    </xf>
    <xf numFmtId="0" fontId="28" fillId="0" borderId="18" xfId="0" applyFont="1" applyBorder="1" applyAlignment="1">
      <alignment horizontal="center" vertical="center" wrapText="1"/>
    </xf>
    <xf numFmtId="0" fontId="13" fillId="0" borderId="12" xfId="0" applyFont="1" applyBorder="1" applyAlignment="1">
      <alignment horizontal="center" vertical="center" wrapText="1"/>
    </xf>
    <xf numFmtId="0" fontId="12" fillId="0" borderId="12" xfId="0" applyFont="1" applyBorder="1" applyAlignment="1">
      <alignment horizontal="center" vertical="center" wrapText="1"/>
    </xf>
    <xf numFmtId="0" fontId="13" fillId="0" borderId="8" xfId="0" applyFont="1" applyBorder="1" applyAlignment="1">
      <alignment horizontal="left" vertical="center" wrapText="1"/>
    </xf>
    <xf numFmtId="0" fontId="12" fillId="0" borderId="2" xfId="0" applyFont="1" applyBorder="1" applyAlignment="1">
      <alignment horizontal="center" vertical="center" wrapText="1"/>
    </xf>
    <xf numFmtId="0" fontId="13" fillId="0" borderId="12" xfId="0" applyFont="1" applyBorder="1" applyAlignment="1">
      <alignment vertical="center" wrapText="1"/>
    </xf>
    <xf numFmtId="0" fontId="9" fillId="23" borderId="34" xfId="0" applyFont="1" applyFill="1" applyBorder="1" applyAlignment="1">
      <alignment horizontal="center" vertical="center" wrapText="1"/>
    </xf>
    <xf numFmtId="164" fontId="3" fillId="0" borderId="8" xfId="0" applyNumberFormat="1" applyFont="1" applyBorder="1" applyAlignment="1">
      <alignment horizontal="center" vertical="center"/>
    </xf>
    <xf numFmtId="3" fontId="13" fillId="23" borderId="18" xfId="1" applyNumberFormat="1" applyFont="1" applyFill="1" applyBorder="1" applyAlignment="1">
      <alignment horizontal="right" vertical="center" wrapText="1"/>
    </xf>
    <xf numFmtId="164" fontId="13" fillId="23" borderId="8" xfId="0" applyNumberFormat="1" applyFont="1" applyFill="1" applyBorder="1" applyAlignment="1">
      <alignment vertical="center"/>
    </xf>
    <xf numFmtId="0" fontId="16" fillId="23" borderId="8" xfId="0" applyFont="1" applyFill="1" applyBorder="1" applyAlignment="1">
      <alignment horizontal="center" vertical="center" wrapText="1"/>
    </xf>
    <xf numFmtId="0" fontId="13" fillId="23" borderId="16" xfId="0" applyFont="1" applyFill="1" applyBorder="1" applyAlignment="1">
      <alignment vertical="center"/>
    </xf>
    <xf numFmtId="3" fontId="3" fillId="23" borderId="18" xfId="1" applyNumberFormat="1" applyFont="1" applyFill="1" applyBorder="1" applyAlignment="1">
      <alignment horizontal="right" vertical="center" wrapText="1"/>
    </xf>
    <xf numFmtId="164" fontId="3" fillId="23" borderId="8" xfId="0" applyNumberFormat="1" applyFont="1" applyFill="1" applyBorder="1" applyAlignment="1">
      <alignment vertical="center"/>
    </xf>
    <xf numFmtId="0" fontId="13" fillId="23" borderId="22" xfId="0" applyFont="1" applyFill="1" applyBorder="1" applyAlignment="1">
      <alignment horizontal="center" vertical="center" wrapText="1"/>
    </xf>
    <xf numFmtId="3" fontId="13" fillId="23" borderId="22" xfId="0" applyNumberFormat="1" applyFont="1" applyFill="1" applyBorder="1" applyAlignment="1">
      <alignment vertical="center" wrapText="1"/>
    </xf>
    <xf numFmtId="0" fontId="13" fillId="23" borderId="35" xfId="0" applyFont="1" applyFill="1" applyBorder="1" applyAlignment="1">
      <alignment horizontal="center" vertical="center" wrapText="1"/>
    </xf>
    <xf numFmtId="0" fontId="13" fillId="23" borderId="12" xfId="0" applyFont="1" applyFill="1" applyBorder="1" applyAlignment="1">
      <alignment horizontal="center" vertical="center" wrapText="1"/>
    </xf>
    <xf numFmtId="0" fontId="16" fillId="23" borderId="22" xfId="0" applyFont="1" applyFill="1" applyBorder="1" applyAlignment="1">
      <alignment horizontal="left" vertical="center" wrapText="1"/>
    </xf>
    <xf numFmtId="164" fontId="13" fillId="23" borderId="21" xfId="0" applyNumberFormat="1" applyFont="1" applyFill="1" applyBorder="1" applyAlignment="1">
      <alignment horizontal="center" vertical="center" wrapText="1"/>
    </xf>
    <xf numFmtId="0" fontId="74" fillId="23" borderId="22" xfId="0" applyFont="1" applyFill="1" applyBorder="1" applyAlignment="1">
      <alignment horizontal="center" vertical="center" wrapText="1"/>
    </xf>
    <xf numFmtId="0" fontId="9" fillId="23" borderId="35" xfId="0" applyFont="1" applyFill="1" applyBorder="1" applyAlignment="1">
      <alignment horizontal="center" vertical="center" wrapText="1"/>
    </xf>
    <xf numFmtId="0" fontId="27" fillId="23" borderId="8" xfId="0" applyFont="1" applyFill="1" applyBorder="1" applyAlignment="1">
      <alignment horizontal="center" vertical="center" wrapText="1"/>
    </xf>
    <xf numFmtId="3" fontId="13" fillId="23" borderId="8" xfId="0" applyNumberFormat="1" applyFont="1" applyFill="1" applyBorder="1" applyAlignment="1">
      <alignment vertical="center" wrapText="1"/>
    </xf>
    <xf numFmtId="0" fontId="16" fillId="23" borderId="8" xfId="0" applyFont="1" applyFill="1" applyBorder="1" applyAlignment="1">
      <alignment horizontal="left" vertical="center" wrapText="1"/>
    </xf>
    <xf numFmtId="164" fontId="13" fillId="23" borderId="8" xfId="0" applyNumberFormat="1" applyFont="1" applyFill="1" applyBorder="1" applyAlignment="1">
      <alignment horizontal="center" vertical="center" wrapText="1"/>
    </xf>
    <xf numFmtId="0" fontId="74" fillId="23" borderId="8" xfId="0" applyFont="1" applyFill="1" applyBorder="1" applyAlignment="1">
      <alignment horizontal="center" vertical="center" wrapText="1"/>
    </xf>
    <xf numFmtId="0" fontId="3" fillId="23" borderId="22" xfId="0" applyFont="1" applyFill="1" applyBorder="1" applyAlignment="1">
      <alignment vertical="center" wrapText="1"/>
    </xf>
    <xf numFmtId="0" fontId="13" fillId="23" borderId="22" xfId="0" applyFont="1" applyFill="1" applyBorder="1" applyAlignment="1">
      <alignment horizontal="center" vertical="center"/>
    </xf>
    <xf numFmtId="164" fontId="13" fillId="23" borderId="18" xfId="0" applyNumberFormat="1" applyFont="1" applyFill="1" applyBorder="1" applyAlignment="1">
      <alignment horizontal="center" vertical="center" wrapText="1"/>
    </xf>
    <xf numFmtId="0" fontId="74" fillId="23" borderId="19" xfId="0" applyFont="1" applyFill="1" applyBorder="1" applyAlignment="1">
      <alignment horizontal="center" vertical="center" wrapText="1"/>
    </xf>
    <xf numFmtId="3" fontId="13" fillId="23" borderId="8" xfId="1" applyNumberFormat="1" applyFont="1" applyFill="1" applyBorder="1" applyAlignment="1">
      <alignment horizontal="right" vertical="center" wrapText="1"/>
    </xf>
    <xf numFmtId="0" fontId="9" fillId="23" borderId="10" xfId="0" applyFont="1" applyFill="1" applyBorder="1" applyAlignment="1">
      <alignment horizontal="center" vertical="center" wrapText="1"/>
    </xf>
    <xf numFmtId="3" fontId="3" fillId="23" borderId="8" xfId="1" applyNumberFormat="1" applyFont="1" applyFill="1" applyBorder="1" applyAlignment="1">
      <alignment horizontal="right" vertical="center" wrapText="1"/>
    </xf>
    <xf numFmtId="164" fontId="3" fillId="23" borderId="8" xfId="0" applyNumberFormat="1" applyFont="1" applyFill="1" applyBorder="1" applyAlignment="1">
      <alignment horizontal="center" vertical="center" wrapText="1"/>
    </xf>
    <xf numFmtId="0" fontId="12" fillId="23" borderId="24" xfId="0" applyFont="1" applyFill="1" applyBorder="1" applyAlignment="1">
      <alignment horizontal="center" vertical="center" wrapText="1"/>
    </xf>
    <xf numFmtId="0" fontId="42" fillId="23" borderId="18" xfId="0" applyFont="1" applyFill="1" applyBorder="1" applyAlignment="1">
      <alignment horizontal="center" vertical="center" wrapText="1"/>
    </xf>
    <xf numFmtId="164" fontId="3" fillId="23" borderId="18" xfId="0" applyNumberFormat="1" applyFont="1" applyFill="1" applyBorder="1" applyAlignment="1">
      <alignment horizontal="center" vertical="center" wrapText="1"/>
    </xf>
    <xf numFmtId="0" fontId="12" fillId="23" borderId="10" xfId="0" applyFont="1" applyFill="1" applyBorder="1" applyAlignment="1">
      <alignment horizontal="center" vertical="center" wrapText="1"/>
    </xf>
    <xf numFmtId="0" fontId="9" fillId="23" borderId="17" xfId="0" applyFont="1" applyFill="1" applyBorder="1" applyAlignment="1">
      <alignment vertical="center" wrapText="1"/>
    </xf>
    <xf numFmtId="0" fontId="13" fillId="23" borderId="10" xfId="0" applyFont="1" applyFill="1" applyBorder="1" applyAlignment="1">
      <alignment vertical="center"/>
    </xf>
    <xf numFmtId="0" fontId="12" fillId="23" borderId="17" xfId="0" applyFont="1" applyFill="1" applyBorder="1" applyAlignment="1">
      <alignment horizontal="center" vertical="center" wrapText="1"/>
    </xf>
    <xf numFmtId="0" fontId="15" fillId="23" borderId="19" xfId="0" applyFont="1" applyFill="1" applyBorder="1" applyAlignment="1">
      <alignment horizontal="center" vertical="center" wrapText="1"/>
    </xf>
    <xf numFmtId="0" fontId="12" fillId="0" borderId="19" xfId="0" applyFont="1" applyBorder="1" applyAlignment="1">
      <alignment horizontal="center" vertical="center"/>
    </xf>
    <xf numFmtId="0" fontId="27" fillId="23" borderId="12" xfId="0" applyFont="1" applyFill="1" applyBorder="1" applyAlignment="1">
      <alignment horizontal="center" vertical="center" wrapText="1"/>
    </xf>
    <xf numFmtId="168" fontId="8" fillId="0" borderId="11" xfId="1" applyNumberFormat="1" applyFont="1" applyBorder="1" applyAlignment="1">
      <alignment horizontal="right" vertical="center" wrapText="1"/>
    </xf>
    <xf numFmtId="168" fontId="3" fillId="0" borderId="8" xfId="1" applyNumberFormat="1" applyFont="1" applyBorder="1" applyAlignment="1">
      <alignment horizontal="right" vertical="center"/>
    </xf>
    <xf numFmtId="168" fontId="3" fillId="0" borderId="0" xfId="1" applyNumberFormat="1" applyFont="1" applyAlignment="1">
      <alignment horizontal="right" vertical="center"/>
    </xf>
    <xf numFmtId="164" fontId="3" fillId="0" borderId="18" xfId="0" applyNumberFormat="1" applyFont="1" applyBorder="1" applyAlignment="1">
      <alignment vertical="center"/>
    </xf>
    <xf numFmtId="0" fontId="13" fillId="23" borderId="23" xfId="0" applyFont="1" applyFill="1" applyBorder="1" applyAlignment="1">
      <alignment horizontal="center" vertical="center" wrapText="1"/>
    </xf>
    <xf numFmtId="0" fontId="9" fillId="2" borderId="22" xfId="0" applyFont="1" applyFill="1" applyBorder="1" applyAlignment="1">
      <alignment horizontal="center" vertical="center" wrapText="1"/>
    </xf>
    <xf numFmtId="0" fontId="12" fillId="23" borderId="23" xfId="0" applyFont="1" applyFill="1" applyBorder="1" applyAlignment="1">
      <alignment horizontal="center" vertical="center" wrapText="1"/>
    </xf>
    <xf numFmtId="164" fontId="13" fillId="23" borderId="8" xfId="0" applyNumberFormat="1" applyFont="1" applyFill="1" applyBorder="1" applyAlignment="1">
      <alignment horizontal="right" vertical="center" wrapText="1"/>
    </xf>
    <xf numFmtId="0" fontId="12" fillId="23" borderId="8" xfId="0" applyFont="1" applyFill="1" applyBorder="1" applyAlignment="1">
      <alignment vertical="center" wrapText="1"/>
    </xf>
    <xf numFmtId="0" fontId="9" fillId="23" borderId="23" xfId="0" applyFont="1" applyFill="1" applyBorder="1" applyAlignment="1">
      <alignment horizontal="center" vertical="center" wrapText="1"/>
    </xf>
    <xf numFmtId="0" fontId="12" fillId="0" borderId="0" xfId="0" applyFont="1" applyAlignment="1">
      <alignment vertical="center"/>
    </xf>
    <xf numFmtId="164" fontId="3" fillId="23" borderId="20" xfId="0" applyNumberFormat="1" applyFont="1" applyFill="1" applyBorder="1" applyAlignment="1">
      <alignment vertical="center"/>
    </xf>
    <xf numFmtId="164" fontId="13" fillId="23" borderId="20" xfId="0" applyNumberFormat="1" applyFont="1" applyFill="1" applyBorder="1" applyAlignment="1">
      <alignment vertical="center"/>
    </xf>
    <xf numFmtId="0" fontId="12" fillId="23" borderId="12" xfId="0" applyFont="1" applyFill="1" applyBorder="1" applyAlignment="1">
      <alignment vertical="center" wrapText="1"/>
    </xf>
    <xf numFmtId="0" fontId="8" fillId="0" borderId="8" xfId="0" applyFont="1" applyBorder="1" applyAlignment="1">
      <alignment vertical="center" wrapText="1"/>
    </xf>
    <xf numFmtId="0" fontId="8" fillId="0" borderId="8" xfId="0" applyFont="1" applyBorder="1" applyAlignment="1">
      <alignment vertical="center"/>
    </xf>
    <xf numFmtId="0" fontId="12" fillId="0" borderId="36" xfId="0" applyFont="1" applyBorder="1" applyAlignment="1">
      <alignment horizontal="center" vertical="center" wrapText="1"/>
    </xf>
    <xf numFmtId="0" fontId="21" fillId="23" borderId="8" xfId="0" applyFont="1" applyFill="1" applyBorder="1" applyAlignment="1">
      <alignment horizontal="center" vertical="center" wrapText="1"/>
    </xf>
    <xf numFmtId="0" fontId="20" fillId="23" borderId="8" xfId="0" applyFont="1" applyFill="1" applyBorder="1" applyAlignment="1">
      <alignment horizontal="center" vertical="center" wrapText="1"/>
    </xf>
    <xf numFmtId="0" fontId="21" fillId="23" borderId="8" xfId="0" applyFont="1" applyFill="1" applyBorder="1" applyAlignment="1">
      <alignment horizontal="left" vertical="center" wrapText="1"/>
    </xf>
    <xf numFmtId="0" fontId="24" fillId="23" borderId="24" xfId="0" applyFont="1" applyFill="1" applyBorder="1" applyAlignment="1">
      <alignment horizontal="center" vertical="center" wrapText="1"/>
    </xf>
    <xf numFmtId="168" fontId="56" fillId="23" borderId="8" xfId="1" applyNumberFormat="1" applyFont="1" applyFill="1" applyBorder="1" applyAlignment="1">
      <alignment horizontal="right" vertical="center" wrapText="1"/>
    </xf>
    <xf numFmtId="0" fontId="16" fillId="23" borderId="18" xfId="0" applyFont="1" applyFill="1" applyBorder="1" applyAlignment="1">
      <alignment horizontal="center" vertical="center" wrapText="1"/>
    </xf>
    <xf numFmtId="0" fontId="16" fillId="23" borderId="25" xfId="0" applyFont="1" applyFill="1" applyBorder="1" applyAlignment="1">
      <alignment horizontal="center" vertical="center" wrapText="1"/>
    </xf>
    <xf numFmtId="0" fontId="12" fillId="23" borderId="9" xfId="0" applyFont="1" applyFill="1" applyBorder="1" applyAlignment="1">
      <alignment horizontal="center" vertical="center" wrapText="1"/>
    </xf>
    <xf numFmtId="3" fontId="3" fillId="23" borderId="22" xfId="1" applyNumberFormat="1" applyFont="1" applyFill="1" applyBorder="1" applyAlignment="1">
      <alignment horizontal="right" vertical="center" wrapText="1"/>
    </xf>
    <xf numFmtId="0" fontId="13" fillId="0" borderId="19" xfId="0" applyFont="1" applyBorder="1" applyAlignment="1">
      <alignment horizontal="center" vertical="center"/>
    </xf>
    <xf numFmtId="3" fontId="13" fillId="0" borderId="18" xfId="0" applyNumberFormat="1" applyFont="1" applyBorder="1" applyAlignment="1">
      <alignment vertical="center" wrapText="1"/>
    </xf>
    <xf numFmtId="164" fontId="13" fillId="0" borderId="18" xfId="0" applyNumberFormat="1" applyFont="1" applyBorder="1" applyAlignment="1">
      <alignment horizontal="center" vertical="center" wrapText="1"/>
    </xf>
    <xf numFmtId="3" fontId="3" fillId="0" borderId="18" xfId="0" applyNumberFormat="1" applyFont="1" applyBorder="1" applyAlignment="1">
      <alignment vertical="center" wrapText="1"/>
    </xf>
    <xf numFmtId="164" fontId="3" fillId="0" borderId="18" xfId="0" applyNumberFormat="1" applyFont="1" applyBorder="1" applyAlignment="1">
      <alignment horizontal="center" vertical="center" wrapText="1"/>
    </xf>
    <xf numFmtId="3" fontId="13" fillId="0" borderId="8" xfId="1" applyNumberFormat="1" applyFont="1" applyFill="1" applyBorder="1" applyAlignment="1">
      <alignment horizontal="right" vertical="center" wrapText="1"/>
    </xf>
    <xf numFmtId="164" fontId="13" fillId="0" borderId="8" xfId="0" applyNumberFormat="1" applyFont="1" applyBorder="1" applyAlignment="1">
      <alignment horizontal="center" vertical="center" wrapText="1"/>
    </xf>
    <xf numFmtId="3" fontId="3" fillId="0" borderId="8" xfId="1" applyNumberFormat="1" applyFont="1" applyFill="1" applyBorder="1" applyAlignment="1">
      <alignment horizontal="right" vertical="center" wrapText="1"/>
    </xf>
    <xf numFmtId="164" fontId="3" fillId="0" borderId="8" xfId="0" applyNumberFormat="1" applyFont="1" applyBorder="1" applyAlignment="1">
      <alignment horizontal="center" vertical="center" wrapText="1"/>
    </xf>
    <xf numFmtId="164" fontId="3" fillId="0" borderId="16" xfId="0" applyNumberFormat="1" applyFont="1" applyBorder="1" applyAlignment="1">
      <alignment horizontal="center" vertical="center" wrapText="1"/>
    </xf>
    <xf numFmtId="3" fontId="13" fillId="0" borderId="18" xfId="1" applyNumberFormat="1" applyFont="1" applyFill="1" applyBorder="1" applyAlignment="1">
      <alignment horizontal="right" vertical="center" wrapText="1"/>
    </xf>
    <xf numFmtId="164" fontId="13" fillId="0" borderId="8" xfId="0" applyNumberFormat="1" applyFont="1" applyBorder="1" applyAlignment="1">
      <alignment vertical="center"/>
    </xf>
    <xf numFmtId="0" fontId="83" fillId="0" borderId="0" xfId="0" applyFont="1" applyAlignment="1">
      <alignment horizontal="center" vertical="center" wrapText="1"/>
    </xf>
    <xf numFmtId="3" fontId="3" fillId="0" borderId="20" xfId="0" applyNumberFormat="1" applyFont="1" applyBorder="1" applyAlignment="1">
      <alignment vertical="center" wrapText="1"/>
    </xf>
    <xf numFmtId="164" fontId="13" fillId="0" borderId="8" xfId="0" applyNumberFormat="1" applyFont="1" applyBorder="1" applyAlignment="1">
      <alignment horizontal="right" vertical="center" wrapText="1"/>
    </xf>
    <xf numFmtId="164" fontId="3" fillId="0" borderId="8" xfId="0" applyNumberFormat="1" applyFont="1" applyBorder="1" applyAlignment="1">
      <alignment horizontal="right" vertical="center" wrapText="1"/>
    </xf>
    <xf numFmtId="0" fontId="12" fillId="0" borderId="17" xfId="0" applyFont="1" applyBorder="1" applyAlignment="1">
      <alignment horizontal="center" vertical="center"/>
    </xf>
    <xf numFmtId="0" fontId="12" fillId="0" borderId="23" xfId="0" applyFont="1" applyBorder="1" applyAlignment="1">
      <alignment horizontal="center" vertical="center" wrapText="1"/>
    </xf>
    <xf numFmtId="0" fontId="20" fillId="23" borderId="8" xfId="0" applyFont="1" applyFill="1" applyBorder="1" applyAlignment="1">
      <alignment horizontal="left" vertical="center" wrapText="1"/>
    </xf>
    <xf numFmtId="0" fontId="12" fillId="0" borderId="0" xfId="0" applyFont="1" applyAlignment="1">
      <alignment horizontal="left" vertical="center"/>
    </xf>
    <xf numFmtId="0" fontId="9" fillId="23" borderId="12" xfId="0" applyFont="1" applyFill="1" applyBorder="1" applyAlignment="1">
      <alignment horizontal="center" vertical="center" wrapText="1"/>
    </xf>
    <xf numFmtId="3" fontId="13" fillId="23" borderId="20" xfId="0" applyNumberFormat="1" applyFont="1" applyFill="1" applyBorder="1" applyAlignment="1">
      <alignment vertical="center" wrapText="1"/>
    </xf>
    <xf numFmtId="0" fontId="13" fillId="23" borderId="12" xfId="0" applyFont="1" applyFill="1" applyBorder="1" applyAlignment="1">
      <alignment horizontal="center" vertical="center"/>
    </xf>
    <xf numFmtId="0" fontId="9" fillId="23" borderId="10" xfId="0" applyFont="1" applyFill="1" applyBorder="1" applyAlignment="1">
      <alignment horizontal="left" vertical="center" wrapText="1"/>
    </xf>
    <xf numFmtId="0" fontId="12" fillId="23" borderId="10" xfId="0" applyFont="1" applyFill="1" applyBorder="1" applyAlignment="1">
      <alignment horizontal="left" vertical="center" wrapText="1"/>
    </xf>
    <xf numFmtId="164" fontId="3" fillId="23" borderId="20" xfId="1" applyNumberFormat="1" applyFont="1" applyFill="1" applyBorder="1" applyAlignment="1">
      <alignment horizontal="center" vertical="center"/>
    </xf>
    <xf numFmtId="0" fontId="13" fillId="5" borderId="18" xfId="0" applyFont="1" applyFill="1" applyBorder="1" applyAlignment="1">
      <alignment vertical="center"/>
    </xf>
    <xf numFmtId="0" fontId="29" fillId="23" borderId="12" xfId="0" applyFont="1" applyFill="1" applyBorder="1" applyAlignment="1">
      <alignment horizontal="center" vertical="center" wrapText="1"/>
    </xf>
    <xf numFmtId="14" fontId="20" fillId="2" borderId="7" xfId="0" applyNumberFormat="1" applyFont="1" applyFill="1" applyBorder="1" applyAlignment="1">
      <alignment horizontal="center" vertical="center" wrapText="1"/>
    </xf>
    <xf numFmtId="0" fontId="27" fillId="23" borderId="18" xfId="0" applyFont="1" applyFill="1" applyBorder="1" applyAlignment="1">
      <alignment horizontal="center" vertical="center" wrapText="1"/>
    </xf>
    <xf numFmtId="0" fontId="8" fillId="0" borderId="8" xfId="0" applyFont="1" applyBorder="1" applyAlignment="1">
      <alignment horizontal="left" vertical="center"/>
    </xf>
    <xf numFmtId="168" fontId="48" fillId="0" borderId="11" xfId="1" applyNumberFormat="1" applyFont="1" applyBorder="1" applyAlignment="1">
      <alignment horizontal="right" vertical="center" wrapText="1"/>
    </xf>
    <xf numFmtId="168" fontId="3" fillId="23" borderId="18" xfId="0" applyNumberFormat="1" applyFont="1" applyFill="1" applyBorder="1" applyAlignment="1">
      <alignment horizontal="right" vertical="center" wrapText="1"/>
    </xf>
    <xf numFmtId="168" fontId="3" fillId="23" borderId="3" xfId="1" applyNumberFormat="1" applyFont="1" applyFill="1" applyBorder="1" applyAlignment="1">
      <alignment horizontal="right" vertical="center" wrapText="1"/>
    </xf>
    <xf numFmtId="0" fontId="9" fillId="23" borderId="34" xfId="0" applyFont="1" applyFill="1" applyBorder="1" applyAlignment="1">
      <alignment horizontal="left" vertical="center" wrapText="1"/>
    </xf>
    <xf numFmtId="0" fontId="13" fillId="23" borderId="42" xfId="0" applyFont="1" applyFill="1" applyBorder="1" applyAlignment="1">
      <alignment vertical="center"/>
    </xf>
    <xf numFmtId="0" fontId="12" fillId="23" borderId="34" xfId="0" applyFont="1" applyFill="1" applyBorder="1" applyAlignment="1">
      <alignment horizontal="left" vertical="center" wrapText="1"/>
    </xf>
    <xf numFmtId="0" fontId="21" fillId="23" borderId="18" xfId="0" applyFont="1" applyFill="1" applyBorder="1" applyAlignment="1">
      <alignment horizontal="center" vertical="center" wrapText="1"/>
    </xf>
    <xf numFmtId="0" fontId="13" fillId="23" borderId="16" xfId="0" applyFont="1" applyFill="1" applyBorder="1" applyAlignment="1">
      <alignment horizontal="center" vertical="center" wrapText="1"/>
    </xf>
    <xf numFmtId="168" fontId="3" fillId="23" borderId="8" xfId="0" applyNumberFormat="1" applyFont="1" applyFill="1" applyBorder="1" applyAlignment="1">
      <alignment horizontal="right" vertical="center" wrapText="1"/>
    </xf>
    <xf numFmtId="168" fontId="15" fillId="23" borderId="20" xfId="1" applyNumberFormat="1" applyFont="1" applyFill="1" applyBorder="1" applyAlignment="1">
      <alignment horizontal="right" vertical="center" wrapText="1"/>
    </xf>
    <xf numFmtId="0" fontId="24" fillId="23" borderId="10" xfId="0" applyFont="1" applyFill="1" applyBorder="1" applyAlignment="1">
      <alignment horizontal="left" vertical="center" wrapText="1"/>
    </xf>
    <xf numFmtId="0" fontId="3" fillId="23" borderId="25" xfId="0" applyFont="1" applyFill="1" applyBorder="1" applyAlignment="1">
      <alignment vertical="center" wrapText="1"/>
    </xf>
    <xf numFmtId="168" fontId="3" fillId="23" borderId="34" xfId="1" applyNumberFormat="1" applyFont="1" applyFill="1" applyBorder="1" applyAlignment="1">
      <alignment horizontal="right" vertical="center" wrapText="1"/>
    </xf>
    <xf numFmtId="0" fontId="18" fillId="23" borderId="8" xfId="0" applyFont="1" applyFill="1" applyBorder="1" applyAlignment="1">
      <alignment horizontal="center" vertical="center" wrapText="1"/>
    </xf>
    <xf numFmtId="0" fontId="18" fillId="23" borderId="18" xfId="0" applyFont="1" applyFill="1" applyBorder="1" applyAlignment="1">
      <alignment horizontal="center" vertical="center" wrapText="1"/>
    </xf>
    <xf numFmtId="0" fontId="19" fillId="23" borderId="8" xfId="0" applyFont="1" applyFill="1" applyBorder="1" applyAlignment="1">
      <alignment horizontal="left" vertical="center" wrapText="1"/>
    </xf>
    <xf numFmtId="168" fontId="3" fillId="23" borderId="34" xfId="1" applyNumberFormat="1" applyFont="1" applyFill="1" applyBorder="1" applyAlignment="1">
      <alignment horizontal="right" vertical="center"/>
    </xf>
    <xf numFmtId="0" fontId="18" fillId="23" borderId="18" xfId="0" applyFont="1" applyFill="1" applyBorder="1" applyAlignment="1">
      <alignment horizontal="left" vertical="center" wrapText="1"/>
    </xf>
    <xf numFmtId="0" fontId="9" fillId="23" borderId="8" xfId="0" applyFont="1" applyFill="1" applyBorder="1" applyAlignment="1">
      <alignment vertical="center" wrapText="1"/>
    </xf>
    <xf numFmtId="0" fontId="24" fillId="23" borderId="0" xfId="0" applyFont="1" applyFill="1" applyAlignment="1">
      <alignment horizontal="center" vertical="center" wrapText="1"/>
    </xf>
    <xf numFmtId="0" fontId="24" fillId="23" borderId="45" xfId="0" applyFont="1" applyFill="1" applyBorder="1" applyAlignment="1">
      <alignment horizontal="center" vertical="center" wrapText="1"/>
    </xf>
    <xf numFmtId="168" fontId="15" fillId="23" borderId="21" xfId="1" applyNumberFormat="1" applyFont="1" applyFill="1" applyBorder="1" applyAlignment="1">
      <alignment horizontal="right" vertical="center" wrapText="1"/>
    </xf>
    <xf numFmtId="168" fontId="15" fillId="23" borderId="16" xfId="1" applyNumberFormat="1" applyFont="1" applyFill="1" applyBorder="1" applyAlignment="1">
      <alignment horizontal="right" vertical="center" wrapText="1"/>
    </xf>
    <xf numFmtId="0" fontId="85" fillId="23" borderId="18" xfId="0" applyFont="1" applyFill="1" applyBorder="1" applyAlignment="1">
      <alignment horizontal="center" vertical="center" wrapText="1"/>
    </xf>
    <xf numFmtId="0" fontId="29" fillId="23" borderId="8" xfId="0" applyFont="1" applyFill="1" applyBorder="1" applyAlignment="1">
      <alignment horizontal="center" vertical="center" wrapText="1"/>
    </xf>
    <xf numFmtId="0" fontId="13" fillId="23" borderId="6" xfId="0" applyFont="1" applyFill="1" applyBorder="1" applyAlignment="1">
      <alignment horizontal="center" vertical="center" wrapText="1"/>
    </xf>
    <xf numFmtId="0" fontId="13" fillId="23" borderId="34" xfId="0" applyFont="1" applyFill="1" applyBorder="1" applyAlignment="1">
      <alignment horizontal="center" vertical="center" wrapText="1"/>
    </xf>
    <xf numFmtId="168" fontId="3" fillId="23" borderId="8" xfId="1" applyNumberFormat="1" applyFont="1" applyFill="1" applyBorder="1" applyAlignment="1">
      <alignment horizontal="right" vertical="center" wrapText="1"/>
    </xf>
    <xf numFmtId="168" fontId="13" fillId="23" borderId="19" xfId="0" applyNumberFormat="1" applyFont="1" applyFill="1" applyBorder="1" applyAlignment="1">
      <alignment horizontal="right" vertical="center"/>
    </xf>
    <xf numFmtId="0" fontId="9" fillId="23" borderId="23" xfId="0" applyFont="1" applyFill="1" applyBorder="1" applyAlignment="1">
      <alignment horizontal="left" vertical="center" wrapText="1"/>
    </xf>
    <xf numFmtId="164" fontId="3" fillId="23" borderId="34" xfId="1" applyNumberFormat="1" applyFont="1" applyFill="1" applyBorder="1" applyAlignment="1">
      <alignment horizontal="right" vertical="center" wrapText="1"/>
    </xf>
    <xf numFmtId="0" fontId="3" fillId="23" borderId="6" xfId="0" applyFont="1" applyFill="1" applyBorder="1" applyAlignment="1">
      <alignment horizontal="center" vertical="center" wrapText="1"/>
    </xf>
    <xf numFmtId="0" fontId="3" fillId="23" borderId="8" xfId="0" applyFont="1" applyFill="1" applyBorder="1" applyAlignment="1" applyProtection="1">
      <alignment vertical="center" wrapText="1"/>
      <protection locked="0"/>
    </xf>
    <xf numFmtId="164" fontId="3" fillId="23" borderId="3" xfId="1" applyNumberFormat="1" applyFont="1" applyFill="1" applyBorder="1" applyAlignment="1">
      <alignment horizontal="center" vertical="center" wrapText="1"/>
    </xf>
    <xf numFmtId="0" fontId="9" fillId="23" borderId="2" xfId="0" applyFont="1" applyFill="1" applyBorder="1" applyAlignment="1">
      <alignment horizontal="left" vertical="center" wrapText="1"/>
    </xf>
    <xf numFmtId="0" fontId="9" fillId="23" borderId="3" xfId="0" applyFont="1" applyFill="1" applyBorder="1" applyAlignment="1">
      <alignment horizontal="left" vertical="center" wrapText="1"/>
    </xf>
    <xf numFmtId="0" fontId="13" fillId="23" borderId="25" xfId="0" applyFont="1" applyFill="1" applyBorder="1" applyAlignment="1">
      <alignment vertical="center"/>
    </xf>
    <xf numFmtId="0" fontId="3" fillId="23" borderId="36" xfId="0" applyFont="1" applyFill="1" applyBorder="1" applyAlignment="1">
      <alignment horizontal="center" vertical="center" wrapText="1"/>
    </xf>
    <xf numFmtId="0" fontId="87" fillId="23" borderId="3" xfId="0" applyFont="1" applyFill="1" applyBorder="1" applyAlignment="1">
      <alignment horizontal="left" vertical="center" wrapText="1"/>
    </xf>
    <xf numFmtId="164" fontId="15" fillId="23" borderId="3" xfId="1" applyNumberFormat="1" applyFont="1" applyFill="1" applyBorder="1" applyAlignment="1">
      <alignment horizontal="center" vertical="center" wrapText="1"/>
    </xf>
    <xf numFmtId="0" fontId="13" fillId="23" borderId="44" xfId="0" applyFont="1" applyFill="1" applyBorder="1" applyAlignment="1">
      <alignment vertical="center"/>
    </xf>
    <xf numFmtId="0" fontId="15" fillId="23" borderId="20" xfId="0" applyFont="1" applyFill="1" applyBorder="1" applyAlignment="1">
      <alignment vertical="center" wrapText="1"/>
    </xf>
    <xf numFmtId="168" fontId="3" fillId="23" borderId="1" xfId="1" applyNumberFormat="1" applyFont="1" applyFill="1" applyBorder="1" applyAlignment="1">
      <alignment horizontal="right" vertical="center" wrapText="1"/>
    </xf>
    <xf numFmtId="0" fontId="86" fillId="23" borderId="16" xfId="0" applyFont="1" applyFill="1" applyBorder="1" applyAlignment="1">
      <alignment horizontal="left" vertical="center" wrapText="1"/>
    </xf>
    <xf numFmtId="0" fontId="13" fillId="23" borderId="21" xfId="0" applyFont="1" applyFill="1" applyBorder="1" applyAlignment="1">
      <alignment vertical="center"/>
    </xf>
    <xf numFmtId="168" fontId="3" fillId="23" borderId="4" xfId="1" applyNumberFormat="1" applyFont="1" applyFill="1" applyBorder="1" applyAlignment="1">
      <alignment horizontal="right" vertical="center" wrapText="1"/>
    </xf>
    <xf numFmtId="0" fontId="13" fillId="23" borderId="36" xfId="0" applyFont="1" applyFill="1" applyBorder="1" applyAlignment="1">
      <alignment horizontal="center" vertical="center" wrapText="1"/>
    </xf>
    <xf numFmtId="0" fontId="16" fillId="23" borderId="20" xfId="0" applyFont="1" applyFill="1" applyBorder="1" applyAlignment="1">
      <alignment vertical="center" wrapText="1"/>
    </xf>
    <xf numFmtId="0" fontId="3" fillId="23" borderId="4" xfId="0" applyFont="1" applyFill="1" applyBorder="1" applyAlignment="1">
      <alignment horizontal="center" vertical="center" wrapText="1"/>
    </xf>
    <xf numFmtId="0" fontId="28" fillId="23" borderId="22" xfId="0" applyFont="1" applyFill="1" applyBorder="1" applyAlignment="1">
      <alignment vertical="center" wrapText="1"/>
    </xf>
    <xf numFmtId="164" fontId="13" fillId="23" borderId="18" xfId="1" applyNumberFormat="1" applyFont="1" applyFill="1" applyBorder="1" applyAlignment="1">
      <alignment horizontal="center" vertical="center"/>
    </xf>
    <xf numFmtId="0" fontId="13" fillId="23" borderId="24" xfId="0" applyFont="1" applyFill="1" applyBorder="1" applyAlignment="1">
      <alignment horizontal="center" vertical="center" wrapText="1"/>
    </xf>
    <xf numFmtId="0" fontId="13" fillId="23" borderId="20" xfId="0" applyFont="1" applyFill="1" applyBorder="1" applyAlignment="1">
      <alignment vertical="center"/>
    </xf>
    <xf numFmtId="164" fontId="3" fillId="23" borderId="8" xfId="1" applyNumberFormat="1" applyFont="1" applyFill="1" applyBorder="1" applyAlignment="1">
      <alignment horizontal="center" vertical="center"/>
    </xf>
    <xf numFmtId="0" fontId="42" fillId="23" borderId="19" xfId="0" applyFont="1" applyFill="1" applyBorder="1" applyAlignment="1">
      <alignment horizontal="center" vertical="center" wrapText="1"/>
    </xf>
    <xf numFmtId="0" fontId="13" fillId="23" borderId="3" xfId="0" applyFont="1" applyFill="1" applyBorder="1" applyAlignment="1">
      <alignment horizontal="center" vertical="center" wrapText="1"/>
    </xf>
    <xf numFmtId="0" fontId="16" fillId="23" borderId="16" xfId="0" applyFont="1" applyFill="1" applyBorder="1" applyAlignment="1">
      <alignment horizontal="left" vertical="center" wrapText="1"/>
    </xf>
    <xf numFmtId="0" fontId="84" fillId="23" borderId="8" xfId="0" applyFont="1" applyFill="1" applyBorder="1" applyAlignment="1">
      <alignment vertical="center" wrapText="1"/>
    </xf>
    <xf numFmtId="168" fontId="15" fillId="23" borderId="34" xfId="1" applyNumberFormat="1" applyFont="1" applyFill="1" applyBorder="1" applyAlignment="1">
      <alignment horizontal="right" vertical="center" wrapText="1"/>
    </xf>
    <xf numFmtId="0" fontId="13" fillId="23" borderId="19" xfId="0" applyFont="1" applyFill="1" applyBorder="1" applyAlignment="1">
      <alignment horizontal="left" vertical="center" wrapText="1"/>
    </xf>
    <xf numFmtId="0" fontId="13" fillId="23" borderId="34" xfId="0" applyFont="1" applyFill="1" applyBorder="1" applyAlignment="1">
      <alignment horizontal="left" vertical="center" wrapText="1"/>
    </xf>
    <xf numFmtId="168" fontId="19" fillId="23" borderId="18" xfId="1" applyNumberFormat="1" applyFont="1" applyFill="1" applyBorder="1" applyAlignment="1">
      <alignment horizontal="right" vertical="center" wrapText="1"/>
    </xf>
    <xf numFmtId="0" fontId="19" fillId="23" borderId="18" xfId="0" applyFont="1" applyFill="1" applyBorder="1" applyAlignment="1">
      <alignment horizontal="left" vertical="center" wrapText="1"/>
    </xf>
    <xf numFmtId="168" fontId="3" fillId="23" borderId="10" xfId="1" applyNumberFormat="1" applyFont="1" applyFill="1" applyBorder="1" applyAlignment="1">
      <alignment horizontal="right" vertical="center" wrapText="1"/>
    </xf>
    <xf numFmtId="0" fontId="19" fillId="23" borderId="19" xfId="0" applyFont="1" applyFill="1" applyBorder="1" applyAlignment="1">
      <alignment horizontal="left" vertical="center" wrapText="1"/>
    </xf>
    <xf numFmtId="168" fontId="13" fillId="23" borderId="8" xfId="1" applyNumberFormat="1" applyFont="1" applyFill="1" applyBorder="1" applyAlignment="1">
      <alignment horizontal="right" vertical="center" wrapText="1"/>
    </xf>
    <xf numFmtId="0" fontId="28" fillId="23" borderId="18" xfId="0" applyFont="1" applyFill="1" applyBorder="1" applyAlignment="1">
      <alignment vertical="center" wrapText="1"/>
    </xf>
    <xf numFmtId="165" fontId="24" fillId="0" borderId="11" xfId="1" applyNumberFormat="1" applyFont="1" applyBorder="1" applyAlignment="1">
      <alignment horizontal="center" vertical="center" wrapText="1"/>
    </xf>
    <xf numFmtId="168" fontId="3" fillId="23" borderId="17" xfId="1" applyNumberFormat="1" applyFont="1" applyFill="1" applyBorder="1" applyAlignment="1">
      <alignment horizontal="right" vertical="center" wrapText="1"/>
    </xf>
    <xf numFmtId="0" fontId="12" fillId="23" borderId="0" xfId="0" applyFont="1" applyFill="1" applyAlignment="1">
      <alignment horizontal="left" vertical="center" wrapText="1"/>
    </xf>
    <xf numFmtId="168" fontId="3" fillId="23" borderId="8" xfId="1" applyNumberFormat="1" applyFont="1" applyFill="1" applyBorder="1" applyAlignment="1">
      <alignment horizontal="center" vertical="center" wrapText="1"/>
    </xf>
    <xf numFmtId="168" fontId="3" fillId="23" borderId="10" xfId="0" applyNumberFormat="1" applyFont="1" applyFill="1" applyBorder="1" applyAlignment="1">
      <alignment horizontal="right" vertical="center" wrapText="1"/>
    </xf>
    <xf numFmtId="0" fontId="13" fillId="23" borderId="4" xfId="0" applyFont="1" applyFill="1" applyBorder="1" applyAlignment="1">
      <alignment horizontal="center" vertical="center" wrapText="1"/>
    </xf>
    <xf numFmtId="164" fontId="3" fillId="23" borderId="20" xfId="1" applyNumberFormat="1" applyFont="1" applyFill="1" applyBorder="1" applyAlignment="1">
      <alignment horizontal="center" vertical="center" wrapText="1"/>
    </xf>
    <xf numFmtId="168" fontId="21" fillId="2" borderId="12" xfId="1" applyNumberFormat="1" applyFont="1" applyFill="1" applyBorder="1" applyAlignment="1">
      <alignment horizontal="center" vertical="center" wrapText="1"/>
    </xf>
    <xf numFmtId="164" fontId="3" fillId="23" borderId="20" xfId="1" applyNumberFormat="1" applyFont="1" applyFill="1" applyBorder="1" applyAlignment="1">
      <alignment horizontal="right" vertical="center" wrapText="1"/>
    </xf>
    <xf numFmtId="0" fontId="3" fillId="23" borderId="19" xfId="0" applyFont="1" applyFill="1" applyBorder="1" applyAlignment="1">
      <alignment horizontal="left" vertical="center" wrapText="1"/>
    </xf>
    <xf numFmtId="164" fontId="3" fillId="23" borderId="12" xfId="1" applyNumberFormat="1" applyFont="1" applyFill="1" applyBorder="1" applyAlignment="1">
      <alignment horizontal="center" vertical="center" wrapText="1"/>
    </xf>
    <xf numFmtId="0" fontId="12" fillId="23" borderId="17" xfId="0" applyFont="1" applyFill="1" applyBorder="1" applyAlignment="1">
      <alignment horizontal="left" vertical="center" wrapText="1"/>
    </xf>
    <xf numFmtId="164" fontId="3" fillId="23" borderId="8" xfId="1" applyNumberFormat="1" applyFont="1" applyFill="1" applyBorder="1" applyAlignment="1">
      <alignment horizontal="center" vertical="center" wrapText="1"/>
    </xf>
    <xf numFmtId="164" fontId="3" fillId="23" borderId="18" xfId="1" applyNumberFormat="1" applyFont="1" applyFill="1" applyBorder="1" applyAlignment="1">
      <alignment horizontal="center" vertical="center" wrapText="1"/>
    </xf>
    <xf numFmtId="168" fontId="15" fillId="23" borderId="8" xfId="1" applyNumberFormat="1" applyFont="1" applyFill="1" applyBorder="1" applyAlignment="1">
      <alignment horizontal="right" vertical="center" wrapText="1"/>
    </xf>
    <xf numFmtId="0" fontId="13" fillId="23" borderId="13" xfId="0" applyFont="1" applyFill="1" applyBorder="1" applyAlignment="1">
      <alignment horizontal="center" vertical="center" wrapText="1"/>
    </xf>
    <xf numFmtId="0" fontId="16" fillId="23" borderId="18" xfId="0" applyFont="1" applyFill="1" applyBorder="1" applyAlignment="1">
      <alignment vertical="center" wrapText="1"/>
    </xf>
    <xf numFmtId="164" fontId="15" fillId="23" borderId="34" xfId="1" applyNumberFormat="1" applyFont="1" applyFill="1" applyBorder="1" applyAlignment="1">
      <alignment horizontal="center" vertical="center" wrapText="1"/>
    </xf>
    <xf numFmtId="168" fontId="3" fillId="23" borderId="8" xfId="1" applyNumberFormat="1" applyFont="1" applyFill="1" applyBorder="1" applyAlignment="1">
      <alignment horizontal="right" vertical="center"/>
    </xf>
    <xf numFmtId="164" fontId="15" fillId="23" borderId="20" xfId="1" applyNumberFormat="1" applyFont="1" applyFill="1" applyBorder="1" applyAlignment="1">
      <alignment horizontal="center" vertical="center" wrapText="1"/>
    </xf>
    <xf numFmtId="0" fontId="12" fillId="23" borderId="10" xfId="0" applyFont="1" applyFill="1" applyBorder="1" applyAlignment="1">
      <alignment horizontal="center" vertical="center"/>
    </xf>
    <xf numFmtId="0" fontId="10" fillId="23" borderId="8" xfId="0" applyFont="1" applyFill="1" applyBorder="1" applyAlignment="1">
      <alignment horizontal="left" vertical="center" wrapText="1"/>
    </xf>
    <xf numFmtId="168" fontId="3" fillId="23" borderId="18" xfId="1" applyNumberFormat="1" applyFont="1" applyFill="1" applyBorder="1" applyAlignment="1">
      <alignment horizontal="right" vertical="center"/>
    </xf>
    <xf numFmtId="0" fontId="3" fillId="23" borderId="11" xfId="0" applyFont="1" applyFill="1" applyBorder="1" applyAlignment="1">
      <alignment horizontal="center" vertical="center" wrapText="1"/>
    </xf>
    <xf numFmtId="164" fontId="3" fillId="23" borderId="21" xfId="1" applyNumberFormat="1" applyFont="1" applyFill="1" applyBorder="1" applyAlignment="1">
      <alignment horizontal="center" vertical="center"/>
    </xf>
    <xf numFmtId="0" fontId="12" fillId="23" borderId="35" xfId="0" applyFont="1" applyFill="1" applyBorder="1" applyAlignment="1">
      <alignment horizontal="left" vertical="center" wrapText="1"/>
    </xf>
    <xf numFmtId="0" fontId="27" fillId="23" borderId="19" xfId="0" applyFont="1" applyFill="1" applyBorder="1" applyAlignment="1">
      <alignment horizontal="center" vertical="center" wrapText="1"/>
    </xf>
    <xf numFmtId="164" fontId="3" fillId="23" borderId="19" xfId="1" applyNumberFormat="1" applyFont="1" applyFill="1" applyBorder="1" applyAlignment="1">
      <alignment horizontal="center" vertical="center"/>
    </xf>
    <xf numFmtId="0" fontId="9" fillId="23" borderId="18" xfId="0" applyFont="1" applyFill="1" applyBorder="1" applyAlignment="1">
      <alignment vertical="center" wrapText="1"/>
    </xf>
    <xf numFmtId="168" fontId="3" fillId="23" borderId="20" xfId="1" applyNumberFormat="1" applyFont="1" applyFill="1" applyBorder="1" applyAlignment="1">
      <alignment horizontal="right" vertical="center" wrapText="1"/>
    </xf>
    <xf numFmtId="0" fontId="9" fillId="23" borderId="18" xfId="0" applyFont="1" applyFill="1" applyBorder="1" applyAlignment="1">
      <alignment horizontal="left" vertical="center" wrapText="1"/>
    </xf>
    <xf numFmtId="0" fontId="13" fillId="23" borderId="17" xfId="0" applyFont="1" applyFill="1" applyBorder="1" applyAlignment="1">
      <alignment horizontal="center" vertical="center" wrapText="1"/>
    </xf>
    <xf numFmtId="0" fontId="13" fillId="23" borderId="11" xfId="0" applyFont="1" applyFill="1" applyBorder="1" applyAlignment="1">
      <alignment horizontal="center" vertical="center" wrapText="1"/>
    </xf>
    <xf numFmtId="164" fontId="3" fillId="23" borderId="16" xfId="1" applyNumberFormat="1" applyFont="1" applyFill="1" applyBorder="1" applyAlignment="1">
      <alignment horizontal="center" vertical="center"/>
    </xf>
    <xf numFmtId="0" fontId="13" fillId="5" borderId="22" xfId="0" applyFont="1" applyFill="1" applyBorder="1" applyAlignment="1">
      <alignment vertical="center"/>
    </xf>
    <xf numFmtId="0" fontId="3" fillId="23" borderId="13" xfId="0" applyFont="1" applyFill="1" applyBorder="1" applyAlignment="1">
      <alignment horizontal="center" vertical="center" wrapText="1"/>
    </xf>
    <xf numFmtId="0" fontId="24" fillId="2" borderId="17" xfId="0" applyFont="1" applyFill="1" applyBorder="1" applyAlignment="1">
      <alignment horizontal="center" vertical="center" wrapText="1"/>
    </xf>
    <xf numFmtId="0" fontId="12" fillId="23" borderId="20" xfId="0" applyFont="1" applyFill="1" applyBorder="1" applyAlignment="1">
      <alignment horizontal="center" vertical="center" wrapText="1"/>
    </xf>
    <xf numFmtId="0" fontId="56" fillId="2" borderId="12" xfId="0" applyFont="1" applyFill="1" applyBorder="1" applyAlignment="1">
      <alignment horizontal="center" vertical="center" wrapText="1"/>
    </xf>
    <xf numFmtId="0" fontId="85" fillId="23" borderId="8" xfId="0" applyFont="1" applyFill="1" applyBorder="1" applyAlignment="1">
      <alignment horizontal="center" vertical="center" wrapText="1"/>
    </xf>
    <xf numFmtId="0" fontId="19" fillId="23" borderId="18" xfId="0" applyFont="1" applyFill="1" applyBorder="1" applyAlignment="1">
      <alignment horizontal="center" vertical="center" wrapText="1"/>
    </xf>
    <xf numFmtId="0" fontId="85" fillId="23" borderId="8" xfId="0" quotePrefix="1" applyFont="1" applyFill="1" applyBorder="1" applyAlignment="1">
      <alignment horizontal="center" vertical="center" wrapText="1"/>
    </xf>
    <xf numFmtId="0" fontId="19" fillId="23" borderId="8" xfId="0" applyFont="1" applyFill="1" applyBorder="1" applyAlignment="1">
      <alignment horizontal="center" vertical="center" wrapText="1"/>
    </xf>
    <xf numFmtId="0" fontId="85" fillId="23" borderId="12" xfId="0" applyFont="1" applyFill="1" applyBorder="1" applyAlignment="1">
      <alignment horizontal="center" vertical="center" wrapText="1"/>
    </xf>
    <xf numFmtId="0" fontId="85" fillId="23" borderId="22" xfId="0" applyFont="1" applyFill="1" applyBorder="1" applyAlignment="1">
      <alignment horizontal="center" vertical="center" wrapText="1"/>
    </xf>
    <xf numFmtId="0" fontId="42" fillId="23" borderId="8" xfId="0" applyFont="1" applyFill="1" applyBorder="1" applyAlignment="1">
      <alignment horizontal="center" vertical="center"/>
    </xf>
    <xf numFmtId="0" fontId="42" fillId="23" borderId="8" xfId="0" applyFont="1" applyFill="1" applyBorder="1" applyAlignment="1">
      <alignment horizontal="center" vertical="center" wrapText="1"/>
    </xf>
    <xf numFmtId="0" fontId="85" fillId="23" borderId="19" xfId="0" applyFont="1" applyFill="1" applyBorder="1" applyAlignment="1">
      <alignment horizontal="center" vertical="center" wrapText="1"/>
    </xf>
    <xf numFmtId="0" fontId="85" fillId="23" borderId="35" xfId="0" applyFont="1" applyFill="1" applyBorder="1" applyAlignment="1">
      <alignment horizontal="center" vertical="center" wrapText="1"/>
    </xf>
    <xf numFmtId="164" fontId="15" fillId="23" borderId="8" xfId="1" applyNumberFormat="1" applyFont="1" applyFill="1" applyBorder="1" applyAlignment="1">
      <alignment horizontal="center" vertical="center" wrapText="1"/>
    </xf>
    <xf numFmtId="0" fontId="12" fillId="0" borderId="8" xfId="0" applyFont="1" applyBorder="1" applyAlignment="1">
      <alignment horizontal="left" vertical="center"/>
    </xf>
    <xf numFmtId="0" fontId="12" fillId="0" borderId="8" xfId="0" applyFont="1" applyBorder="1" applyAlignment="1">
      <alignment vertical="center"/>
    </xf>
    <xf numFmtId="0" fontId="13" fillId="23" borderId="18" xfId="0" applyFont="1" applyFill="1" applyBorder="1" applyAlignment="1">
      <alignment horizontal="center" vertical="center"/>
    </xf>
    <xf numFmtId="168" fontId="3" fillId="23" borderId="12" xfId="0" applyNumberFormat="1" applyFont="1" applyFill="1" applyBorder="1" applyAlignment="1">
      <alignment horizontal="right" vertical="center" wrapText="1"/>
    </xf>
    <xf numFmtId="0" fontId="9" fillId="23" borderId="35" xfId="0" applyFont="1" applyFill="1" applyBorder="1" applyAlignment="1">
      <alignment horizontal="left" vertical="center" wrapText="1"/>
    </xf>
    <xf numFmtId="0" fontId="28" fillId="23" borderId="35" xfId="0" applyFont="1" applyFill="1" applyBorder="1" applyAlignment="1">
      <alignment horizontal="center" vertical="center"/>
    </xf>
    <xf numFmtId="0" fontId="62" fillId="0" borderId="7" xfId="0" applyFont="1" applyBorder="1" applyAlignment="1">
      <alignment horizontal="center" vertical="center"/>
    </xf>
    <xf numFmtId="0" fontId="21" fillId="2" borderId="18" xfId="0" applyFont="1" applyFill="1" applyBorder="1" applyAlignment="1">
      <alignment horizontal="center" vertical="center" wrapText="1"/>
    </xf>
    <xf numFmtId="3" fontId="21" fillId="2" borderId="18" xfId="1" applyNumberFormat="1" applyFont="1" applyFill="1" applyBorder="1" applyAlignment="1">
      <alignment horizontal="center" vertical="center" wrapText="1"/>
    </xf>
    <xf numFmtId="0" fontId="20" fillId="2" borderId="18" xfId="0" applyFont="1" applyFill="1" applyBorder="1" applyAlignment="1">
      <alignment horizontal="center" vertical="center" wrapText="1"/>
    </xf>
    <xf numFmtId="164" fontId="18" fillId="0" borderId="18" xfId="0" applyNumberFormat="1" applyFont="1" applyBorder="1" applyAlignment="1">
      <alignment horizontal="center" vertical="center" wrapText="1"/>
    </xf>
    <xf numFmtId="3" fontId="13" fillId="23" borderId="18" xfId="0" applyNumberFormat="1" applyFont="1" applyFill="1" applyBorder="1" applyAlignment="1">
      <alignment vertical="center"/>
    </xf>
    <xf numFmtId="0" fontId="13" fillId="23" borderId="19" xfId="0" applyFont="1" applyFill="1" applyBorder="1" applyAlignment="1">
      <alignment horizontal="center" vertical="center"/>
    </xf>
    <xf numFmtId="0" fontId="13" fillId="23" borderId="18" xfId="0" applyFont="1" applyFill="1" applyBorder="1" applyAlignment="1">
      <alignment horizontal="left" vertical="center" wrapText="1"/>
    </xf>
    <xf numFmtId="0" fontId="9" fillId="23" borderId="18" xfId="0" applyFont="1" applyFill="1" applyBorder="1" applyAlignment="1">
      <alignment horizontal="center" vertical="center"/>
    </xf>
    <xf numFmtId="43" fontId="21" fillId="2" borderId="18" xfId="0" applyNumberFormat="1" applyFont="1" applyFill="1" applyBorder="1" applyAlignment="1">
      <alignment horizontal="center" vertical="center" wrapText="1"/>
    </xf>
    <xf numFmtId="43" fontId="3" fillId="0" borderId="8" xfId="0" applyNumberFormat="1" applyFont="1" applyBorder="1" applyAlignment="1">
      <alignment horizontal="left" vertical="center"/>
    </xf>
    <xf numFmtId="43" fontId="3" fillId="0" borderId="12" xfId="0" applyNumberFormat="1" applyFont="1" applyBorder="1" applyAlignment="1">
      <alignment horizontal="left" vertical="center"/>
    </xf>
    <xf numFmtId="43" fontId="3" fillId="0" borderId="0" xfId="0" applyNumberFormat="1" applyFont="1" applyAlignment="1">
      <alignment horizontal="left" vertical="center"/>
    </xf>
    <xf numFmtId="164" fontId="15" fillId="23" borderId="18" xfId="0" applyNumberFormat="1" applyFont="1" applyFill="1" applyBorder="1" applyAlignment="1">
      <alignment horizontal="left" vertical="center" wrapText="1"/>
    </xf>
    <xf numFmtId="164" fontId="15" fillId="23" borderId="22" xfId="0" applyNumberFormat="1" applyFont="1" applyFill="1" applyBorder="1" applyAlignment="1">
      <alignment horizontal="left" vertical="center" wrapText="1"/>
    </xf>
    <xf numFmtId="164" fontId="15" fillId="23" borderId="20" xfId="0" applyNumberFormat="1" applyFont="1" applyFill="1" applyBorder="1" applyAlignment="1">
      <alignment horizontal="left" vertical="center" wrapText="1"/>
    </xf>
    <xf numFmtId="164" fontId="12" fillId="23" borderId="18" xfId="0" applyNumberFormat="1" applyFont="1" applyFill="1" applyBorder="1" applyAlignment="1">
      <alignment horizontal="left" vertical="center" wrapText="1"/>
    </xf>
    <xf numFmtId="164" fontId="3" fillId="0" borderId="8" xfId="0" applyNumberFormat="1" applyFont="1" applyBorder="1" applyAlignment="1">
      <alignment horizontal="left" vertical="center"/>
    </xf>
    <xf numFmtId="164" fontId="16" fillId="23" borderId="18" xfId="0" applyNumberFormat="1" applyFont="1" applyFill="1" applyBorder="1" applyAlignment="1">
      <alignment horizontal="left" vertical="center" wrapText="1"/>
    </xf>
    <xf numFmtId="0" fontId="27" fillId="23" borderId="18" xfId="0" applyFont="1" applyFill="1" applyBorder="1" applyAlignment="1">
      <alignment horizontal="center" vertical="center"/>
    </xf>
    <xf numFmtId="164" fontId="15" fillId="23" borderId="8" xfId="0" applyNumberFormat="1" applyFont="1" applyFill="1" applyBorder="1" applyAlignment="1">
      <alignment horizontal="left" vertical="center" wrapText="1"/>
    </xf>
    <xf numFmtId="3" fontId="13" fillId="23" borderId="22" xfId="0" applyNumberFormat="1" applyFont="1" applyFill="1" applyBorder="1" applyAlignment="1">
      <alignment vertical="center"/>
    </xf>
    <xf numFmtId="0" fontId="13" fillId="23" borderId="35" xfId="0" applyFont="1" applyFill="1" applyBorder="1" applyAlignment="1">
      <alignment horizontal="center" vertical="center"/>
    </xf>
    <xf numFmtId="3" fontId="13" fillId="23" borderId="8" xfId="0" applyNumberFormat="1" applyFont="1" applyFill="1" applyBorder="1" applyAlignment="1">
      <alignment vertical="center"/>
    </xf>
    <xf numFmtId="0" fontId="13" fillId="23" borderId="25" xfId="0" applyFont="1" applyFill="1" applyBorder="1" applyAlignment="1">
      <alignment horizontal="center" vertical="center" wrapText="1"/>
    </xf>
    <xf numFmtId="0" fontId="13" fillId="23" borderId="21" xfId="0" applyFont="1" applyFill="1" applyBorder="1" applyAlignment="1">
      <alignment horizontal="center" vertical="center" wrapText="1"/>
    </xf>
    <xf numFmtId="164" fontId="16" fillId="23" borderId="22" xfId="0" applyNumberFormat="1" applyFont="1" applyFill="1" applyBorder="1" applyAlignment="1">
      <alignment horizontal="left" vertical="center" wrapText="1"/>
    </xf>
    <xf numFmtId="0" fontId="13" fillId="23" borderId="22" xfId="0" applyFont="1" applyFill="1" applyBorder="1" applyAlignment="1">
      <alignment horizontal="left" vertical="center" wrapText="1"/>
    </xf>
    <xf numFmtId="0" fontId="9" fillId="23" borderId="22" xfId="0" applyFont="1" applyFill="1" applyBorder="1" applyAlignment="1">
      <alignment horizontal="center" vertical="center"/>
    </xf>
    <xf numFmtId="0" fontId="13" fillId="23" borderId="0" xfId="0" applyFont="1" applyFill="1" applyAlignment="1">
      <alignment horizontal="center" vertical="center" wrapText="1"/>
    </xf>
    <xf numFmtId="164" fontId="15" fillId="23" borderId="12" xfId="0" applyNumberFormat="1" applyFont="1" applyFill="1" applyBorder="1" applyAlignment="1">
      <alignment horizontal="left" vertical="center" wrapText="1"/>
    </xf>
    <xf numFmtId="164" fontId="16" fillId="23" borderId="20" xfId="0" applyNumberFormat="1" applyFont="1" applyFill="1" applyBorder="1" applyAlignment="1">
      <alignment horizontal="left" vertical="center" wrapText="1"/>
    </xf>
    <xf numFmtId="0" fontId="13" fillId="23" borderId="20" xfId="0" applyFont="1" applyFill="1" applyBorder="1" applyAlignment="1">
      <alignment horizontal="left" vertical="center" wrapText="1"/>
    </xf>
    <xf numFmtId="164" fontId="16" fillId="23" borderId="8" xfId="0" applyNumberFormat="1" applyFont="1" applyFill="1" applyBorder="1" applyAlignment="1">
      <alignment horizontal="left" vertical="center" wrapText="1"/>
    </xf>
    <xf numFmtId="0" fontId="9" fillId="23" borderId="8" xfId="0" applyFont="1" applyFill="1" applyBorder="1" applyAlignment="1">
      <alignment horizontal="center" vertical="center"/>
    </xf>
    <xf numFmtId="0" fontId="13" fillId="5" borderId="8" xfId="0" applyFont="1" applyFill="1" applyBorder="1" applyAlignment="1">
      <alignment vertical="center"/>
    </xf>
    <xf numFmtId="3" fontId="13" fillId="23" borderId="20" xfId="0" applyNumberFormat="1" applyFont="1" applyFill="1" applyBorder="1" applyAlignment="1">
      <alignment vertical="center"/>
    </xf>
    <xf numFmtId="0" fontId="16" fillId="23" borderId="20" xfId="0" applyFont="1" applyFill="1" applyBorder="1" applyAlignment="1">
      <alignment horizontal="left" vertical="center" wrapText="1"/>
    </xf>
    <xf numFmtId="0" fontId="13" fillId="23" borderId="20" xfId="0" applyFont="1" applyFill="1" applyBorder="1" applyAlignment="1">
      <alignment horizontal="center" vertical="center"/>
    </xf>
    <xf numFmtId="164" fontId="9" fillId="23" borderId="18" xfId="0" applyNumberFormat="1" applyFont="1" applyFill="1" applyBorder="1" applyAlignment="1">
      <alignment horizontal="left" vertical="center" wrapText="1"/>
    </xf>
    <xf numFmtId="3" fontId="13" fillId="23" borderId="21" xfId="0" applyNumberFormat="1" applyFont="1" applyFill="1" applyBorder="1" applyAlignment="1">
      <alignment vertical="center"/>
    </xf>
    <xf numFmtId="0" fontId="27" fillId="23" borderId="8" xfId="0" applyFont="1" applyFill="1" applyBorder="1" applyAlignment="1">
      <alignment horizontal="center" vertical="center"/>
    </xf>
    <xf numFmtId="0" fontId="27" fillId="23" borderId="35" xfId="0" applyFont="1" applyFill="1" applyBorder="1" applyAlignment="1">
      <alignment horizontal="center" vertical="center"/>
    </xf>
    <xf numFmtId="164" fontId="13" fillId="23" borderId="22" xfId="0" applyNumberFormat="1" applyFont="1" applyFill="1" applyBorder="1" applyAlignment="1">
      <alignment horizontal="left" vertical="center" wrapText="1"/>
    </xf>
    <xf numFmtId="0" fontId="13" fillId="23" borderId="34" xfId="0" applyFont="1" applyFill="1" applyBorder="1" applyAlignment="1">
      <alignment horizontal="center" vertical="center"/>
    </xf>
    <xf numFmtId="0" fontId="27" fillId="23" borderId="18" xfId="0" applyFont="1" applyFill="1" applyBorder="1" applyAlignment="1">
      <alignment horizontal="left" vertical="center" wrapText="1"/>
    </xf>
    <xf numFmtId="0" fontId="79" fillId="23" borderId="8" xfId="0" applyFont="1" applyFill="1" applyBorder="1" applyAlignment="1">
      <alignment horizontal="left" vertical="center" wrapText="1"/>
    </xf>
    <xf numFmtId="0" fontId="79" fillId="23" borderId="12" xfId="0" applyFont="1" applyFill="1" applyBorder="1" applyAlignment="1">
      <alignment horizontal="left" vertical="center" wrapText="1"/>
    </xf>
    <xf numFmtId="0" fontId="15" fillId="23" borderId="0" xfId="0" applyFont="1" applyFill="1" applyAlignment="1">
      <alignment vertical="center" wrapText="1"/>
    </xf>
    <xf numFmtId="164" fontId="15" fillId="23" borderId="8" xfId="0" applyNumberFormat="1" applyFont="1" applyFill="1" applyBorder="1" applyAlignment="1">
      <alignment vertical="center"/>
    </xf>
    <xf numFmtId="164" fontId="3" fillId="0" borderId="18" xfId="0" applyNumberFormat="1" applyFont="1" applyBorder="1" applyAlignment="1">
      <alignment horizontal="left" vertical="center" wrapText="1"/>
    </xf>
    <xf numFmtId="0" fontId="74" fillId="0" borderId="8" xfId="0" applyFont="1" applyBorder="1" applyAlignment="1">
      <alignment horizontal="center" vertical="center" wrapText="1"/>
    </xf>
    <xf numFmtId="0" fontId="88" fillId="23" borderId="18" xfId="0" applyFont="1" applyFill="1" applyBorder="1" applyAlignment="1">
      <alignment horizontal="center" vertical="center" wrapText="1"/>
    </xf>
    <xf numFmtId="0" fontId="88" fillId="23" borderId="8" xfId="0" applyFont="1" applyFill="1" applyBorder="1" applyAlignment="1">
      <alignment horizontal="center" vertical="center" wrapText="1"/>
    </xf>
    <xf numFmtId="3" fontId="21" fillId="23" borderId="8" xfId="1" applyNumberFormat="1" applyFont="1" applyFill="1" applyBorder="1" applyAlignment="1">
      <alignment horizontal="right" vertical="center" wrapText="1"/>
    </xf>
    <xf numFmtId="3" fontId="18" fillId="23" borderId="18" xfId="1" applyNumberFormat="1" applyFont="1" applyFill="1" applyBorder="1" applyAlignment="1">
      <alignment horizontal="right" vertical="center" wrapText="1"/>
    </xf>
    <xf numFmtId="3" fontId="13" fillId="23" borderId="5" xfId="0" applyNumberFormat="1" applyFont="1" applyFill="1" applyBorder="1" applyAlignment="1">
      <alignment horizontal="right" vertical="center" wrapText="1"/>
    </xf>
    <xf numFmtId="3" fontId="3" fillId="23" borderId="5" xfId="0" applyNumberFormat="1" applyFont="1" applyFill="1" applyBorder="1" applyAlignment="1">
      <alignment horizontal="right" vertical="center" wrapText="1"/>
    </xf>
    <xf numFmtId="3" fontId="13" fillId="23" borderId="18" xfId="0" applyNumberFormat="1" applyFont="1" applyFill="1" applyBorder="1" applyAlignment="1">
      <alignment horizontal="right" vertical="center" wrapText="1"/>
    </xf>
    <xf numFmtId="3" fontId="3" fillId="23" borderId="18" xfId="0" applyNumberFormat="1" applyFont="1" applyFill="1" applyBorder="1" applyAlignment="1">
      <alignment horizontal="right" vertical="center" wrapText="1"/>
    </xf>
    <xf numFmtId="3" fontId="13" fillId="23" borderId="19" xfId="0" applyNumberFormat="1" applyFont="1" applyFill="1" applyBorder="1" applyAlignment="1">
      <alignment horizontal="right" vertical="center" wrapText="1"/>
    </xf>
    <xf numFmtId="3" fontId="13" fillId="23" borderId="12" xfId="1" applyNumberFormat="1" applyFont="1" applyFill="1" applyBorder="1" applyAlignment="1">
      <alignment horizontal="right" vertical="center"/>
    </xf>
    <xf numFmtId="3" fontId="3" fillId="23" borderId="10" xfId="0" applyNumberFormat="1" applyFont="1" applyFill="1" applyBorder="1" applyAlignment="1">
      <alignment horizontal="right" vertical="center" wrapText="1"/>
    </xf>
    <xf numFmtId="3" fontId="13" fillId="23" borderId="6" xfId="0" applyNumberFormat="1" applyFont="1" applyFill="1" applyBorder="1" applyAlignment="1">
      <alignment horizontal="right" vertical="center" wrapText="1"/>
    </xf>
    <xf numFmtId="3" fontId="3" fillId="23" borderId="6" xfId="0" applyNumberFormat="1" applyFont="1" applyFill="1" applyBorder="1" applyAlignment="1">
      <alignment horizontal="right" vertical="center" wrapText="1"/>
    </xf>
    <xf numFmtId="0" fontId="3" fillId="23" borderId="5" xfId="0" applyFont="1" applyFill="1" applyBorder="1" applyAlignment="1">
      <alignment horizontal="right" vertical="center" wrapText="1"/>
    </xf>
    <xf numFmtId="3" fontId="13" fillId="23" borderId="8" xfId="0" applyNumberFormat="1" applyFont="1" applyFill="1" applyBorder="1" applyAlignment="1">
      <alignment horizontal="right" vertical="center" wrapText="1"/>
    </xf>
    <xf numFmtId="3" fontId="13" fillId="23" borderId="12" xfId="0" applyNumberFormat="1" applyFont="1" applyFill="1" applyBorder="1" applyAlignment="1">
      <alignment horizontal="right" vertical="center" wrapText="1"/>
    </xf>
    <xf numFmtId="3" fontId="3" fillId="23" borderId="8" xfId="0" applyNumberFormat="1" applyFont="1" applyFill="1" applyBorder="1" applyAlignment="1">
      <alignment horizontal="right" vertical="center" wrapText="1"/>
    </xf>
    <xf numFmtId="0" fontId="3" fillId="23" borderId="8" xfId="0" applyFont="1" applyFill="1" applyBorder="1" applyAlignment="1">
      <alignment horizontal="right" vertical="center" wrapText="1"/>
    </xf>
    <xf numFmtId="3" fontId="3" fillId="23" borderId="22" xfId="0" applyNumberFormat="1" applyFont="1" applyFill="1" applyBorder="1" applyAlignment="1">
      <alignment horizontal="right" vertical="center" wrapText="1"/>
    </xf>
    <xf numFmtId="3" fontId="13" fillId="23" borderId="22" xfId="0" applyNumberFormat="1" applyFont="1" applyFill="1" applyBorder="1" applyAlignment="1">
      <alignment horizontal="right" vertical="center" wrapText="1"/>
    </xf>
    <xf numFmtId="164" fontId="3" fillId="23" borderId="23" xfId="1" applyNumberFormat="1" applyFont="1" applyFill="1" applyBorder="1" applyAlignment="1">
      <alignment horizontal="center" vertical="center" wrapText="1"/>
    </xf>
    <xf numFmtId="0" fontId="8" fillId="23" borderId="34" xfId="0" applyFont="1" applyFill="1" applyBorder="1" applyAlignment="1">
      <alignment horizontal="left" vertical="center" wrapText="1"/>
    </xf>
    <xf numFmtId="0" fontId="28" fillId="23" borderId="8" xfId="0" applyFont="1" applyFill="1" applyBorder="1" applyAlignment="1">
      <alignment vertical="center" wrapText="1"/>
    </xf>
    <xf numFmtId="0" fontId="3" fillId="23" borderId="18" xfId="0" applyFont="1" applyFill="1" applyBorder="1" applyAlignment="1">
      <alignment horizontal="right" vertical="center"/>
    </xf>
    <xf numFmtId="0" fontId="88" fillId="23" borderId="10" xfId="0" applyFont="1" applyFill="1" applyBorder="1" applyAlignment="1">
      <alignment horizontal="center" vertical="center" wrapText="1"/>
    </xf>
    <xf numFmtId="0" fontId="48" fillId="0" borderId="16" xfId="0" applyFont="1" applyBorder="1" applyAlignment="1">
      <alignment horizontal="center" vertical="center"/>
    </xf>
    <xf numFmtId="0" fontId="27" fillId="23" borderId="47" xfId="0" applyFont="1" applyFill="1" applyBorder="1" applyAlignment="1">
      <alignment horizontal="center" vertical="center" wrapText="1"/>
    </xf>
    <xf numFmtId="0" fontId="27" fillId="23" borderId="48" xfId="0" applyFont="1" applyFill="1" applyBorder="1" applyAlignment="1">
      <alignment horizontal="center" vertical="center" wrapText="1"/>
    </xf>
    <xf numFmtId="0" fontId="27" fillId="23" borderId="49" xfId="0" applyFont="1" applyFill="1" applyBorder="1" applyAlignment="1">
      <alignment horizontal="center" vertical="center" wrapText="1"/>
    </xf>
    <xf numFmtId="0" fontId="29" fillId="23" borderId="22" xfId="0" applyFont="1" applyFill="1" applyBorder="1" applyAlignment="1">
      <alignment horizontal="center" vertical="center" wrapText="1"/>
    </xf>
    <xf numFmtId="0" fontId="29" fillId="23" borderId="18" xfId="0" applyFont="1" applyFill="1" applyBorder="1" applyAlignment="1">
      <alignment horizontal="center" vertical="center" wrapText="1"/>
    </xf>
    <xf numFmtId="164" fontId="13" fillId="23" borderId="10" xfId="0" applyNumberFormat="1" applyFont="1" applyFill="1" applyBorder="1" applyAlignment="1">
      <alignment horizontal="right" vertical="center"/>
    </xf>
    <xf numFmtId="3" fontId="13" fillId="23" borderId="8" xfId="1" applyNumberFormat="1" applyFont="1" applyFill="1" applyBorder="1" applyAlignment="1">
      <alignment horizontal="center" vertical="center" wrapText="1"/>
    </xf>
    <xf numFmtId="168" fontId="13" fillId="23" borderId="16" xfId="1" applyNumberFormat="1" applyFont="1" applyFill="1" applyBorder="1" applyAlignment="1">
      <alignment horizontal="right" vertical="center"/>
    </xf>
    <xf numFmtId="164" fontId="3" fillId="23" borderId="10" xfId="0" applyNumberFormat="1" applyFont="1" applyFill="1" applyBorder="1" applyAlignment="1">
      <alignment horizontal="right" vertical="center"/>
    </xf>
    <xf numFmtId="3" fontId="3" fillId="23" borderId="8" xfId="1" applyNumberFormat="1" applyFont="1" applyFill="1" applyBorder="1" applyAlignment="1">
      <alignment horizontal="center" vertical="center" wrapText="1"/>
    </xf>
    <xf numFmtId="168" fontId="3" fillId="23" borderId="16" xfId="1" applyNumberFormat="1" applyFont="1" applyFill="1" applyBorder="1" applyAlignment="1">
      <alignment horizontal="right" vertical="center"/>
    </xf>
    <xf numFmtId="164" fontId="3" fillId="23" borderId="8" xfId="0" applyNumberFormat="1" applyFont="1" applyFill="1" applyBorder="1" applyAlignment="1">
      <alignment horizontal="right" vertical="center"/>
    </xf>
    <xf numFmtId="3" fontId="3" fillId="23" borderId="18" xfId="1" applyNumberFormat="1" applyFont="1" applyFill="1" applyBorder="1" applyAlignment="1">
      <alignment horizontal="center" vertical="center" wrapText="1"/>
    </xf>
    <xf numFmtId="0" fontId="3" fillId="23" borderId="3" xfId="0" applyFont="1" applyFill="1" applyBorder="1" applyAlignment="1">
      <alignment horizontal="center" vertical="center" wrapText="1"/>
    </xf>
    <xf numFmtId="0" fontId="9" fillId="23" borderId="12" xfId="0" applyFont="1" applyFill="1" applyBorder="1" applyAlignment="1">
      <alignment horizontal="left" vertical="center" wrapText="1"/>
    </xf>
    <xf numFmtId="164" fontId="13" fillId="23" borderId="8" xfId="1" applyNumberFormat="1" applyFont="1" applyFill="1" applyBorder="1" applyAlignment="1">
      <alignment horizontal="center" vertical="center"/>
    </xf>
    <xf numFmtId="168" fontId="13" fillId="23" borderId="20" xfId="1" applyNumberFormat="1" applyFont="1" applyFill="1" applyBorder="1" applyAlignment="1">
      <alignment horizontal="right" vertical="center" wrapText="1"/>
    </xf>
    <xf numFmtId="168" fontId="3" fillId="23" borderId="21" xfId="1" applyNumberFormat="1" applyFont="1" applyFill="1" applyBorder="1" applyAlignment="1">
      <alignment horizontal="right" vertical="center" wrapText="1"/>
    </xf>
    <xf numFmtId="0" fontId="5" fillId="23" borderId="19" xfId="0" applyFont="1" applyFill="1" applyBorder="1" applyAlignment="1">
      <alignment horizontal="left" vertical="center" wrapText="1"/>
    </xf>
    <xf numFmtId="0" fontId="5" fillId="23" borderId="35" xfId="0" applyFont="1" applyFill="1" applyBorder="1" applyAlignment="1">
      <alignment horizontal="left" vertical="center" wrapText="1"/>
    </xf>
    <xf numFmtId="0" fontId="3" fillId="23" borderId="9" xfId="0" applyFont="1" applyFill="1" applyBorder="1" applyAlignment="1">
      <alignment horizontal="center" vertical="center" wrapText="1"/>
    </xf>
    <xf numFmtId="164" fontId="15" fillId="23" borderId="0" xfId="1" applyNumberFormat="1" applyFont="1" applyFill="1" applyBorder="1" applyAlignment="1">
      <alignment horizontal="center" vertical="center" wrapText="1"/>
    </xf>
    <xf numFmtId="0" fontId="88" fillId="23" borderId="17" xfId="0" applyFont="1" applyFill="1" applyBorder="1" applyAlignment="1">
      <alignment horizontal="center" vertical="center" wrapText="1"/>
    </xf>
    <xf numFmtId="0" fontId="74" fillId="23" borderId="10" xfId="0" applyFont="1" applyFill="1" applyBorder="1" applyAlignment="1">
      <alignment horizontal="center" vertical="center" wrapText="1"/>
    </xf>
    <xf numFmtId="164" fontId="13" fillId="23" borderId="16" xfId="0" applyNumberFormat="1" applyFont="1" applyFill="1" applyBorder="1" applyAlignment="1">
      <alignment horizontal="right" vertical="center"/>
    </xf>
    <xf numFmtId="0" fontId="12" fillId="23" borderId="10" xfId="0" applyFont="1" applyFill="1" applyBorder="1" applyAlignment="1">
      <alignment horizontal="left" vertical="center"/>
    </xf>
    <xf numFmtId="164" fontId="3" fillId="23" borderId="18" xfId="0" applyNumberFormat="1" applyFont="1" applyFill="1" applyBorder="1" applyAlignment="1">
      <alignment horizontal="right" vertical="center" wrapText="1"/>
    </xf>
    <xf numFmtId="168" fontId="13" fillId="0" borderId="8" xfId="1" applyNumberFormat="1" applyFont="1" applyBorder="1" applyAlignment="1">
      <alignment horizontal="right" vertical="center"/>
    </xf>
    <xf numFmtId="0" fontId="9" fillId="0" borderId="8" xfId="0" applyFont="1" applyBorder="1" applyAlignment="1">
      <alignment horizontal="left" vertical="center"/>
    </xf>
    <xf numFmtId="3" fontId="13" fillId="23" borderId="35" xfId="0" applyNumberFormat="1" applyFont="1" applyFill="1" applyBorder="1" applyAlignment="1">
      <alignment horizontal="right" vertical="center" wrapText="1"/>
    </xf>
    <xf numFmtId="0" fontId="9" fillId="23" borderId="22" xfId="0" applyFont="1" applyFill="1" applyBorder="1" applyAlignment="1">
      <alignment horizontal="center" vertical="center" wrapText="1"/>
    </xf>
    <xf numFmtId="0" fontId="13" fillId="23" borderId="38" xfId="0" applyFont="1" applyFill="1" applyBorder="1" applyAlignment="1">
      <alignment horizontal="center" vertical="center" wrapText="1"/>
    </xf>
    <xf numFmtId="164" fontId="13" fillId="23" borderId="12" xfId="1" applyNumberFormat="1" applyFont="1" applyFill="1" applyBorder="1" applyAlignment="1">
      <alignment horizontal="center" vertical="center"/>
    </xf>
    <xf numFmtId="0" fontId="74" fillId="23" borderId="12" xfId="0" applyFont="1" applyFill="1" applyBorder="1" applyAlignment="1">
      <alignment horizontal="center" vertical="center" wrapText="1"/>
    </xf>
    <xf numFmtId="3" fontId="13" fillId="23" borderId="8" xfId="0" applyNumberFormat="1" applyFont="1" applyFill="1" applyBorder="1" applyAlignment="1">
      <alignment horizontal="center" vertical="center" wrapText="1"/>
    </xf>
    <xf numFmtId="168" fontId="13" fillId="23" borderId="18" xfId="1" applyNumberFormat="1" applyFont="1" applyFill="1" applyBorder="1" applyAlignment="1">
      <alignment horizontal="right" vertical="center"/>
    </xf>
    <xf numFmtId="164" fontId="15" fillId="23" borderId="22" xfId="1" applyNumberFormat="1" applyFont="1" applyFill="1" applyBorder="1" applyAlignment="1">
      <alignment horizontal="center" vertical="center" wrapText="1"/>
    </xf>
    <xf numFmtId="0" fontId="88" fillId="23" borderId="35" xfId="0" applyFont="1" applyFill="1" applyBorder="1" applyAlignment="1">
      <alignment horizontal="center" vertical="center" wrapText="1"/>
    </xf>
    <xf numFmtId="0" fontId="12" fillId="23" borderId="22" xfId="0" applyFont="1" applyFill="1" applyBorder="1" applyAlignment="1">
      <alignment horizontal="left" vertical="center" wrapText="1"/>
    </xf>
    <xf numFmtId="3" fontId="13" fillId="23" borderId="20" xfId="1" applyNumberFormat="1" applyFont="1" applyFill="1" applyBorder="1" applyAlignment="1">
      <alignment horizontal="right" vertical="center" wrapText="1"/>
    </xf>
    <xf numFmtId="164" fontId="3" fillId="0" borderId="8" xfId="1" applyNumberFormat="1" applyFont="1" applyBorder="1" applyAlignment="1">
      <alignment horizontal="center" vertical="center"/>
    </xf>
    <xf numFmtId="0" fontId="13" fillId="0" borderId="16" xfId="0" applyFont="1" applyBorder="1" applyAlignment="1">
      <alignment horizontal="center" vertical="center" wrapText="1"/>
    </xf>
    <xf numFmtId="0" fontId="92" fillId="23" borderId="8" xfId="0" applyFont="1" applyFill="1" applyBorder="1" applyAlignment="1">
      <alignment horizontal="left" vertical="center" wrapText="1"/>
    </xf>
    <xf numFmtId="3" fontId="3" fillId="23" borderId="12" xfId="0" applyNumberFormat="1" applyFont="1" applyFill="1" applyBorder="1" applyAlignment="1">
      <alignment horizontal="right" vertical="center" wrapText="1"/>
    </xf>
    <xf numFmtId="168" fontId="3" fillId="23" borderId="12" xfId="1" applyNumberFormat="1" applyFont="1" applyFill="1" applyBorder="1" applyAlignment="1">
      <alignment horizontal="right" vertical="center" wrapText="1"/>
    </xf>
    <xf numFmtId="0" fontId="88" fillId="23" borderId="12" xfId="0" applyFont="1" applyFill="1" applyBorder="1" applyAlignment="1">
      <alignment horizontal="center" vertical="center" wrapText="1"/>
    </xf>
    <xf numFmtId="0" fontId="91" fillId="23" borderId="12" xfId="0" applyFont="1" applyFill="1" applyBorder="1" applyAlignment="1">
      <alignment horizontal="left" vertical="center" wrapText="1"/>
    </xf>
    <xf numFmtId="0" fontId="91" fillId="23" borderId="8" xfId="0" applyFont="1" applyFill="1" applyBorder="1" applyAlignment="1">
      <alignment horizontal="left" vertical="center" wrapText="1"/>
    </xf>
    <xf numFmtId="3" fontId="13" fillId="23" borderId="18" xfId="1" applyNumberFormat="1" applyFont="1" applyFill="1" applyBorder="1" applyAlignment="1">
      <alignment horizontal="center" vertical="center" wrapText="1"/>
    </xf>
    <xf numFmtId="3" fontId="13" fillId="23" borderId="21" xfId="0" applyNumberFormat="1" applyFont="1" applyFill="1" applyBorder="1" applyAlignment="1">
      <alignment horizontal="right" vertical="center" wrapText="1"/>
    </xf>
    <xf numFmtId="168" fontId="3" fillId="23" borderId="35" xfId="1" applyNumberFormat="1" applyFont="1" applyFill="1" applyBorder="1" applyAlignment="1">
      <alignment horizontal="right" vertical="center" wrapText="1"/>
    </xf>
    <xf numFmtId="0" fontId="12" fillId="23" borderId="25" xfId="0" applyFont="1" applyFill="1" applyBorder="1" applyAlignment="1">
      <alignment horizontal="left" vertical="center" wrapText="1"/>
    </xf>
    <xf numFmtId="164" fontId="15" fillId="23" borderId="12" xfId="1" applyNumberFormat="1" applyFont="1" applyFill="1" applyBorder="1" applyAlignment="1">
      <alignment horizontal="center" vertical="center" wrapText="1"/>
    </xf>
    <xf numFmtId="3" fontId="3" fillId="23" borderId="10" xfId="1" applyNumberFormat="1" applyFont="1" applyFill="1" applyBorder="1" applyAlignment="1">
      <alignment horizontal="right" vertical="center" wrapText="1"/>
    </xf>
    <xf numFmtId="3" fontId="3" fillId="23" borderId="17" xfId="0" applyNumberFormat="1" applyFont="1" applyFill="1" applyBorder="1" applyAlignment="1">
      <alignment horizontal="right" vertical="center" wrapText="1"/>
    </xf>
    <xf numFmtId="0" fontId="88" fillId="23" borderId="16" xfId="0" applyFont="1" applyFill="1" applyBorder="1" applyAlignment="1">
      <alignment horizontal="center" vertical="center" wrapText="1"/>
    </xf>
    <xf numFmtId="168" fontId="13" fillId="23" borderId="34" xfId="1" applyNumberFormat="1" applyFont="1" applyFill="1" applyBorder="1" applyAlignment="1">
      <alignment horizontal="right" vertical="center" wrapText="1"/>
    </xf>
    <xf numFmtId="0" fontId="3" fillId="23" borderId="1" xfId="0" applyFont="1" applyFill="1" applyBorder="1" applyAlignment="1">
      <alignment horizontal="center" vertical="center" wrapText="1"/>
    </xf>
    <xf numFmtId="168" fontId="9" fillId="23" borderId="20" xfId="1" applyNumberFormat="1" applyFont="1" applyFill="1" applyBorder="1" applyAlignment="1">
      <alignment horizontal="right" vertical="center" wrapText="1"/>
    </xf>
    <xf numFmtId="0" fontId="3" fillId="23" borderId="46" xfId="0" applyFont="1" applyFill="1" applyBorder="1" applyAlignment="1">
      <alignment horizontal="center" vertical="center" wrapText="1"/>
    </xf>
    <xf numFmtId="0" fontId="44" fillId="23" borderId="8" xfId="0" applyFont="1" applyFill="1" applyBorder="1" applyAlignment="1">
      <alignment horizontal="left" vertical="center" wrapText="1"/>
    </xf>
    <xf numFmtId="0" fontId="43" fillId="23" borderId="8" xfId="0" applyFont="1" applyFill="1" applyBorder="1" applyAlignment="1">
      <alignment horizontal="left" vertical="center" wrapText="1"/>
    </xf>
    <xf numFmtId="0" fontId="43" fillId="23" borderId="19" xfId="0" applyFont="1" applyFill="1" applyBorder="1" applyAlignment="1">
      <alignment horizontal="left" vertical="center" wrapText="1"/>
    </xf>
    <xf numFmtId="0" fontId="24" fillId="23" borderId="18" xfId="0" applyFont="1" applyFill="1" applyBorder="1" applyAlignment="1">
      <alignment horizontal="center" vertical="center" wrapText="1"/>
    </xf>
    <xf numFmtId="164" fontId="13" fillId="23" borderId="12" xfId="0" applyNumberFormat="1" applyFont="1" applyFill="1" applyBorder="1" applyAlignment="1">
      <alignment horizontal="right" vertical="center" wrapText="1"/>
    </xf>
    <xf numFmtId="168" fontId="13" fillId="23" borderId="12" xfId="1" applyNumberFormat="1" applyFont="1" applyFill="1" applyBorder="1" applyAlignment="1">
      <alignment horizontal="right" vertical="center" wrapText="1"/>
    </xf>
    <xf numFmtId="164" fontId="3" fillId="23" borderId="12" xfId="0" applyNumberFormat="1" applyFont="1" applyFill="1" applyBorder="1" applyAlignment="1">
      <alignment horizontal="right" vertical="center" wrapText="1"/>
    </xf>
    <xf numFmtId="0" fontId="43" fillId="23" borderId="16" xfId="0" applyFont="1" applyFill="1" applyBorder="1" applyAlignment="1">
      <alignment horizontal="left" vertical="center" wrapText="1"/>
    </xf>
    <xf numFmtId="16" fontId="13" fillId="23" borderId="8" xfId="0" quotePrefix="1" applyNumberFormat="1" applyFont="1" applyFill="1" applyBorder="1" applyAlignment="1">
      <alignment horizontal="center" vertical="center" wrapText="1"/>
    </xf>
    <xf numFmtId="0" fontId="9" fillId="0" borderId="8" xfId="0" applyFont="1" applyBorder="1" applyAlignment="1">
      <alignment horizontal="center" vertical="center"/>
    </xf>
    <xf numFmtId="168" fontId="3" fillId="23" borderId="12" xfId="1" applyNumberFormat="1" applyFont="1" applyFill="1" applyBorder="1" applyAlignment="1">
      <alignment horizontal="right" vertical="center"/>
    </xf>
    <xf numFmtId="0" fontId="12" fillId="23" borderId="12" xfId="0" applyFont="1" applyFill="1" applyBorder="1" applyAlignment="1">
      <alignment horizontal="left" vertical="center"/>
    </xf>
    <xf numFmtId="3" fontId="3" fillId="23" borderId="12" xfId="1" applyNumberFormat="1" applyFont="1" applyFill="1" applyBorder="1" applyAlignment="1">
      <alignment horizontal="right" vertical="center" wrapText="1"/>
    </xf>
    <xf numFmtId="0" fontId="3" fillId="23" borderId="15" xfId="0" applyFont="1" applyFill="1" applyBorder="1" applyAlignment="1">
      <alignment horizontal="center" vertical="center" wrapText="1"/>
    </xf>
    <xf numFmtId="3" fontId="13" fillId="23" borderId="18" xfId="0" applyNumberFormat="1" applyFont="1" applyFill="1" applyBorder="1" applyAlignment="1">
      <alignment horizontal="center" vertical="center" wrapText="1"/>
    </xf>
    <xf numFmtId="168" fontId="13" fillId="23" borderId="18" xfId="1" applyNumberFormat="1" applyFont="1" applyFill="1" applyBorder="1" applyAlignment="1">
      <alignment horizontal="right" vertical="center" wrapText="1"/>
    </xf>
    <xf numFmtId="0" fontId="90" fillId="23" borderId="18" xfId="0" applyFont="1" applyFill="1" applyBorder="1" applyAlignment="1">
      <alignment horizontal="left" vertical="center" wrapText="1"/>
    </xf>
    <xf numFmtId="164" fontId="13" fillId="23" borderId="8" xfId="0" applyNumberFormat="1" applyFont="1" applyFill="1" applyBorder="1" applyAlignment="1">
      <alignment horizontal="right" vertical="center"/>
    </xf>
    <xf numFmtId="164" fontId="3" fillId="23" borderId="22" xfId="0" applyNumberFormat="1" applyFont="1" applyFill="1" applyBorder="1" applyAlignment="1">
      <alignment horizontal="right" vertical="center"/>
    </xf>
    <xf numFmtId="3" fontId="3" fillId="23" borderId="22" xfId="1" applyNumberFormat="1" applyFont="1" applyFill="1" applyBorder="1" applyAlignment="1">
      <alignment horizontal="center" vertical="center" wrapText="1"/>
    </xf>
    <xf numFmtId="168" fontId="3" fillId="23" borderId="22" xfId="1" applyNumberFormat="1" applyFont="1" applyFill="1" applyBorder="1" applyAlignment="1">
      <alignment horizontal="right" vertical="center" wrapText="1"/>
    </xf>
    <xf numFmtId="3" fontId="13" fillId="23" borderId="16" xfId="0" applyNumberFormat="1" applyFont="1" applyFill="1" applyBorder="1" applyAlignment="1">
      <alignment horizontal="right" vertical="center" wrapText="1"/>
    </xf>
    <xf numFmtId="168" fontId="3" fillId="23" borderId="18" xfId="1" applyNumberFormat="1" applyFont="1" applyFill="1" applyBorder="1" applyAlignment="1">
      <alignment horizontal="right" vertical="center" wrapText="1"/>
    </xf>
    <xf numFmtId="3" fontId="3" fillId="23" borderId="20" xfId="0" applyNumberFormat="1" applyFont="1" applyFill="1" applyBorder="1" applyAlignment="1">
      <alignment horizontal="right" vertical="center" wrapText="1"/>
    </xf>
    <xf numFmtId="3" fontId="13" fillId="23" borderId="20" xfId="0" applyNumberFormat="1" applyFont="1" applyFill="1" applyBorder="1" applyAlignment="1">
      <alignment horizontal="right" vertical="center" wrapText="1"/>
    </xf>
    <xf numFmtId="3" fontId="13" fillId="23" borderId="16" xfId="1" applyNumberFormat="1" applyFont="1" applyFill="1" applyBorder="1" applyAlignment="1">
      <alignment horizontal="right" vertical="center" wrapText="1"/>
    </xf>
    <xf numFmtId="164" fontId="3" fillId="23" borderId="8" xfId="0" applyNumberFormat="1" applyFont="1" applyFill="1" applyBorder="1" applyAlignment="1">
      <alignment horizontal="right" vertical="center" wrapText="1"/>
    </xf>
    <xf numFmtId="168" fontId="3" fillId="23" borderId="8" xfId="0" applyNumberFormat="1" applyFont="1" applyFill="1" applyBorder="1" applyAlignment="1">
      <alignment vertical="center"/>
    </xf>
    <xf numFmtId="0" fontId="43" fillId="23" borderId="25" xfId="0" applyFont="1" applyFill="1" applyBorder="1" applyAlignment="1">
      <alignment horizontal="left" vertical="center" wrapText="1"/>
    </xf>
    <xf numFmtId="168" fontId="3" fillId="23" borderId="8" xfId="0" applyNumberFormat="1" applyFont="1" applyFill="1" applyBorder="1" applyAlignment="1">
      <alignment horizontal="right" vertical="center"/>
    </xf>
    <xf numFmtId="0" fontId="13" fillId="23" borderId="16" xfId="0" applyFont="1" applyFill="1" applyBorder="1" applyAlignment="1">
      <alignment horizontal="center" vertical="center"/>
    </xf>
    <xf numFmtId="168" fontId="13" fillId="23" borderId="12" xfId="1" applyNumberFormat="1" applyFont="1" applyFill="1" applyBorder="1" applyAlignment="1">
      <alignment horizontal="right" vertical="center"/>
    </xf>
    <xf numFmtId="0" fontId="9" fillId="23" borderId="12" xfId="0" applyFont="1" applyFill="1" applyBorder="1" applyAlignment="1">
      <alignment horizontal="left" vertical="center"/>
    </xf>
    <xf numFmtId="164" fontId="3" fillId="23" borderId="12" xfId="1" applyNumberFormat="1" applyFont="1" applyFill="1" applyBorder="1" applyAlignment="1">
      <alignment horizontal="center" vertical="center"/>
    </xf>
    <xf numFmtId="0" fontId="74" fillId="23" borderId="12" xfId="0" applyFont="1" applyFill="1" applyBorder="1" applyAlignment="1">
      <alignment horizontal="center" vertical="center"/>
    </xf>
    <xf numFmtId="0" fontId="74" fillId="23" borderId="12" xfId="0" applyFont="1" applyFill="1" applyBorder="1" applyAlignment="1">
      <alignment horizontal="left" vertical="center"/>
    </xf>
    <xf numFmtId="164" fontId="13" fillId="23" borderId="20" xfId="0" applyNumberFormat="1" applyFont="1" applyFill="1" applyBorder="1" applyAlignment="1">
      <alignment horizontal="right" vertical="center" wrapText="1"/>
    </xf>
    <xf numFmtId="3" fontId="13" fillId="23" borderId="20" xfId="0" applyNumberFormat="1" applyFont="1" applyFill="1" applyBorder="1" applyAlignment="1">
      <alignment horizontal="center" vertical="center" wrapText="1"/>
    </xf>
    <xf numFmtId="0" fontId="90" fillId="23" borderId="8" xfId="0" applyFont="1" applyFill="1" applyBorder="1" applyAlignment="1">
      <alignment horizontal="left" vertical="center" wrapText="1"/>
    </xf>
    <xf numFmtId="164" fontId="3" fillId="23" borderId="20" xfId="0" applyNumberFormat="1" applyFont="1" applyFill="1" applyBorder="1" applyAlignment="1">
      <alignment horizontal="right" vertical="center" wrapText="1"/>
    </xf>
    <xf numFmtId="0" fontId="83" fillId="23" borderId="8" xfId="0" applyFont="1" applyFill="1" applyBorder="1" applyAlignment="1">
      <alignment horizontal="left" vertical="center" wrapText="1"/>
    </xf>
    <xf numFmtId="0" fontId="9" fillId="23" borderId="18" xfId="0" applyFont="1" applyFill="1" applyBorder="1" applyAlignment="1">
      <alignment horizontal="left" vertical="center"/>
    </xf>
    <xf numFmtId="164" fontId="3" fillId="23" borderId="18" xfId="1" applyNumberFormat="1" applyFont="1" applyFill="1" applyBorder="1" applyAlignment="1">
      <alignment horizontal="center" vertical="center"/>
    </xf>
    <xf numFmtId="0" fontId="12" fillId="23" borderId="18" xfId="0" applyFont="1" applyFill="1" applyBorder="1" applyAlignment="1">
      <alignment horizontal="left" vertical="center"/>
    </xf>
    <xf numFmtId="164" fontId="13" fillId="23" borderId="34" xfId="0" applyNumberFormat="1" applyFont="1" applyFill="1" applyBorder="1" applyAlignment="1">
      <alignment horizontal="right" vertical="center" wrapText="1"/>
    </xf>
    <xf numFmtId="164" fontId="15" fillId="23" borderId="8" xfId="1" applyNumberFormat="1" applyFont="1" applyFill="1" applyBorder="1" applyAlignment="1">
      <alignment horizontal="center" vertical="center"/>
    </xf>
    <xf numFmtId="168" fontId="15" fillId="23" borderId="23" xfId="1" applyNumberFormat="1" applyFont="1" applyFill="1" applyBorder="1" applyAlignment="1">
      <alignment horizontal="right" vertical="center" wrapText="1"/>
    </xf>
    <xf numFmtId="164" fontId="3" fillId="23" borderId="21" xfId="0" applyNumberFormat="1" applyFont="1" applyFill="1" applyBorder="1" applyAlignment="1">
      <alignment horizontal="right" vertical="center" wrapText="1"/>
    </xf>
    <xf numFmtId="0" fontId="3" fillId="31" borderId="12" xfId="0" applyFont="1" applyFill="1" applyBorder="1" applyAlignment="1">
      <alignment horizontal="center" vertical="center" wrapText="1"/>
    </xf>
    <xf numFmtId="0" fontId="27" fillId="23" borderId="12" xfId="0" applyFont="1" applyFill="1" applyBorder="1" applyAlignment="1">
      <alignment horizontal="center" vertical="center"/>
    </xf>
    <xf numFmtId="168" fontId="13" fillId="23" borderId="8" xfId="1" applyNumberFormat="1" applyFont="1" applyFill="1" applyBorder="1" applyAlignment="1">
      <alignment horizontal="right" vertical="center"/>
    </xf>
    <xf numFmtId="0" fontId="74" fillId="23" borderId="8" xfId="0" applyFont="1" applyFill="1" applyBorder="1" applyAlignment="1">
      <alignment horizontal="center" vertical="center"/>
    </xf>
    <xf numFmtId="3" fontId="13" fillId="23" borderId="18" xfId="1" applyNumberFormat="1" applyFont="1" applyFill="1" applyBorder="1" applyAlignment="1">
      <alignment horizontal="right" vertical="center"/>
    </xf>
    <xf numFmtId="3" fontId="3" fillId="0" borderId="12" xfId="1" applyNumberFormat="1" applyFont="1" applyBorder="1" applyAlignment="1">
      <alignment horizontal="center" vertical="center"/>
    </xf>
    <xf numFmtId="168" fontId="3" fillId="0" borderId="12" xfId="1" applyNumberFormat="1" applyFont="1" applyBorder="1" applyAlignment="1">
      <alignment horizontal="right" vertical="center"/>
    </xf>
    <xf numFmtId="0" fontId="12" fillId="0" borderId="12" xfId="0" applyFont="1" applyBorder="1" applyAlignment="1">
      <alignment vertical="center"/>
    </xf>
    <xf numFmtId="0" fontId="20" fillId="2" borderId="35" xfId="0" applyFont="1" applyFill="1" applyBorder="1" applyAlignment="1">
      <alignment vertical="center" wrapText="1"/>
    </xf>
    <xf numFmtId="0" fontId="12" fillId="23" borderId="8" xfId="0" applyFont="1" applyFill="1" applyBorder="1" applyAlignment="1">
      <alignment vertical="center"/>
    </xf>
    <xf numFmtId="0" fontId="12" fillId="23" borderId="12" xfId="0" applyFont="1" applyFill="1" applyBorder="1" applyAlignment="1">
      <alignment vertical="center"/>
    </xf>
    <xf numFmtId="0" fontId="9" fillId="23" borderId="18" xfId="0" applyFont="1" applyFill="1" applyBorder="1" applyAlignment="1">
      <alignment vertical="center"/>
    </xf>
    <xf numFmtId="0" fontId="9" fillId="23" borderId="12" xfId="0" applyFont="1" applyFill="1" applyBorder="1" applyAlignment="1">
      <alignment vertical="center"/>
    </xf>
    <xf numFmtId="0" fontId="12" fillId="23" borderId="18" xfId="0" applyFont="1" applyFill="1" applyBorder="1" applyAlignment="1">
      <alignment vertical="center" wrapText="1"/>
    </xf>
    <xf numFmtId="0" fontId="9" fillId="23" borderId="10" xfId="0" applyFont="1" applyFill="1" applyBorder="1" applyAlignment="1">
      <alignment vertical="center"/>
    </xf>
    <xf numFmtId="0" fontId="12" fillId="23" borderId="10" xfId="0" applyFont="1" applyFill="1" applyBorder="1" applyAlignment="1">
      <alignment vertical="center"/>
    </xf>
    <xf numFmtId="0" fontId="12" fillId="23" borderId="10" xfId="0" applyFont="1" applyFill="1" applyBorder="1" applyAlignment="1">
      <alignment vertical="center" wrapText="1"/>
    </xf>
    <xf numFmtId="0" fontId="9" fillId="23" borderId="10" xfId="0" applyFont="1" applyFill="1" applyBorder="1" applyAlignment="1">
      <alignment vertical="center" wrapText="1"/>
    </xf>
    <xf numFmtId="164" fontId="13" fillId="23" borderId="17" xfId="0" applyNumberFormat="1" applyFont="1" applyFill="1" applyBorder="1" applyAlignment="1">
      <alignment horizontal="right" vertical="center" wrapText="1"/>
    </xf>
    <xf numFmtId="0" fontId="12" fillId="2" borderId="22" xfId="0" applyFont="1" applyFill="1" applyBorder="1" applyAlignment="1">
      <alignment vertical="center" wrapText="1"/>
    </xf>
    <xf numFmtId="0" fontId="13" fillId="23" borderId="25" xfId="0" applyFont="1" applyFill="1" applyBorder="1" applyAlignment="1">
      <alignment horizontal="center" vertical="center"/>
    </xf>
    <xf numFmtId="164" fontId="13" fillId="23" borderId="19" xfId="1" applyNumberFormat="1" applyFont="1" applyFill="1" applyBorder="1" applyAlignment="1">
      <alignment horizontal="center" vertical="center"/>
    </xf>
    <xf numFmtId="0" fontId="12" fillId="23" borderId="18" xfId="0" applyFont="1" applyFill="1" applyBorder="1" applyAlignment="1">
      <alignment vertical="center"/>
    </xf>
    <xf numFmtId="0" fontId="13" fillId="23" borderId="10" xfId="0" applyFont="1" applyFill="1" applyBorder="1" applyAlignment="1">
      <alignment vertical="center" wrapText="1"/>
    </xf>
    <xf numFmtId="0" fontId="3" fillId="23" borderId="10" xfId="0" applyFont="1" applyFill="1" applyBorder="1" applyAlignment="1">
      <alignment vertical="center" wrapText="1"/>
    </xf>
    <xf numFmtId="164" fontId="13" fillId="23" borderId="20" xfId="1" applyNumberFormat="1" applyFont="1" applyFill="1" applyBorder="1" applyAlignment="1">
      <alignment horizontal="center" vertical="center"/>
    </xf>
    <xf numFmtId="3" fontId="13" fillId="23" borderId="8" xfId="1" applyNumberFormat="1" applyFont="1" applyFill="1" applyBorder="1" applyAlignment="1">
      <alignment horizontal="right" vertical="center"/>
    </xf>
    <xf numFmtId="168" fontId="13" fillId="23" borderId="10" xfId="1" applyNumberFormat="1" applyFont="1" applyFill="1" applyBorder="1" applyAlignment="1">
      <alignment horizontal="right" vertical="center"/>
    </xf>
    <xf numFmtId="0" fontId="12" fillId="23" borderId="16" xfId="0" applyFont="1" applyFill="1" applyBorder="1" applyAlignment="1">
      <alignment horizontal="left" vertical="center" wrapText="1"/>
    </xf>
    <xf numFmtId="168" fontId="3" fillId="23" borderId="10" xfId="1" applyNumberFormat="1" applyFont="1" applyFill="1" applyBorder="1" applyAlignment="1">
      <alignment horizontal="right" vertical="center"/>
    </xf>
    <xf numFmtId="0" fontId="9" fillId="23" borderId="20" xfId="0" applyFont="1" applyFill="1" applyBorder="1" applyAlignment="1">
      <alignment horizontal="center" vertical="center" wrapText="1"/>
    </xf>
    <xf numFmtId="3" fontId="3" fillId="23" borderId="20" xfId="1" applyNumberFormat="1" applyFont="1" applyFill="1" applyBorder="1" applyAlignment="1">
      <alignment horizontal="right" vertical="center"/>
    </xf>
    <xf numFmtId="3" fontId="3" fillId="23" borderId="12" xfId="1" applyNumberFormat="1" applyFont="1" applyFill="1" applyBorder="1" applyAlignment="1">
      <alignment horizontal="right" vertical="center"/>
    </xf>
    <xf numFmtId="164" fontId="13" fillId="23" borderId="8" xfId="1" applyNumberFormat="1" applyFont="1" applyFill="1" applyBorder="1" applyAlignment="1">
      <alignment horizontal="center" vertical="center" wrapText="1"/>
    </xf>
    <xf numFmtId="168" fontId="13" fillId="23" borderId="8" xfId="0" applyNumberFormat="1" applyFont="1" applyFill="1" applyBorder="1" applyAlignment="1">
      <alignment horizontal="right" vertical="center"/>
    </xf>
    <xf numFmtId="168" fontId="13" fillId="23" borderId="18" xfId="0" applyNumberFormat="1" applyFont="1" applyFill="1" applyBorder="1" applyAlignment="1">
      <alignment horizontal="right" vertical="center"/>
    </xf>
    <xf numFmtId="0" fontId="13" fillId="23" borderId="12" xfId="0" applyFont="1" applyFill="1" applyBorder="1" applyAlignment="1">
      <alignment horizontal="left" vertical="center" wrapText="1"/>
    </xf>
    <xf numFmtId="0" fontId="13" fillId="0" borderId="8" xfId="0" applyFont="1" applyBorder="1" applyAlignment="1">
      <alignment horizontal="left" vertical="center"/>
    </xf>
    <xf numFmtId="3" fontId="13" fillId="23" borderId="19" xfId="1" applyNumberFormat="1" applyFont="1" applyFill="1" applyBorder="1" applyAlignment="1">
      <alignment horizontal="right" vertical="center"/>
    </xf>
    <xf numFmtId="0" fontId="50" fillId="0" borderId="0" xfId="0" applyFont="1" applyAlignment="1">
      <alignment horizontal="center" vertical="center"/>
    </xf>
    <xf numFmtId="3" fontId="3" fillId="23" borderId="12" xfId="1" applyNumberFormat="1" applyFont="1" applyFill="1" applyBorder="1" applyAlignment="1">
      <alignment horizontal="center" vertical="center"/>
    </xf>
    <xf numFmtId="164" fontId="3" fillId="23" borderId="16" xfId="0" applyNumberFormat="1" applyFont="1" applyFill="1" applyBorder="1" applyAlignment="1">
      <alignment vertical="center"/>
    </xf>
    <xf numFmtId="1" fontId="9" fillId="0" borderId="8" xfId="0" applyNumberFormat="1" applyFont="1" applyBorder="1" applyAlignment="1">
      <alignment horizontal="center" vertical="center"/>
    </xf>
    <xf numFmtId="164" fontId="13" fillId="23" borderId="8" xfId="1" applyNumberFormat="1" applyFont="1" applyFill="1" applyBorder="1" applyAlignment="1">
      <alignment horizontal="right" vertical="center"/>
    </xf>
    <xf numFmtId="0" fontId="74" fillId="23" borderId="18" xfId="0" applyFont="1" applyFill="1" applyBorder="1" applyAlignment="1">
      <alignment horizontal="center" vertical="center"/>
    </xf>
    <xf numFmtId="0" fontId="9" fillId="23" borderId="12" xfId="0" applyFont="1" applyFill="1" applyBorder="1" applyAlignment="1">
      <alignment horizontal="center" vertical="center"/>
    </xf>
    <xf numFmtId="0" fontId="9" fillId="23" borderId="25" xfId="0" applyFont="1" applyFill="1" applyBorder="1" applyAlignment="1">
      <alignment horizontal="left" vertical="center"/>
    </xf>
    <xf numFmtId="1" fontId="3" fillId="23" borderId="8" xfId="0" applyNumberFormat="1" applyFont="1" applyFill="1" applyBorder="1" applyAlignment="1">
      <alignment horizontal="center" vertical="center"/>
    </xf>
    <xf numFmtId="1" fontId="9" fillId="23" borderId="8" xfId="0" applyNumberFormat="1" applyFont="1" applyFill="1" applyBorder="1" applyAlignment="1">
      <alignment horizontal="center" vertical="center"/>
    </xf>
    <xf numFmtId="168" fontId="13" fillId="23" borderId="8" xfId="1" applyNumberFormat="1" applyFont="1" applyFill="1" applyBorder="1" applyAlignment="1">
      <alignment vertical="center"/>
    </xf>
    <xf numFmtId="168" fontId="3" fillId="23" borderId="12" xfId="0" applyNumberFormat="1" applyFont="1" applyFill="1" applyBorder="1" applyAlignment="1">
      <alignment vertical="center"/>
    </xf>
    <xf numFmtId="3" fontId="3" fillId="23" borderId="8" xfId="1" applyNumberFormat="1" applyFont="1" applyFill="1" applyBorder="1" applyAlignment="1">
      <alignment horizontal="left" vertical="center"/>
    </xf>
    <xf numFmtId="3" fontId="74" fillId="23" borderId="8" xfId="1" applyNumberFormat="1" applyFont="1" applyFill="1" applyBorder="1" applyAlignment="1">
      <alignment horizontal="center" vertical="center"/>
    </xf>
    <xf numFmtId="0" fontId="3" fillId="23" borderId="8" xfId="1" applyNumberFormat="1" applyFont="1" applyFill="1" applyBorder="1" applyAlignment="1">
      <alignment horizontal="center" vertical="center"/>
    </xf>
    <xf numFmtId="168" fontId="13" fillId="23" borderId="25" xfId="1" applyNumberFormat="1" applyFont="1" applyFill="1" applyBorder="1" applyAlignment="1">
      <alignment horizontal="right" vertical="center"/>
    </xf>
    <xf numFmtId="168" fontId="3" fillId="23" borderId="25" xfId="1" applyNumberFormat="1" applyFont="1" applyFill="1" applyBorder="1" applyAlignment="1">
      <alignment horizontal="right" vertical="center"/>
    </xf>
    <xf numFmtId="168" fontId="3" fillId="23" borderId="8" xfId="1" applyNumberFormat="1" applyFont="1" applyFill="1" applyBorder="1" applyAlignment="1">
      <alignment vertical="center"/>
    </xf>
    <xf numFmtId="3" fontId="13" fillId="23" borderId="8" xfId="1" applyNumberFormat="1" applyFont="1" applyFill="1" applyBorder="1" applyAlignment="1">
      <alignment horizontal="center" vertical="center"/>
    </xf>
    <xf numFmtId="3" fontId="13" fillId="23" borderId="8" xfId="1" applyNumberFormat="1" applyFont="1" applyFill="1" applyBorder="1" applyAlignment="1">
      <alignment horizontal="left" vertical="center" wrapText="1"/>
    </xf>
    <xf numFmtId="1" fontId="3" fillId="23" borderId="12" xfId="0" applyNumberFormat="1" applyFont="1" applyFill="1" applyBorder="1" applyAlignment="1">
      <alignment horizontal="center" vertical="center"/>
    </xf>
    <xf numFmtId="3" fontId="13" fillId="23" borderId="8" xfId="1" applyNumberFormat="1" applyFont="1" applyFill="1" applyBorder="1" applyAlignment="1">
      <alignment horizontal="left" vertical="center"/>
    </xf>
    <xf numFmtId="3" fontId="13" fillId="23" borderId="8" xfId="1" applyNumberFormat="1" applyFont="1" applyFill="1" applyBorder="1" applyAlignment="1">
      <alignment vertical="center"/>
    </xf>
    <xf numFmtId="0" fontId="13" fillId="23" borderId="0" xfId="0" applyFont="1" applyFill="1" applyAlignment="1">
      <alignment vertical="center"/>
    </xf>
    <xf numFmtId="168" fontId="3" fillId="0" borderId="8" xfId="1" applyNumberFormat="1" applyFont="1" applyFill="1" applyBorder="1" applyAlignment="1">
      <alignment horizontal="right" vertical="center"/>
    </xf>
    <xf numFmtId="168" fontId="9" fillId="23" borderId="8" xfId="1" applyNumberFormat="1" applyFont="1" applyFill="1" applyBorder="1" applyAlignment="1">
      <alignment horizontal="right" vertical="center"/>
    </xf>
    <xf numFmtId="168" fontId="12" fillId="23" borderId="8" xfId="1" applyNumberFormat="1" applyFont="1" applyFill="1" applyBorder="1" applyAlignment="1">
      <alignment horizontal="right" vertical="center"/>
    </xf>
    <xf numFmtId="0" fontId="9" fillId="23" borderId="16" xfId="0" applyFont="1" applyFill="1" applyBorder="1" applyAlignment="1">
      <alignment horizontal="center" vertical="center" wrapText="1"/>
    </xf>
    <xf numFmtId="168" fontId="3" fillId="0" borderId="17" xfId="1" applyNumberFormat="1" applyFont="1" applyBorder="1" applyAlignment="1">
      <alignment horizontal="right" vertical="center"/>
    </xf>
    <xf numFmtId="168" fontId="3" fillId="0" borderId="10" xfId="1" applyNumberFormat="1" applyFont="1" applyBorder="1" applyAlignment="1">
      <alignment horizontal="right" vertical="center"/>
    </xf>
    <xf numFmtId="0" fontId="12" fillId="0" borderId="12" xfId="0" applyFont="1" applyBorder="1" applyAlignment="1">
      <alignment horizontal="left" vertical="center"/>
    </xf>
    <xf numFmtId="0" fontId="3" fillId="0" borderId="8" xfId="0" quotePrefix="1" applyFont="1" applyBorder="1" applyAlignment="1">
      <alignment horizontal="left" vertical="center" wrapText="1"/>
    </xf>
    <xf numFmtId="0" fontId="3" fillId="0" borderId="12" xfId="0" quotePrefix="1" applyFont="1" applyBorder="1" applyAlignment="1">
      <alignment horizontal="left" vertical="center" wrapText="1"/>
    </xf>
    <xf numFmtId="1" fontId="3" fillId="0" borderId="8" xfId="0" applyNumberFormat="1" applyFont="1" applyBorder="1" applyAlignment="1">
      <alignment horizontal="center" vertical="center"/>
    </xf>
    <xf numFmtId="168" fontId="3" fillId="0" borderId="24" xfId="1" applyNumberFormat="1" applyFont="1" applyBorder="1" applyAlignment="1">
      <alignment horizontal="right" vertical="center"/>
    </xf>
    <xf numFmtId="0" fontId="9" fillId="0" borderId="12" xfId="0" applyFont="1" applyBorder="1" applyAlignment="1">
      <alignment horizontal="center" vertical="center"/>
    </xf>
    <xf numFmtId="164" fontId="13" fillId="23" borderId="18" xfId="1" applyNumberFormat="1" applyFont="1" applyFill="1" applyBorder="1" applyAlignment="1">
      <alignment horizontal="right" vertical="center"/>
    </xf>
    <xf numFmtId="0" fontId="9" fillId="2" borderId="0" xfId="0" applyFont="1" applyFill="1" applyAlignment="1">
      <alignment horizontal="center" vertical="center"/>
    </xf>
    <xf numFmtId="168" fontId="3" fillId="23" borderId="8" xfId="1" applyNumberFormat="1" applyFont="1" applyFill="1" applyBorder="1" applyAlignment="1">
      <alignment horizontal="center" vertical="center"/>
    </xf>
    <xf numFmtId="0" fontId="13" fillId="23" borderId="0" xfId="0" applyFont="1" applyFill="1" applyAlignment="1">
      <alignment horizontal="center" vertical="center"/>
    </xf>
    <xf numFmtId="0" fontId="16" fillId="23" borderId="8" xfId="0" applyFont="1" applyFill="1" applyBorder="1" applyAlignment="1">
      <alignment vertical="center"/>
    </xf>
    <xf numFmtId="0" fontId="93" fillId="23" borderId="8" xfId="0" applyFont="1" applyFill="1" applyBorder="1" applyAlignment="1">
      <alignment horizontal="center" vertical="center"/>
    </xf>
    <xf numFmtId="0" fontId="15" fillId="23" borderId="16" xfId="0" applyFont="1" applyFill="1" applyBorder="1" applyAlignment="1">
      <alignment horizontal="center" vertical="center" wrapText="1"/>
    </xf>
    <xf numFmtId="0" fontId="16" fillId="23" borderId="12" xfId="0" applyFont="1" applyFill="1" applyBorder="1" applyAlignment="1">
      <alignment horizontal="center" vertical="center"/>
    </xf>
    <xf numFmtId="3" fontId="16" fillId="23" borderId="8" xfId="1" applyNumberFormat="1" applyFont="1" applyFill="1" applyBorder="1" applyAlignment="1">
      <alignment horizontal="right" vertical="center"/>
    </xf>
    <xf numFmtId="168" fontId="16" fillId="23" borderId="8" xfId="1" applyNumberFormat="1" applyFont="1" applyFill="1" applyBorder="1" applyAlignment="1">
      <alignment horizontal="right" vertical="center"/>
    </xf>
    <xf numFmtId="0" fontId="16" fillId="23" borderId="8" xfId="0" applyFont="1" applyFill="1" applyBorder="1" applyAlignment="1">
      <alignment horizontal="left" vertical="center"/>
    </xf>
    <xf numFmtId="0" fontId="16" fillId="23" borderId="8" xfId="0" applyFont="1" applyFill="1" applyBorder="1" applyAlignment="1">
      <alignment horizontal="center" vertical="center"/>
    </xf>
    <xf numFmtId="1" fontId="15" fillId="23" borderId="8" xfId="0" applyNumberFormat="1" applyFont="1" applyFill="1" applyBorder="1" applyAlignment="1">
      <alignment horizontal="center" vertical="center"/>
    </xf>
    <xf numFmtId="1" fontId="16" fillId="23" borderId="8" xfId="0" applyNumberFormat="1" applyFont="1" applyFill="1" applyBorder="1" applyAlignment="1">
      <alignment horizontal="center" vertical="center"/>
    </xf>
    <xf numFmtId="0" fontId="50" fillId="0" borderId="0" xfId="0" applyFont="1" applyAlignment="1">
      <alignment horizontal="center" vertical="center" wrapText="1"/>
    </xf>
    <xf numFmtId="0" fontId="9" fillId="0" borderId="0" xfId="0" applyFont="1" applyAlignment="1">
      <alignment horizontal="center" vertical="center" wrapText="1"/>
    </xf>
    <xf numFmtId="0" fontId="9" fillId="2" borderId="0" xfId="0" applyFont="1" applyFill="1" applyAlignment="1">
      <alignment horizontal="center" vertical="center" wrapText="1"/>
    </xf>
    <xf numFmtId="1" fontId="3" fillId="23" borderId="18" xfId="0" applyNumberFormat="1" applyFont="1" applyFill="1" applyBorder="1" applyAlignment="1">
      <alignment horizontal="center" vertical="center"/>
    </xf>
    <xf numFmtId="1" fontId="13" fillId="23" borderId="8" xfId="0" applyNumberFormat="1" applyFont="1" applyFill="1" applyBorder="1" applyAlignment="1">
      <alignment horizontal="center" vertical="center"/>
    </xf>
    <xf numFmtId="0" fontId="9" fillId="23" borderId="16" xfId="0" applyFont="1" applyFill="1" applyBorder="1" applyAlignment="1">
      <alignment horizontal="left" vertical="center"/>
    </xf>
    <xf numFmtId="0" fontId="16" fillId="23" borderId="0" xfId="0" applyFont="1" applyFill="1" applyAlignment="1">
      <alignment vertical="center"/>
    </xf>
    <xf numFmtId="0" fontId="16" fillId="23" borderId="0" xfId="0" applyFont="1" applyFill="1" applyAlignment="1">
      <alignment horizontal="center" vertical="center"/>
    </xf>
    <xf numFmtId="0" fontId="3" fillId="0" borderId="10" xfId="0" applyFont="1" applyBorder="1" applyAlignment="1">
      <alignment vertical="center"/>
    </xf>
    <xf numFmtId="0" fontId="3" fillId="0" borderId="17" xfId="0" applyFont="1" applyBorder="1" applyAlignment="1">
      <alignment vertical="center"/>
    </xf>
    <xf numFmtId="0" fontId="16" fillId="23" borderId="16" xfId="0" applyFont="1" applyFill="1" applyBorder="1" applyAlignment="1">
      <alignment vertical="center"/>
    </xf>
    <xf numFmtId="0" fontId="16" fillId="23" borderId="22" xfId="0" applyFont="1" applyFill="1" applyBorder="1" applyAlignment="1">
      <alignment vertical="center"/>
    </xf>
    <xf numFmtId="0" fontId="13" fillId="23" borderId="12" xfId="0" applyFont="1" applyFill="1" applyBorder="1" applyAlignment="1">
      <alignment horizontal="left" vertical="center"/>
    </xf>
    <xf numFmtId="0" fontId="15" fillId="23" borderId="6" xfId="0" applyFont="1" applyFill="1" applyBorder="1" applyAlignment="1">
      <alignment vertical="center"/>
    </xf>
    <xf numFmtId="0" fontId="16" fillId="23" borderId="12" xfId="0" applyFont="1" applyFill="1" applyBorder="1" applyAlignment="1">
      <alignment horizontal="center" vertical="center" wrapText="1"/>
    </xf>
    <xf numFmtId="0" fontId="15" fillId="23" borderId="8" xfId="0" quotePrefix="1" applyFont="1" applyFill="1" applyBorder="1" applyAlignment="1">
      <alignment horizontal="left" vertical="center" wrapText="1"/>
    </xf>
    <xf numFmtId="0" fontId="16" fillId="23" borderId="10" xfId="0" applyFont="1" applyFill="1" applyBorder="1" applyAlignment="1">
      <alignment horizontal="left" vertical="center" wrapText="1"/>
    </xf>
    <xf numFmtId="0" fontId="16" fillId="23" borderId="8" xfId="0" quotePrefix="1" applyFont="1" applyFill="1" applyBorder="1" applyAlignment="1">
      <alignment horizontal="left" vertical="center" wrapText="1"/>
    </xf>
    <xf numFmtId="0" fontId="9" fillId="23" borderId="0" xfId="0" applyFont="1" applyFill="1" applyAlignment="1">
      <alignment horizontal="left" vertical="center" wrapText="1"/>
    </xf>
    <xf numFmtId="0" fontId="9" fillId="23" borderId="0" xfId="0" applyFont="1" applyFill="1" applyAlignment="1">
      <alignment horizontal="center" vertical="center" wrapText="1"/>
    </xf>
    <xf numFmtId="0" fontId="9" fillId="23" borderId="0" xfId="0" applyFont="1" applyFill="1" applyAlignment="1">
      <alignment wrapText="1"/>
    </xf>
    <xf numFmtId="0" fontId="74" fillId="23" borderId="34" xfId="0" applyFont="1" applyFill="1" applyBorder="1" applyAlignment="1">
      <alignment horizontal="left" vertical="center" wrapText="1"/>
    </xf>
    <xf numFmtId="0" fontId="87" fillId="23" borderId="16" xfId="0" applyFont="1" applyFill="1" applyBorder="1" applyAlignment="1">
      <alignment horizontal="left" vertical="center" wrapText="1"/>
    </xf>
    <xf numFmtId="0" fontId="3" fillId="23" borderId="12" xfId="0" quotePrefix="1" applyFont="1" applyFill="1" applyBorder="1" applyAlignment="1">
      <alignment horizontal="left" vertical="center" wrapText="1"/>
    </xf>
    <xf numFmtId="0" fontId="16" fillId="23" borderId="19" xfId="0" applyFont="1" applyFill="1" applyBorder="1" applyAlignment="1">
      <alignment horizontal="left" vertical="center" wrapText="1"/>
    </xf>
    <xf numFmtId="0" fontId="16" fillId="23" borderId="12" xfId="0" applyFont="1" applyFill="1" applyBorder="1" applyAlignment="1">
      <alignment horizontal="left" vertical="center" wrapText="1"/>
    </xf>
    <xf numFmtId="0" fontId="13" fillId="23" borderId="10" xfId="0" applyFont="1" applyFill="1" applyBorder="1" applyAlignment="1">
      <alignment horizontal="left" vertical="center" wrapText="1"/>
    </xf>
    <xf numFmtId="0" fontId="16" fillId="23" borderId="34" xfId="0" applyFont="1" applyFill="1" applyBorder="1" applyAlignment="1">
      <alignment vertical="center" wrapText="1"/>
    </xf>
    <xf numFmtId="0" fontId="13" fillId="23" borderId="8" xfId="0" quotePrefix="1" applyFont="1" applyFill="1" applyBorder="1" applyAlignment="1">
      <alignment horizontal="left" vertical="center" wrapText="1"/>
    </xf>
    <xf numFmtId="0" fontId="15" fillId="23" borderId="17" xfId="0" applyFont="1" applyFill="1" applyBorder="1" applyAlignment="1">
      <alignment horizontal="left" vertical="center" wrapText="1"/>
    </xf>
    <xf numFmtId="0" fontId="16" fillId="23" borderId="24" xfId="0" applyFont="1" applyFill="1" applyBorder="1" applyAlignment="1">
      <alignment horizontal="left" vertical="center" wrapText="1"/>
    </xf>
    <xf numFmtId="0" fontId="15" fillId="23" borderId="24" xfId="0" applyFont="1" applyFill="1" applyBorder="1" applyAlignment="1">
      <alignment horizontal="left" vertical="center" wrapText="1"/>
    </xf>
    <xf numFmtId="0" fontId="16" fillId="23" borderId="21" xfId="0" applyFont="1" applyFill="1" applyBorder="1" applyAlignment="1">
      <alignment horizontal="left" vertical="center" wrapText="1"/>
    </xf>
    <xf numFmtId="0" fontId="27" fillId="2" borderId="8" xfId="0" applyFont="1" applyFill="1" applyBorder="1" applyAlignment="1">
      <alignment horizontal="center" vertical="center"/>
    </xf>
    <xf numFmtId="0" fontId="9" fillId="2" borderId="8" xfId="0" applyFont="1" applyFill="1" applyBorder="1" applyAlignment="1">
      <alignment horizontal="center" vertical="center"/>
    </xf>
    <xf numFmtId="0" fontId="13" fillId="2" borderId="8" xfId="0" applyFont="1" applyFill="1" applyBorder="1" applyAlignment="1">
      <alignment horizontal="center" vertical="center"/>
    </xf>
    <xf numFmtId="3" fontId="13" fillId="2" borderId="8" xfId="1" applyNumberFormat="1" applyFont="1" applyFill="1" applyBorder="1" applyAlignment="1">
      <alignment horizontal="center" vertical="center" wrapText="1"/>
    </xf>
    <xf numFmtId="0" fontId="13" fillId="2" borderId="8" xfId="0" applyFont="1" applyFill="1" applyBorder="1" applyAlignment="1">
      <alignment horizontal="center" vertical="center" wrapText="1"/>
    </xf>
    <xf numFmtId="0" fontId="13" fillId="2" borderId="0" xfId="0" applyFont="1" applyFill="1" applyAlignment="1">
      <alignment horizontal="center" vertical="center"/>
    </xf>
    <xf numFmtId="0" fontId="13" fillId="2" borderId="0" xfId="0" applyFont="1" applyFill="1" applyAlignment="1">
      <alignment vertical="center"/>
    </xf>
    <xf numFmtId="0" fontId="13" fillId="2" borderId="10" xfId="0" applyFont="1" applyFill="1" applyBorder="1" applyAlignment="1">
      <alignment horizontal="center" vertical="center" wrapText="1"/>
    </xf>
    <xf numFmtId="168" fontId="13" fillId="2" borderId="8" xfId="1" applyNumberFormat="1" applyFont="1" applyFill="1" applyBorder="1" applyAlignment="1">
      <alignment horizontal="center" vertical="center" wrapText="1"/>
    </xf>
    <xf numFmtId="0" fontId="12" fillId="23" borderId="16" xfId="0" applyFont="1" applyFill="1" applyBorder="1" applyAlignment="1">
      <alignment horizontal="left" vertical="center"/>
    </xf>
    <xf numFmtId="168" fontId="13" fillId="23" borderId="19" xfId="1" applyNumberFormat="1" applyFont="1" applyFill="1" applyBorder="1" applyAlignment="1">
      <alignment horizontal="right" vertical="center"/>
    </xf>
    <xf numFmtId="168" fontId="13" fillId="23" borderId="35" xfId="1" applyNumberFormat="1" applyFont="1" applyFill="1" applyBorder="1" applyAlignment="1">
      <alignment horizontal="right" vertical="center"/>
    </xf>
    <xf numFmtId="0" fontId="13" fillId="2" borderId="0" xfId="0" applyFont="1" applyFill="1" applyAlignment="1">
      <alignment horizontal="center" vertical="center" wrapText="1"/>
    </xf>
    <xf numFmtId="1" fontId="12" fillId="23" borderId="8" xfId="0" applyNumberFormat="1" applyFont="1" applyFill="1" applyBorder="1" applyAlignment="1">
      <alignment horizontal="center" vertical="center"/>
    </xf>
    <xf numFmtId="0" fontId="12" fillId="23" borderId="20" xfId="0" applyFont="1" applyFill="1" applyBorder="1" applyAlignment="1">
      <alignment horizontal="left" vertical="center"/>
    </xf>
    <xf numFmtId="1" fontId="9" fillId="23" borderId="18" xfId="0" applyNumberFormat="1" applyFont="1" applyFill="1" applyBorder="1" applyAlignment="1">
      <alignment horizontal="center" vertical="center"/>
    </xf>
    <xf numFmtId="0" fontId="12" fillId="23" borderId="0" xfId="0" applyFont="1" applyFill="1" applyAlignment="1">
      <alignment horizontal="left" vertical="center"/>
    </xf>
    <xf numFmtId="1" fontId="3" fillId="23" borderId="8" xfId="0" applyNumberFormat="1" applyFont="1" applyFill="1" applyBorder="1" applyAlignment="1">
      <alignment horizontal="center" vertical="center" wrapText="1"/>
    </xf>
    <xf numFmtId="1" fontId="9" fillId="23" borderId="8" xfId="0" applyNumberFormat="1" applyFont="1" applyFill="1" applyBorder="1" applyAlignment="1">
      <alignment horizontal="center" vertical="center" wrapText="1"/>
    </xf>
    <xf numFmtId="165" fontId="20" fillId="0" borderId="38" xfId="1" applyNumberFormat="1" applyFont="1" applyBorder="1" applyAlignment="1">
      <alignment horizontal="center" vertical="center" wrapText="1"/>
    </xf>
    <xf numFmtId="0" fontId="27" fillId="23" borderId="22" xfId="0" applyFont="1" applyFill="1" applyBorder="1" applyAlignment="1">
      <alignment horizontal="center" vertical="center"/>
    </xf>
    <xf numFmtId="1" fontId="13" fillId="23" borderId="8" xfId="0" applyNumberFormat="1" applyFont="1" applyFill="1" applyBorder="1" applyAlignment="1">
      <alignment horizontal="center" vertical="center" wrapText="1"/>
    </xf>
    <xf numFmtId="1" fontId="13" fillId="23" borderId="0" xfId="0" applyNumberFormat="1" applyFont="1" applyFill="1" applyAlignment="1">
      <alignment horizontal="center" vertical="center" wrapText="1"/>
    </xf>
    <xf numFmtId="1" fontId="9" fillId="23" borderId="0" xfId="0" applyNumberFormat="1" applyFont="1" applyFill="1" applyAlignment="1">
      <alignment horizontal="center" vertical="center" wrapText="1"/>
    </xf>
    <xf numFmtId="168" fontId="13" fillId="23" borderId="8" xfId="1" applyNumberFormat="1" applyFont="1" applyFill="1" applyBorder="1" applyAlignment="1">
      <alignment horizontal="center" vertical="center" wrapText="1"/>
    </xf>
    <xf numFmtId="0" fontId="12" fillId="23" borderId="25" xfId="0" applyFont="1" applyFill="1" applyBorder="1" applyAlignment="1">
      <alignment horizontal="left" vertical="center"/>
    </xf>
    <xf numFmtId="1" fontId="3" fillId="23" borderId="12" xfId="0" applyNumberFormat="1" applyFont="1" applyFill="1" applyBorder="1" applyAlignment="1">
      <alignment horizontal="center" vertical="center" wrapText="1"/>
    </xf>
    <xf numFmtId="1" fontId="9" fillId="23" borderId="12" xfId="0" applyNumberFormat="1" applyFont="1" applyFill="1" applyBorder="1" applyAlignment="1">
      <alignment horizontal="center" vertical="center" wrapText="1"/>
    </xf>
    <xf numFmtId="3" fontId="13" fillId="0" borderId="8" xfId="1" applyNumberFormat="1" applyFont="1" applyBorder="1" applyAlignment="1">
      <alignment horizontal="right" vertical="center"/>
    </xf>
    <xf numFmtId="0" fontId="28" fillId="32" borderId="8" xfId="0" applyFont="1" applyFill="1" applyBorder="1" applyAlignment="1">
      <alignment horizontal="center" vertical="center"/>
    </xf>
    <xf numFmtId="0" fontId="3" fillId="32" borderId="8" xfId="0" applyFont="1" applyFill="1" applyBorder="1" applyAlignment="1">
      <alignment horizontal="center" vertical="center"/>
    </xf>
    <xf numFmtId="3" fontId="3" fillId="32" borderId="8" xfId="1" applyNumberFormat="1" applyFont="1" applyFill="1" applyBorder="1" applyAlignment="1">
      <alignment horizontal="right" vertical="center"/>
    </xf>
    <xf numFmtId="0" fontId="3" fillId="32" borderId="8" xfId="0" applyFont="1" applyFill="1" applyBorder="1" applyAlignment="1">
      <alignment horizontal="center" vertical="center" wrapText="1"/>
    </xf>
    <xf numFmtId="0" fontId="3" fillId="32" borderId="8" xfId="0" applyFont="1" applyFill="1" applyBorder="1" applyAlignment="1">
      <alignment horizontal="left" vertical="center"/>
    </xf>
    <xf numFmtId="168" fontId="3" fillId="32" borderId="8" xfId="1" applyNumberFormat="1" applyFont="1" applyFill="1" applyBorder="1" applyAlignment="1">
      <alignment horizontal="right" vertical="center"/>
    </xf>
    <xf numFmtId="0" fontId="12" fillId="32" borderId="8" xfId="0" applyFont="1" applyFill="1" applyBorder="1" applyAlignment="1">
      <alignment horizontal="left" vertical="center"/>
    </xf>
    <xf numFmtId="0" fontId="12" fillId="32" borderId="8" xfId="0" applyFont="1" applyFill="1" applyBorder="1" applyAlignment="1">
      <alignment horizontal="center" vertical="center"/>
    </xf>
    <xf numFmtId="0" fontId="3" fillId="32" borderId="8" xfId="0" applyFont="1" applyFill="1" applyBorder="1" applyAlignment="1">
      <alignment vertical="center"/>
    </xf>
    <xf numFmtId="0" fontId="9" fillId="32" borderId="8" xfId="0" applyFont="1" applyFill="1" applyBorder="1" applyAlignment="1">
      <alignment horizontal="center" vertical="center" wrapText="1"/>
    </xf>
    <xf numFmtId="0" fontId="3" fillId="32" borderId="12" xfId="0" applyFont="1" applyFill="1" applyBorder="1" applyAlignment="1">
      <alignment horizontal="center" vertical="center" wrapText="1"/>
    </xf>
    <xf numFmtId="3" fontId="3" fillId="23" borderId="22" xfId="1" applyNumberFormat="1" applyFont="1" applyFill="1" applyBorder="1" applyAlignment="1">
      <alignment horizontal="right" vertical="center"/>
    </xf>
    <xf numFmtId="164" fontId="9" fillId="23" borderId="8" xfId="1" applyNumberFormat="1" applyFont="1" applyFill="1" applyBorder="1" applyAlignment="1">
      <alignment horizontal="right" vertical="center"/>
    </xf>
    <xf numFmtId="1" fontId="12" fillId="23" borderId="8" xfId="0" applyNumberFormat="1" applyFont="1" applyFill="1" applyBorder="1" applyAlignment="1">
      <alignment horizontal="center" vertical="center" wrapText="1"/>
    </xf>
    <xf numFmtId="168" fontId="13" fillId="23" borderId="17" xfId="1" applyNumberFormat="1" applyFont="1" applyFill="1" applyBorder="1" applyAlignment="1">
      <alignment horizontal="right" vertical="center"/>
    </xf>
    <xf numFmtId="168" fontId="3" fillId="23" borderId="24" xfId="1" applyNumberFormat="1" applyFont="1" applyFill="1" applyBorder="1" applyAlignment="1">
      <alignment horizontal="right" vertical="center"/>
    </xf>
    <xf numFmtId="3" fontId="12" fillId="23" borderId="8" xfId="0" applyNumberFormat="1" applyFont="1" applyFill="1" applyBorder="1" applyAlignment="1">
      <alignment horizontal="center" vertical="center" wrapText="1"/>
    </xf>
    <xf numFmtId="0" fontId="12" fillId="23" borderId="16" xfId="0" applyFont="1" applyFill="1" applyBorder="1" applyAlignment="1">
      <alignment horizontal="center" vertical="center"/>
    </xf>
    <xf numFmtId="3" fontId="3" fillId="24" borderId="8" xfId="1" applyNumberFormat="1" applyFont="1" applyFill="1" applyBorder="1" applyAlignment="1">
      <alignment horizontal="right" vertical="center"/>
    </xf>
    <xf numFmtId="168" fontId="3" fillId="24" borderId="8" xfId="1" applyNumberFormat="1" applyFont="1" applyFill="1" applyBorder="1" applyAlignment="1">
      <alignment horizontal="right" vertical="center"/>
    </xf>
    <xf numFmtId="0" fontId="12" fillId="24" borderId="8" xfId="0" applyFont="1" applyFill="1" applyBorder="1" applyAlignment="1">
      <alignment horizontal="left" vertical="center"/>
    </xf>
    <xf numFmtId="0" fontId="3" fillId="24" borderId="12" xfId="0" applyFont="1" applyFill="1" applyBorder="1" applyAlignment="1">
      <alignment horizontal="center" vertical="center" wrapText="1"/>
    </xf>
    <xf numFmtId="165" fontId="24" fillId="0" borderId="12" xfId="1" applyNumberFormat="1" applyFont="1" applyBorder="1" applyAlignment="1">
      <alignment vertical="center" wrapText="1"/>
    </xf>
    <xf numFmtId="0" fontId="12" fillId="2" borderId="10" xfId="0" applyFont="1" applyFill="1" applyBorder="1" applyAlignment="1">
      <alignment horizontal="center" vertical="center" wrapText="1"/>
    </xf>
    <xf numFmtId="0" fontId="3" fillId="23" borderId="12" xfId="0" applyFont="1" applyFill="1" applyBorder="1" applyAlignment="1">
      <alignment horizontal="right" vertical="center"/>
    </xf>
    <xf numFmtId="0" fontId="3" fillId="23" borderId="8" xfId="0" applyFont="1" applyFill="1" applyBorder="1" applyAlignment="1">
      <alignment horizontal="right" vertical="center"/>
    </xf>
    <xf numFmtId="168" fontId="3" fillId="23" borderId="0" xfId="1" applyNumberFormat="1" applyFont="1" applyFill="1" applyAlignment="1">
      <alignment horizontal="right" vertical="center"/>
    </xf>
    <xf numFmtId="0" fontId="3" fillId="24" borderId="16" xfId="0" applyFont="1" applyFill="1" applyBorder="1" applyAlignment="1">
      <alignment horizontal="center" vertical="center" wrapText="1"/>
    </xf>
    <xf numFmtId="0" fontId="12" fillId="24" borderId="8" xfId="0" applyFont="1" applyFill="1" applyBorder="1" applyAlignment="1">
      <alignment horizontal="center" vertical="center" wrapText="1"/>
    </xf>
    <xf numFmtId="0" fontId="3" fillId="23" borderId="17" xfId="0" applyFont="1" applyFill="1" applyBorder="1" applyAlignment="1">
      <alignment horizontal="center" vertical="center"/>
    </xf>
    <xf numFmtId="165" fontId="24" fillId="0" borderId="8" xfId="1" applyNumberFormat="1" applyFont="1" applyBorder="1" applyAlignment="1">
      <alignment vertical="center" wrapText="1"/>
    </xf>
    <xf numFmtId="0" fontId="12" fillId="32" borderId="12" xfId="0" applyFont="1" applyFill="1" applyBorder="1" applyAlignment="1">
      <alignment horizontal="center" vertical="center"/>
    </xf>
    <xf numFmtId="0" fontId="9" fillId="24" borderId="8" xfId="0" applyFont="1" applyFill="1" applyBorder="1" applyAlignment="1">
      <alignment horizontal="center" vertical="center" wrapText="1"/>
    </xf>
    <xf numFmtId="14" fontId="19" fillId="0" borderId="9" xfId="0" applyNumberFormat="1" applyFont="1" applyBorder="1" applyAlignment="1">
      <alignment horizontal="center" vertical="center" wrapText="1"/>
    </xf>
    <xf numFmtId="0" fontId="27" fillId="23" borderId="19" xfId="0" applyFont="1" applyFill="1" applyBorder="1" applyAlignment="1">
      <alignment horizontal="center" vertical="center"/>
    </xf>
    <xf numFmtId="3" fontId="13" fillId="23" borderId="16" xfId="1" applyNumberFormat="1" applyFont="1" applyFill="1" applyBorder="1" applyAlignment="1">
      <alignment horizontal="right" vertical="center"/>
    </xf>
    <xf numFmtId="0" fontId="74" fillId="24" borderId="8" xfId="0" applyFont="1" applyFill="1" applyBorder="1" applyAlignment="1">
      <alignment horizontal="center" vertical="center"/>
    </xf>
    <xf numFmtId="0" fontId="94" fillId="23" borderId="0" xfId="0" applyFont="1" applyFill="1" applyAlignment="1">
      <alignment horizontal="left" vertical="center"/>
    </xf>
    <xf numFmtId="0" fontId="28" fillId="32" borderId="12" xfId="0" applyFont="1" applyFill="1" applyBorder="1" applyAlignment="1">
      <alignment horizontal="center" vertical="center"/>
    </xf>
    <xf numFmtId="0" fontId="3" fillId="32" borderId="12" xfId="0" applyFont="1" applyFill="1" applyBorder="1" applyAlignment="1">
      <alignment horizontal="center" vertical="center"/>
    </xf>
    <xf numFmtId="3" fontId="3" fillId="32" borderId="12" xfId="1" applyNumberFormat="1" applyFont="1" applyFill="1" applyBorder="1" applyAlignment="1">
      <alignment horizontal="right" vertical="center"/>
    </xf>
    <xf numFmtId="0" fontId="3" fillId="32" borderId="12" xfId="0" applyFont="1" applyFill="1" applyBorder="1" applyAlignment="1">
      <alignment horizontal="left" vertical="center"/>
    </xf>
    <xf numFmtId="168" fontId="3" fillId="32" borderId="12" xfId="1" applyNumberFormat="1" applyFont="1" applyFill="1" applyBorder="1" applyAlignment="1">
      <alignment horizontal="right" vertical="center"/>
    </xf>
    <xf numFmtId="0" fontId="12" fillId="32" borderId="12" xfId="0" applyFont="1" applyFill="1" applyBorder="1" applyAlignment="1">
      <alignment horizontal="left" vertical="center"/>
    </xf>
    <xf numFmtId="0" fontId="3" fillId="32" borderId="12" xfId="0" applyFont="1" applyFill="1" applyBorder="1" applyAlignment="1">
      <alignment vertical="center"/>
    </xf>
    <xf numFmtId="0" fontId="9" fillId="32" borderId="12" xfId="0" applyFont="1" applyFill="1" applyBorder="1" applyAlignment="1">
      <alignment horizontal="center" vertical="center" wrapText="1"/>
    </xf>
    <xf numFmtId="1" fontId="3" fillId="24" borderId="8" xfId="0" applyNumberFormat="1" applyFont="1" applyFill="1" applyBorder="1" applyAlignment="1">
      <alignment horizontal="center" vertical="center"/>
    </xf>
    <xf numFmtId="1" fontId="12" fillId="24" borderId="8" xfId="0" applyNumberFormat="1" applyFont="1" applyFill="1" applyBorder="1" applyAlignment="1">
      <alignment horizontal="center" vertical="center"/>
    </xf>
    <xf numFmtId="0" fontId="12" fillId="24" borderId="12" xfId="0" applyFont="1" applyFill="1" applyBorder="1" applyAlignment="1">
      <alignment horizontal="center" vertical="center"/>
    </xf>
    <xf numFmtId="0" fontId="27" fillId="23" borderId="10" xfId="0" applyFont="1" applyFill="1" applyBorder="1" applyAlignment="1">
      <alignment horizontal="center" vertical="center"/>
    </xf>
    <xf numFmtId="165" fontId="24" fillId="0" borderId="38" xfId="1" applyNumberFormat="1" applyFont="1" applyBorder="1" applyAlignment="1">
      <alignment horizontal="center" vertical="center" wrapText="1"/>
    </xf>
    <xf numFmtId="0" fontId="9" fillId="0" borderId="8" xfId="0" applyFont="1" applyBorder="1" applyAlignment="1">
      <alignment vertical="center"/>
    </xf>
    <xf numFmtId="3" fontId="9" fillId="0" borderId="8" xfId="1" applyNumberFormat="1" applyFont="1" applyBorder="1" applyAlignment="1">
      <alignment horizontal="right" vertical="center"/>
    </xf>
    <xf numFmtId="168" fontId="9" fillId="0" borderId="8" xfId="1" applyNumberFormat="1" applyFont="1" applyBorder="1" applyAlignment="1">
      <alignment horizontal="right" vertical="center"/>
    </xf>
    <xf numFmtId="165" fontId="24" fillId="0" borderId="12" xfId="1" applyNumberFormat="1" applyFont="1" applyBorder="1" applyAlignment="1">
      <alignment horizontal="center" vertical="center" wrapText="1"/>
    </xf>
    <xf numFmtId="0" fontId="12" fillId="32" borderId="12" xfId="0" applyFont="1" applyFill="1" applyBorder="1" applyAlignment="1">
      <alignment horizontal="center" vertical="center" wrapText="1"/>
    </xf>
    <xf numFmtId="16" fontId="13" fillId="23" borderId="12" xfId="0" quotePrefix="1" applyNumberFormat="1" applyFont="1" applyFill="1" applyBorder="1" applyAlignment="1">
      <alignment horizontal="center" vertical="center" wrapText="1"/>
    </xf>
    <xf numFmtId="0" fontId="13" fillId="23" borderId="8" xfId="0" quotePrefix="1" applyFont="1" applyFill="1" applyBorder="1" applyAlignment="1">
      <alignment horizontal="center" vertical="center" wrapText="1"/>
    </xf>
    <xf numFmtId="164" fontId="3" fillId="0" borderId="8" xfId="0" applyNumberFormat="1" applyFont="1" applyBorder="1" applyAlignment="1">
      <alignment vertical="center"/>
    </xf>
    <xf numFmtId="0" fontId="42" fillId="23" borderId="12" xfId="0" applyFont="1" applyFill="1" applyBorder="1" applyAlignment="1">
      <alignment horizontal="center" vertical="center" wrapText="1"/>
    </xf>
    <xf numFmtId="3" fontId="13" fillId="23" borderId="10" xfId="1" applyNumberFormat="1" applyFont="1" applyFill="1" applyBorder="1" applyAlignment="1">
      <alignment horizontal="right" vertical="center"/>
    </xf>
    <xf numFmtId="3" fontId="3" fillId="23" borderId="10" xfId="1" applyNumberFormat="1" applyFont="1" applyFill="1" applyBorder="1" applyAlignment="1">
      <alignment horizontal="right" vertical="center"/>
    </xf>
    <xf numFmtId="0" fontId="12" fillId="2" borderId="8" xfId="0" applyFont="1" applyFill="1" applyBorder="1" applyAlignment="1">
      <alignment horizontal="center" vertical="center"/>
    </xf>
    <xf numFmtId="3" fontId="12" fillId="23" borderId="8" xfId="1" applyNumberFormat="1" applyFont="1" applyFill="1" applyBorder="1" applyAlignment="1">
      <alignment horizontal="right" vertical="center"/>
    </xf>
    <xf numFmtId="168" fontId="14" fillId="23" borderId="8" xfId="1" applyNumberFormat="1" applyFont="1" applyFill="1" applyBorder="1" applyAlignment="1">
      <alignment horizontal="right" vertical="center"/>
    </xf>
    <xf numFmtId="0" fontId="3" fillId="23" borderId="10" xfId="0" applyFont="1" applyFill="1" applyBorder="1" applyAlignment="1">
      <alignment vertical="center"/>
    </xf>
    <xf numFmtId="168" fontId="13" fillId="0" borderId="8" xfId="1" applyNumberFormat="1" applyFont="1" applyFill="1" applyBorder="1" applyAlignment="1">
      <alignment horizontal="right" vertical="center"/>
    </xf>
    <xf numFmtId="168" fontId="3" fillId="0" borderId="12" xfId="1" applyNumberFormat="1" applyFont="1" applyFill="1" applyBorder="1" applyAlignment="1">
      <alignment horizontal="right" vertical="center"/>
    </xf>
    <xf numFmtId="0" fontId="96" fillId="0" borderId="0" xfId="0" applyFont="1"/>
    <xf numFmtId="0" fontId="97" fillId="0" borderId="0" xfId="0" applyFont="1"/>
    <xf numFmtId="0" fontId="98" fillId="0" borderId="5" xfId="0" applyFont="1" applyBorder="1" applyAlignment="1">
      <alignment horizontal="center"/>
    </xf>
    <xf numFmtId="0" fontId="98" fillId="5" borderId="5" xfId="0" applyFont="1" applyFill="1" applyBorder="1" applyAlignment="1">
      <alignment horizontal="center"/>
    </xf>
    <xf numFmtId="17" fontId="97" fillId="0" borderId="5" xfId="0" applyNumberFormat="1" applyFont="1" applyBorder="1"/>
    <xf numFmtId="164" fontId="97" fillId="0" borderId="5" xfId="1" applyNumberFormat="1" applyFont="1" applyBorder="1"/>
    <xf numFmtId="164" fontId="98" fillId="5" borderId="5" xfId="0" applyNumberFormat="1" applyFont="1" applyFill="1" applyBorder="1" applyAlignment="1">
      <alignment horizontal="center"/>
    </xf>
    <xf numFmtId="164" fontId="97" fillId="33" borderId="5" xfId="0" applyNumberFormat="1" applyFont="1" applyFill="1" applyBorder="1" applyAlignment="1">
      <alignment horizontal="center" vertical="center" wrapText="1"/>
    </xf>
    <xf numFmtId="3" fontId="97" fillId="0" borderId="0" xfId="0" applyNumberFormat="1" applyFont="1"/>
    <xf numFmtId="0" fontId="97" fillId="0" borderId="5" xfId="0" applyFont="1" applyBorder="1"/>
    <xf numFmtId="0" fontId="97" fillId="5" borderId="5" xfId="0" applyFont="1" applyFill="1" applyBorder="1"/>
    <xf numFmtId="168" fontId="97" fillId="0" borderId="5" xfId="0" applyNumberFormat="1" applyFont="1" applyBorder="1"/>
    <xf numFmtId="3" fontId="97" fillId="0" borderId="5" xfId="0" applyNumberFormat="1" applyFont="1" applyBorder="1"/>
    <xf numFmtId="0" fontId="27" fillId="2" borderId="12" xfId="0" applyFont="1" applyFill="1" applyBorder="1" applyAlignment="1">
      <alignment horizontal="center" vertical="center"/>
    </xf>
    <xf numFmtId="0" fontId="27" fillId="0" borderId="8" xfId="0" applyFont="1" applyBorder="1" applyAlignment="1">
      <alignment vertical="center"/>
    </xf>
    <xf numFmtId="0" fontId="3" fillId="32" borderId="22" xfId="0" applyFont="1" applyFill="1" applyBorder="1" applyAlignment="1">
      <alignment horizontal="center" vertical="center" wrapText="1"/>
    </xf>
    <xf numFmtId="0" fontId="28" fillId="32" borderId="22" xfId="0" applyFont="1" applyFill="1" applyBorder="1" applyAlignment="1">
      <alignment horizontal="center" vertical="center"/>
    </xf>
    <xf numFmtId="0" fontId="3" fillId="32" borderId="8" xfId="0" applyFont="1" applyFill="1" applyBorder="1" applyAlignment="1">
      <alignment horizontal="right" vertical="center"/>
    </xf>
    <xf numFmtId="0" fontId="74" fillId="32" borderId="8" xfId="0" applyFont="1" applyFill="1" applyBorder="1" applyAlignment="1">
      <alignment horizontal="center" vertical="center" wrapText="1"/>
    </xf>
    <xf numFmtId="0" fontId="74" fillId="32" borderId="12" xfId="0" applyFont="1" applyFill="1" applyBorder="1" applyAlignment="1">
      <alignment horizontal="center" vertical="center"/>
    </xf>
    <xf numFmtId="164" fontId="3" fillId="0" borderId="8" xfId="1" applyNumberFormat="1" applyFont="1" applyFill="1" applyBorder="1" applyAlignment="1">
      <alignment horizontal="right" vertical="center"/>
    </xf>
    <xf numFmtId="14" fontId="19" fillId="0" borderId="7" xfId="0" applyNumberFormat="1" applyFont="1" applyBorder="1" applyAlignment="1">
      <alignment vertical="center" wrapText="1"/>
    </xf>
    <xf numFmtId="0" fontId="3" fillId="0" borderId="12" xfId="0" applyFont="1" applyBorder="1" applyAlignment="1">
      <alignment vertical="center" wrapText="1"/>
    </xf>
    <xf numFmtId="0" fontId="9" fillId="0" borderId="8" xfId="0" applyFont="1" applyBorder="1" applyAlignment="1">
      <alignment vertical="center" wrapText="1"/>
    </xf>
    <xf numFmtId="0" fontId="13" fillId="23" borderId="10" xfId="0" applyFont="1" applyFill="1" applyBorder="1" applyAlignment="1">
      <alignment horizontal="center" vertical="center"/>
    </xf>
    <xf numFmtId="0" fontId="13" fillId="23" borderId="25" xfId="0" applyFont="1" applyFill="1" applyBorder="1" applyAlignment="1">
      <alignment horizontal="left" vertical="center"/>
    </xf>
    <xf numFmtId="0" fontId="48" fillId="23" borderId="8" xfId="0" applyFont="1" applyFill="1" applyBorder="1" applyAlignment="1">
      <alignment horizontal="center" vertical="center" wrapText="1"/>
    </xf>
    <xf numFmtId="3" fontId="9" fillId="0" borderId="8" xfId="1" applyNumberFormat="1" applyFont="1" applyFill="1" applyBorder="1" applyAlignment="1">
      <alignment horizontal="right" vertical="center"/>
    </xf>
    <xf numFmtId="168" fontId="9" fillId="0" borderId="8" xfId="1" applyNumberFormat="1" applyFont="1" applyFill="1" applyBorder="1" applyAlignment="1">
      <alignment horizontal="right" vertical="center"/>
    </xf>
    <xf numFmtId="164" fontId="97" fillId="0" borderId="5" xfId="1" applyNumberFormat="1" applyFont="1" applyBorder="1" applyAlignment="1">
      <alignment horizontal="right"/>
    </xf>
    <xf numFmtId="164" fontId="97" fillId="0" borderId="5" xfId="1" applyNumberFormat="1" applyFont="1" applyFill="1" applyBorder="1" applyAlignment="1">
      <alignment horizontal="right"/>
    </xf>
    <xf numFmtId="164" fontId="99" fillId="0" borderId="5" xfId="0" applyNumberFormat="1" applyFont="1" applyBorder="1" applyAlignment="1">
      <alignment horizontal="right"/>
    </xf>
    <xf numFmtId="0" fontId="28" fillId="0" borderId="8" xfId="0" applyFont="1" applyBorder="1" applyAlignment="1">
      <alignment vertical="center"/>
    </xf>
    <xf numFmtId="164" fontId="97" fillId="0" borderId="0" xfId="0" applyNumberFormat="1" applyFont="1"/>
    <xf numFmtId="0" fontId="98" fillId="0" borderId="8" xfId="0" applyFont="1" applyBorder="1" applyAlignment="1">
      <alignment horizontal="center"/>
    </xf>
    <xf numFmtId="3" fontId="97" fillId="0" borderId="8" xfId="0" applyNumberFormat="1" applyFont="1" applyBorder="1"/>
    <xf numFmtId="0" fontId="98" fillId="0" borderId="4" xfId="0" applyFont="1" applyBorder="1" applyAlignment="1">
      <alignment horizontal="center"/>
    </xf>
    <xf numFmtId="0" fontId="98" fillId="0" borderId="7" xfId="0" applyFont="1" applyBorder="1"/>
    <xf numFmtId="17" fontId="97" fillId="0" borderId="6" xfId="0" applyNumberFormat="1" applyFont="1" applyBorder="1"/>
    <xf numFmtId="3" fontId="98" fillId="0" borderId="0" xfId="0" applyNumberFormat="1" applyFont="1"/>
    <xf numFmtId="0" fontId="98" fillId="0" borderId="0" xfId="0" applyFont="1"/>
    <xf numFmtId="17" fontId="98" fillId="5" borderId="5" xfId="0" applyNumberFormat="1" applyFont="1" applyFill="1" applyBorder="1"/>
    <xf numFmtId="164" fontId="98" fillId="5" borderId="4" xfId="1" applyNumberFormat="1" applyFont="1" applyFill="1" applyBorder="1"/>
    <xf numFmtId="0" fontId="98" fillId="5" borderId="5" xfId="0" applyFont="1" applyFill="1" applyBorder="1"/>
    <xf numFmtId="164" fontId="98" fillId="5" borderId="5" xfId="0" applyNumberFormat="1" applyFont="1" applyFill="1" applyBorder="1"/>
    <xf numFmtId="0" fontId="3" fillId="23" borderId="24" xfId="0" applyFont="1" applyFill="1" applyBorder="1" applyAlignment="1">
      <alignment horizontal="center" vertical="center"/>
    </xf>
    <xf numFmtId="0" fontId="95" fillId="23" borderId="0" xfId="0" applyFont="1" applyFill="1" applyAlignment="1">
      <alignment vertical="center" wrapText="1"/>
    </xf>
    <xf numFmtId="164" fontId="13" fillId="23" borderId="12" xfId="0" applyNumberFormat="1" applyFont="1" applyFill="1" applyBorder="1" applyAlignment="1">
      <alignment vertical="center"/>
    </xf>
    <xf numFmtId="164" fontId="3" fillId="23" borderId="12" xfId="0" applyNumberFormat="1" applyFont="1" applyFill="1" applyBorder="1" applyAlignment="1">
      <alignment vertical="center"/>
    </xf>
    <xf numFmtId="0" fontId="74" fillId="23" borderId="16" xfId="0" applyFont="1" applyFill="1" applyBorder="1" applyAlignment="1">
      <alignment horizontal="center" vertical="center" wrapText="1"/>
    </xf>
    <xf numFmtId="164" fontId="3" fillId="23" borderId="10" xfId="0" applyNumberFormat="1" applyFont="1" applyFill="1" applyBorder="1" applyAlignment="1">
      <alignment vertical="center"/>
    </xf>
    <xf numFmtId="168" fontId="44" fillId="23" borderId="8" xfId="1" applyNumberFormat="1" applyFont="1" applyFill="1" applyBorder="1" applyAlignment="1">
      <alignment horizontal="right" vertical="center"/>
    </xf>
    <xf numFmtId="0" fontId="13" fillId="23" borderId="24" xfId="0" applyFont="1" applyFill="1" applyBorder="1" applyAlignment="1">
      <alignment horizontal="center" vertical="center"/>
    </xf>
    <xf numFmtId="0" fontId="13" fillId="23" borderId="16" xfId="0" applyFont="1" applyFill="1" applyBorder="1" applyAlignment="1">
      <alignment horizontal="left" vertical="center"/>
    </xf>
    <xf numFmtId="164" fontId="13" fillId="23" borderId="16" xfId="0" applyNumberFormat="1" applyFont="1" applyFill="1" applyBorder="1" applyAlignment="1">
      <alignment vertical="center"/>
    </xf>
    <xf numFmtId="16" fontId="13" fillId="23" borderId="18" xfId="0" applyNumberFormat="1" applyFont="1" applyFill="1" applyBorder="1" applyAlignment="1">
      <alignment horizontal="center" vertical="center" wrapText="1"/>
    </xf>
    <xf numFmtId="168" fontId="3" fillId="23" borderId="19" xfId="1" applyNumberFormat="1" applyFont="1" applyFill="1" applyBorder="1" applyAlignment="1">
      <alignment horizontal="right" vertical="center"/>
    </xf>
    <xf numFmtId="0" fontId="15" fillId="23" borderId="12" xfId="0" applyFont="1" applyFill="1" applyBorder="1" applyAlignment="1">
      <alignment horizontal="center" vertical="center" wrapText="1"/>
    </xf>
    <xf numFmtId="164" fontId="13" fillId="23" borderId="10" xfId="1" applyNumberFormat="1" applyFont="1" applyFill="1" applyBorder="1" applyAlignment="1">
      <alignment horizontal="right" vertical="center"/>
    </xf>
    <xf numFmtId="0" fontId="13" fillId="23" borderId="19" xfId="0" applyFont="1" applyFill="1" applyBorder="1" applyAlignment="1">
      <alignment horizontal="left" vertical="center"/>
    </xf>
    <xf numFmtId="168" fontId="14" fillId="23" borderId="12" xfId="1" applyNumberFormat="1" applyFont="1" applyFill="1" applyBorder="1" applyAlignment="1">
      <alignment horizontal="right" vertical="center"/>
    </xf>
    <xf numFmtId="168" fontId="13" fillId="23" borderId="22" xfId="1" applyNumberFormat="1" applyFont="1" applyFill="1" applyBorder="1" applyAlignment="1">
      <alignment horizontal="right" vertical="center"/>
    </xf>
    <xf numFmtId="0" fontId="47" fillId="23" borderId="8" xfId="0" applyFont="1" applyFill="1" applyBorder="1" applyAlignment="1">
      <alignment vertical="center" wrapText="1"/>
    </xf>
    <xf numFmtId="164" fontId="97" fillId="0" borderId="4" xfId="1" applyNumberFormat="1" applyFont="1" applyBorder="1" applyAlignment="1">
      <alignment horizontal="right"/>
    </xf>
    <xf numFmtId="9" fontId="97" fillId="0" borderId="5" xfId="4" applyFont="1" applyBorder="1" applyAlignment="1">
      <alignment horizontal="right"/>
    </xf>
    <xf numFmtId="164" fontId="98" fillId="5" borderId="4" xfId="1" applyNumberFormat="1" applyFont="1" applyFill="1" applyBorder="1" applyAlignment="1">
      <alignment horizontal="right"/>
    </xf>
    <xf numFmtId="9" fontId="98" fillId="5" borderId="5" xfId="4" applyFont="1" applyFill="1" applyBorder="1" applyAlignment="1">
      <alignment horizontal="right"/>
    </xf>
    <xf numFmtId="164" fontId="98" fillId="5" borderId="5" xfId="0" applyNumberFormat="1" applyFont="1" applyFill="1" applyBorder="1" applyAlignment="1">
      <alignment horizontal="right"/>
    </xf>
    <xf numFmtId="168" fontId="3" fillId="23" borderId="22" xfId="1" applyNumberFormat="1" applyFont="1" applyFill="1" applyBorder="1" applyAlignment="1">
      <alignment horizontal="right" vertical="center"/>
    </xf>
    <xf numFmtId="0" fontId="12" fillId="3" borderId="8" xfId="0" applyFont="1" applyFill="1" applyBorder="1" applyAlignment="1">
      <alignment horizontal="center" vertical="center"/>
    </xf>
    <xf numFmtId="164" fontId="13" fillId="23" borderId="12" xfId="1" applyNumberFormat="1" applyFont="1" applyFill="1" applyBorder="1" applyAlignment="1">
      <alignment horizontal="right" vertical="center"/>
    </xf>
    <xf numFmtId="168" fontId="13" fillId="23" borderId="8" xfId="1" applyNumberFormat="1" applyFont="1" applyFill="1" applyBorder="1" applyAlignment="1">
      <alignment horizontal="center" vertical="center"/>
    </xf>
    <xf numFmtId="0" fontId="15" fillId="23" borderId="19" xfId="0" applyFont="1" applyFill="1" applyBorder="1" applyAlignment="1">
      <alignment vertical="center"/>
    </xf>
    <xf numFmtId="0" fontId="15" fillId="23" borderId="8" xfId="0" applyFont="1" applyFill="1" applyBorder="1" applyAlignment="1">
      <alignment horizontal="center" vertical="center" indent="1"/>
    </xf>
    <xf numFmtId="0" fontId="3" fillId="23" borderId="8" xfId="0" applyFont="1" applyFill="1" applyBorder="1" applyAlignment="1">
      <alignment horizontal="left" vertical="top" wrapText="1"/>
    </xf>
    <xf numFmtId="0" fontId="106" fillId="0" borderId="8" xfId="0" applyFont="1" applyBorder="1" applyAlignment="1">
      <alignment horizontal="left" vertical="center" wrapText="1"/>
    </xf>
    <xf numFmtId="164" fontId="13" fillId="23" borderId="12" xfId="0" applyNumberFormat="1" applyFont="1" applyFill="1" applyBorder="1" applyAlignment="1">
      <alignment horizontal="right" vertical="center"/>
    </xf>
    <xf numFmtId="0" fontId="104" fillId="23" borderId="8" xfId="0" applyFont="1" applyFill="1" applyBorder="1" applyAlignment="1">
      <alignment vertical="center" wrapText="1"/>
    </xf>
    <xf numFmtId="0" fontId="27" fillId="0" borderId="18" xfId="0" applyFont="1" applyBorder="1" applyAlignment="1">
      <alignment horizontal="center" vertical="center"/>
    </xf>
    <xf numFmtId="168" fontId="3" fillId="23" borderId="8" xfId="0" applyNumberFormat="1" applyFont="1" applyFill="1" applyBorder="1" applyAlignment="1">
      <alignment horizontal="center" vertical="center"/>
    </xf>
    <xf numFmtId="0" fontId="104" fillId="23" borderId="8" xfId="0" applyFont="1" applyFill="1" applyBorder="1" applyAlignment="1">
      <alignment horizontal="left" vertical="center" wrapText="1"/>
    </xf>
    <xf numFmtId="164" fontId="13" fillId="23" borderId="16" xfId="1" applyNumberFormat="1" applyFont="1" applyFill="1" applyBorder="1" applyAlignment="1">
      <alignment horizontal="right" vertical="center"/>
    </xf>
    <xf numFmtId="168" fontId="13" fillId="23" borderId="8" xfId="0" applyNumberFormat="1" applyFont="1" applyFill="1" applyBorder="1" applyAlignment="1">
      <alignment vertical="center"/>
    </xf>
    <xf numFmtId="164" fontId="109" fillId="0" borderId="4" xfId="1" applyNumberFormat="1" applyFont="1" applyBorder="1" applyAlignment="1">
      <alignment horizontal="right"/>
    </xf>
    <xf numFmtId="0" fontId="51" fillId="0" borderId="0" xfId="0" applyFont="1" applyAlignment="1">
      <alignment horizontal="center" vertical="center" wrapText="1"/>
    </xf>
    <xf numFmtId="169" fontId="97" fillId="0" borderId="0" xfId="0" applyNumberFormat="1" applyFont="1"/>
    <xf numFmtId="0" fontId="104" fillId="0" borderId="8" xfId="0" applyFont="1" applyBorder="1" applyAlignment="1">
      <alignment horizontal="center" vertical="center" wrapText="1"/>
    </xf>
    <xf numFmtId="0" fontId="105" fillId="0" borderId="8" xfId="0" applyFont="1" applyBorder="1" applyAlignment="1">
      <alignment horizontal="center" vertical="center" wrapText="1"/>
    </xf>
    <xf numFmtId="165" fontId="114" fillId="0" borderId="7" xfId="1" applyNumberFormat="1" applyFont="1" applyBorder="1" applyAlignment="1">
      <alignment horizontal="center" vertical="center" wrapText="1"/>
    </xf>
    <xf numFmtId="14" fontId="111" fillId="2" borderId="7" xfId="0" applyNumberFormat="1" applyFont="1" applyFill="1" applyBorder="1" applyAlignment="1">
      <alignment horizontal="center" vertical="center" wrapText="1"/>
    </xf>
    <xf numFmtId="14" fontId="113" fillId="0" borderId="7" xfId="0" applyNumberFormat="1" applyFont="1" applyBorder="1" applyAlignment="1">
      <alignment horizontal="center" vertical="center" wrapText="1"/>
    </xf>
    <xf numFmtId="14" fontId="113" fillId="0" borderId="9" xfId="0" applyNumberFormat="1" applyFont="1" applyBorder="1" applyAlignment="1">
      <alignment horizontal="center" vertical="center" wrapText="1"/>
    </xf>
    <xf numFmtId="165" fontId="114" fillId="0" borderId="8" xfId="1" applyNumberFormat="1" applyFont="1" applyBorder="1" applyAlignment="1">
      <alignment vertical="center" wrapText="1"/>
    </xf>
    <xf numFmtId="165" fontId="114" fillId="0" borderId="11" xfId="1" applyNumberFormat="1" applyFont="1" applyBorder="1" applyAlignment="1">
      <alignment horizontal="center" vertical="center" wrapText="1"/>
    </xf>
    <xf numFmtId="165" fontId="114" fillId="0" borderId="12" xfId="1" applyNumberFormat="1" applyFont="1" applyBorder="1" applyAlignment="1">
      <alignment horizontal="center" vertical="center" wrapText="1"/>
    </xf>
    <xf numFmtId="0" fontId="116" fillId="2" borderId="12" xfId="0" applyFont="1" applyFill="1" applyBorder="1" applyAlignment="1">
      <alignment horizontal="center" vertical="center"/>
    </xf>
    <xf numFmtId="0" fontId="102" fillId="2" borderId="8" xfId="0" applyFont="1" applyFill="1" applyBorder="1" applyAlignment="1">
      <alignment horizontal="center" vertical="center"/>
    </xf>
    <xf numFmtId="0" fontId="106" fillId="2" borderId="8" xfId="0" applyFont="1" applyFill="1" applyBorder="1" applyAlignment="1">
      <alignment horizontal="center" vertical="center" wrapText="1"/>
    </xf>
    <xf numFmtId="3" fontId="106" fillId="2" borderId="8" xfId="1" applyNumberFormat="1" applyFont="1" applyFill="1" applyBorder="1" applyAlignment="1">
      <alignment horizontal="center" vertical="center" wrapText="1"/>
    </xf>
    <xf numFmtId="0" fontId="106" fillId="2" borderId="8" xfId="0" applyFont="1" applyFill="1" applyBorder="1" applyAlignment="1">
      <alignment horizontal="center" vertical="center"/>
    </xf>
    <xf numFmtId="0" fontId="106" fillId="2" borderId="10" xfId="0" applyFont="1" applyFill="1" applyBorder="1" applyAlignment="1">
      <alignment horizontal="center" vertical="center" wrapText="1"/>
    </xf>
    <xf numFmtId="0" fontId="106" fillId="0" borderId="8" xfId="0" applyFont="1" applyBorder="1" applyAlignment="1">
      <alignment horizontal="center" vertical="center" wrapText="1"/>
    </xf>
    <xf numFmtId="0" fontId="102" fillId="0" borderId="8" xfId="0" applyFont="1" applyBorder="1" applyAlignment="1">
      <alignment horizontal="left" vertical="center"/>
    </xf>
    <xf numFmtId="0" fontId="104" fillId="0" borderId="8" xfId="0" applyFont="1" applyBorder="1" applyAlignment="1">
      <alignment horizontal="left" vertical="center" wrapText="1"/>
    </xf>
    <xf numFmtId="0" fontId="104" fillId="0" borderId="8" xfId="0" applyFont="1" applyBorder="1" applyAlignment="1">
      <alignment horizontal="center" vertical="center"/>
    </xf>
    <xf numFmtId="0" fontId="104" fillId="0" borderId="8" xfId="0" applyFont="1" applyBorder="1" applyAlignment="1">
      <alignment horizontal="left" vertical="center"/>
    </xf>
    <xf numFmtId="0" fontId="106" fillId="0" borderId="8" xfId="0" applyFont="1" applyBorder="1" applyAlignment="1">
      <alignment horizontal="center" vertical="center"/>
    </xf>
    <xf numFmtId="3" fontId="13" fillId="23" borderId="23" xfId="1" applyNumberFormat="1" applyFont="1" applyFill="1" applyBorder="1" applyAlignment="1">
      <alignment horizontal="right" vertical="center"/>
    </xf>
    <xf numFmtId="0" fontId="100" fillId="23" borderId="8" xfId="0" applyFont="1" applyFill="1" applyBorder="1" applyAlignment="1">
      <alignment horizontal="left" vertical="center" wrapText="1"/>
    </xf>
    <xf numFmtId="3" fontId="3" fillId="23" borderId="23" xfId="1" applyNumberFormat="1" applyFont="1" applyFill="1" applyBorder="1" applyAlignment="1">
      <alignment horizontal="right" vertical="center"/>
    </xf>
    <xf numFmtId="0" fontId="106" fillId="0" borderId="25" xfId="0" applyFont="1" applyBorder="1" applyAlignment="1">
      <alignment horizontal="center" vertical="center" wrapText="1"/>
    </xf>
    <xf numFmtId="0" fontId="3" fillId="23" borderId="10" xfId="0" applyFont="1" applyFill="1" applyBorder="1" applyAlignment="1">
      <alignment horizontal="left" vertical="center"/>
    </xf>
    <xf numFmtId="0" fontId="106" fillId="23" borderId="8" xfId="0" applyFont="1" applyFill="1" applyBorder="1" applyAlignment="1">
      <alignment horizontal="left" vertical="center" wrapText="1"/>
    </xf>
    <xf numFmtId="0" fontId="104" fillId="23" borderId="19" xfId="0" applyFont="1" applyFill="1" applyBorder="1" applyAlignment="1">
      <alignment horizontal="left" vertical="center" wrapText="1"/>
    </xf>
    <xf numFmtId="3" fontId="3" fillId="23" borderId="19" xfId="1" applyNumberFormat="1" applyFont="1" applyFill="1" applyBorder="1" applyAlignment="1">
      <alignment horizontal="right" vertical="center"/>
    </xf>
    <xf numFmtId="0" fontId="105" fillId="23" borderId="8" xfId="0" applyFont="1" applyFill="1" applyBorder="1" applyAlignment="1">
      <alignment horizontal="center" vertical="center" wrapText="1"/>
    </xf>
    <xf numFmtId="168" fontId="112" fillId="0" borderId="11" xfId="1" applyNumberFormat="1" applyFont="1" applyBorder="1" applyAlignment="1">
      <alignment vertical="center" wrapText="1"/>
    </xf>
    <xf numFmtId="0" fontId="28" fillId="32" borderId="8" xfId="0" applyFont="1" applyFill="1" applyBorder="1" applyAlignment="1">
      <alignment vertical="center"/>
    </xf>
    <xf numFmtId="0" fontId="3" fillId="32" borderId="25" xfId="0" applyFont="1" applyFill="1" applyBorder="1" applyAlignment="1">
      <alignment horizontal="center" vertical="center" wrapText="1"/>
    </xf>
    <xf numFmtId="164" fontId="3" fillId="32" borderId="8" xfId="1" applyNumberFormat="1" applyFont="1" applyFill="1" applyBorder="1" applyAlignment="1">
      <alignment horizontal="right" vertical="center"/>
    </xf>
    <xf numFmtId="0" fontId="3" fillId="32" borderId="0" xfId="0" applyFont="1" applyFill="1" applyAlignment="1">
      <alignment vertical="center"/>
    </xf>
    <xf numFmtId="0" fontId="28" fillId="32" borderId="18" xfId="0" applyFont="1" applyFill="1" applyBorder="1" applyAlignment="1">
      <alignment vertical="center"/>
    </xf>
    <xf numFmtId="0" fontId="28" fillId="32" borderId="12" xfId="0" applyFont="1" applyFill="1" applyBorder="1" applyAlignment="1">
      <alignment vertical="center"/>
    </xf>
    <xf numFmtId="0" fontId="12" fillId="32" borderId="8" xfId="0" applyFont="1" applyFill="1" applyBorder="1" applyAlignment="1">
      <alignment horizontal="left" vertical="center" wrapText="1"/>
    </xf>
    <xf numFmtId="0" fontId="13" fillId="32" borderId="0" xfId="0" applyFont="1" applyFill="1" applyAlignment="1">
      <alignment vertical="center"/>
    </xf>
    <xf numFmtId="164" fontId="109" fillId="0" borderId="5" xfId="1" applyNumberFormat="1" applyFont="1" applyBorder="1" applyAlignment="1">
      <alignment horizontal="right"/>
    </xf>
    <xf numFmtId="0" fontId="105" fillId="0" borderId="8" xfId="0" applyFont="1" applyBorder="1" applyAlignment="1">
      <alignment horizontal="center" vertical="center"/>
    </xf>
    <xf numFmtId="0" fontId="110" fillId="23" borderId="8" xfId="0" applyFont="1" applyFill="1" applyBorder="1" applyAlignment="1">
      <alignment horizontal="center" vertical="center" wrapText="1"/>
    </xf>
    <xf numFmtId="164" fontId="3" fillId="23" borderId="10" xfId="1" applyNumberFormat="1" applyFont="1" applyFill="1" applyBorder="1" applyAlignment="1">
      <alignment horizontal="right" vertical="center"/>
    </xf>
    <xf numFmtId="3" fontId="13" fillId="23" borderId="34" xfId="1" applyNumberFormat="1" applyFont="1" applyFill="1" applyBorder="1" applyAlignment="1">
      <alignment horizontal="right" vertical="center"/>
    </xf>
    <xf numFmtId="0" fontId="106" fillId="23" borderId="18" xfId="0" applyFont="1" applyFill="1" applyBorder="1" applyAlignment="1">
      <alignment horizontal="left" vertical="center" wrapText="1"/>
    </xf>
    <xf numFmtId="168" fontId="13" fillId="23" borderId="20" xfId="1" applyNumberFormat="1" applyFont="1" applyFill="1" applyBorder="1" applyAlignment="1">
      <alignment horizontal="right" vertical="center"/>
    </xf>
    <xf numFmtId="0" fontId="100" fillId="23" borderId="8" xfId="0" applyFont="1" applyFill="1" applyBorder="1" applyAlignment="1">
      <alignment vertical="center" wrapText="1"/>
    </xf>
    <xf numFmtId="0" fontId="102" fillId="0" borderId="8" xfId="0" applyFont="1" applyBorder="1" applyAlignment="1">
      <alignment horizontal="center" vertical="center" wrapText="1"/>
    </xf>
    <xf numFmtId="168" fontId="106" fillId="0" borderId="8" xfId="1" applyNumberFormat="1" applyFont="1" applyFill="1" applyBorder="1" applyAlignment="1">
      <alignment horizontal="right" vertical="center"/>
    </xf>
    <xf numFmtId="168" fontId="104" fillId="0" borderId="8" xfId="1" applyNumberFormat="1" applyFont="1" applyFill="1" applyBorder="1" applyAlignment="1">
      <alignment horizontal="right" vertical="center"/>
    </xf>
    <xf numFmtId="0" fontId="103" fillId="0" borderId="8" xfId="0" applyFont="1" applyBorder="1" applyAlignment="1">
      <alignment horizontal="center" vertical="center" wrapText="1"/>
    </xf>
    <xf numFmtId="168" fontId="3" fillId="0" borderId="0" xfId="1" applyNumberFormat="1" applyFont="1" applyFill="1" applyAlignment="1">
      <alignment horizontal="right" vertical="center"/>
    </xf>
    <xf numFmtId="168" fontId="106" fillId="0" borderId="8" xfId="0" applyNumberFormat="1" applyFont="1" applyBorder="1" applyAlignment="1">
      <alignment horizontal="center" vertical="center" wrapText="1"/>
    </xf>
    <xf numFmtId="0" fontId="106" fillId="5" borderId="8" xfId="0" applyFont="1" applyFill="1" applyBorder="1" applyAlignment="1">
      <alignment horizontal="center" vertical="center"/>
    </xf>
    <xf numFmtId="165" fontId="114" fillId="0" borderId="9" xfId="1" applyNumberFormat="1" applyFont="1" applyBorder="1" applyAlignment="1">
      <alignment vertical="center" wrapText="1"/>
    </xf>
    <xf numFmtId="9" fontId="109" fillId="0" borderId="5" xfId="4" applyFont="1" applyBorder="1" applyAlignment="1">
      <alignment horizontal="right"/>
    </xf>
    <xf numFmtId="0" fontId="27" fillId="34" borderId="8" xfId="0" applyFont="1" applyFill="1" applyBorder="1" applyAlignment="1">
      <alignment vertical="center"/>
    </xf>
    <xf numFmtId="0" fontId="104" fillId="34" borderId="25" xfId="0" applyFont="1" applyFill="1" applyBorder="1" applyAlignment="1">
      <alignment horizontal="center" vertical="center" wrapText="1"/>
    </xf>
    <xf numFmtId="0" fontId="3" fillId="34" borderId="8" xfId="0" applyFont="1" applyFill="1" applyBorder="1" applyAlignment="1">
      <alignment horizontal="center" vertical="center"/>
    </xf>
    <xf numFmtId="3" fontId="13" fillId="34" borderId="8" xfId="1" applyNumberFormat="1" applyFont="1" applyFill="1" applyBorder="1" applyAlignment="1">
      <alignment vertical="center"/>
    </xf>
    <xf numFmtId="0" fontId="13" fillId="34" borderId="8" xfId="0" applyFont="1" applyFill="1" applyBorder="1" applyAlignment="1">
      <alignment horizontal="center" vertical="center" wrapText="1"/>
    </xf>
    <xf numFmtId="0" fontId="13" fillId="34" borderId="8" xfId="0" applyFont="1" applyFill="1" applyBorder="1" applyAlignment="1">
      <alignment horizontal="left" vertical="center" wrapText="1"/>
    </xf>
    <xf numFmtId="0" fontId="12" fillId="34" borderId="8" xfId="0" applyFont="1" applyFill="1" applyBorder="1" applyAlignment="1">
      <alignment horizontal="center" vertical="center"/>
    </xf>
    <xf numFmtId="0" fontId="13" fillId="34" borderId="8" xfId="0" applyFont="1" applyFill="1" applyBorder="1" applyAlignment="1">
      <alignment horizontal="center" vertical="center"/>
    </xf>
    <xf numFmtId="0" fontId="12" fillId="34" borderId="8" xfId="0" applyFont="1" applyFill="1" applyBorder="1" applyAlignment="1">
      <alignment vertical="center"/>
    </xf>
    <xf numFmtId="0" fontId="13" fillId="34" borderId="8" xfId="0" applyFont="1" applyFill="1" applyBorder="1" applyAlignment="1">
      <alignment vertical="center"/>
    </xf>
    <xf numFmtId="0" fontId="13" fillId="34" borderId="0" xfId="0" applyFont="1" applyFill="1" applyAlignment="1">
      <alignment vertical="center"/>
    </xf>
    <xf numFmtId="164" fontId="3" fillId="34" borderId="8" xfId="1" applyNumberFormat="1" applyFont="1" applyFill="1" applyBorder="1" applyAlignment="1">
      <alignment vertical="center"/>
    </xf>
    <xf numFmtId="0" fontId="3" fillId="34" borderId="8" xfId="0" applyFont="1" applyFill="1" applyBorder="1" applyAlignment="1">
      <alignment horizontal="center" vertical="center" wrapText="1"/>
    </xf>
    <xf numFmtId="0" fontId="12" fillId="34" borderId="8" xfId="0" applyFont="1" applyFill="1" applyBorder="1" applyAlignment="1">
      <alignment horizontal="left" vertical="center" wrapText="1"/>
    </xf>
    <xf numFmtId="168" fontId="3" fillId="34" borderId="8" xfId="1" applyNumberFormat="1" applyFont="1" applyFill="1" applyBorder="1" applyAlignment="1">
      <alignment horizontal="right" vertical="center"/>
    </xf>
    <xf numFmtId="0" fontId="3" fillId="34" borderId="8" xfId="0" applyFont="1" applyFill="1" applyBorder="1" applyAlignment="1">
      <alignment vertical="center"/>
    </xf>
    <xf numFmtId="0" fontId="28" fillId="34" borderId="12" xfId="0" applyFont="1" applyFill="1" applyBorder="1" applyAlignment="1">
      <alignment vertical="center"/>
    </xf>
    <xf numFmtId="168" fontId="3" fillId="34" borderId="8" xfId="1" applyNumberFormat="1" applyFont="1" applyFill="1" applyBorder="1" applyAlignment="1">
      <alignment vertical="center"/>
    </xf>
    <xf numFmtId="16" fontId="3" fillId="34" borderId="8" xfId="0" applyNumberFormat="1" applyFont="1" applyFill="1" applyBorder="1" applyAlignment="1">
      <alignment horizontal="center" vertical="center" wrapText="1"/>
    </xf>
    <xf numFmtId="0" fontId="12" fillId="34" borderId="8" xfId="0" applyFont="1" applyFill="1" applyBorder="1" applyAlignment="1">
      <alignment vertical="center" wrapText="1"/>
    </xf>
    <xf numFmtId="0" fontId="12" fillId="34" borderId="8" xfId="0" applyFont="1" applyFill="1" applyBorder="1" applyAlignment="1">
      <alignment horizontal="center" vertical="center" wrapText="1"/>
    </xf>
    <xf numFmtId="14" fontId="3" fillId="34" borderId="8" xfId="0" applyNumberFormat="1" applyFont="1" applyFill="1" applyBorder="1" applyAlignment="1">
      <alignment horizontal="center" vertical="center" wrapText="1"/>
    </xf>
    <xf numFmtId="0" fontId="3" fillId="34" borderId="25" xfId="0" applyFont="1" applyFill="1" applyBorder="1" applyAlignment="1">
      <alignment horizontal="center" vertical="center" wrapText="1"/>
    </xf>
    <xf numFmtId="0" fontId="28" fillId="35" borderId="12" xfId="0" applyFont="1" applyFill="1" applyBorder="1" applyAlignment="1">
      <alignment vertical="center"/>
    </xf>
    <xf numFmtId="0" fontId="3" fillId="35" borderId="25" xfId="0" applyFont="1" applyFill="1" applyBorder="1" applyAlignment="1">
      <alignment horizontal="center" vertical="center" wrapText="1"/>
    </xf>
    <xf numFmtId="0" fontId="3" fillId="35" borderId="8" xfId="0" applyFont="1" applyFill="1" applyBorder="1" applyAlignment="1">
      <alignment horizontal="center" vertical="center"/>
    </xf>
    <xf numFmtId="168" fontId="3" fillId="35" borderId="8" xfId="1" applyNumberFormat="1" applyFont="1" applyFill="1" applyBorder="1" applyAlignment="1">
      <alignment horizontal="right" vertical="center"/>
    </xf>
    <xf numFmtId="0" fontId="3" fillId="35" borderId="8" xfId="0" applyFont="1" applyFill="1" applyBorder="1" applyAlignment="1">
      <alignment horizontal="center" vertical="center" wrapText="1"/>
    </xf>
    <xf numFmtId="0" fontId="12" fillId="35" borderId="8" xfId="0" applyFont="1" applyFill="1" applyBorder="1" applyAlignment="1">
      <alignment horizontal="left" vertical="center" wrapText="1"/>
    </xf>
    <xf numFmtId="0" fontId="12" fillId="35" borderId="8" xfId="0" applyFont="1" applyFill="1" applyBorder="1" applyAlignment="1">
      <alignment horizontal="center" vertical="center"/>
    </xf>
    <xf numFmtId="0" fontId="13" fillId="35" borderId="0" xfId="0" applyFont="1" applyFill="1" applyAlignment="1">
      <alignment vertical="center"/>
    </xf>
    <xf numFmtId="0" fontId="104" fillId="24" borderId="25" xfId="0" applyFont="1" applyFill="1" applyBorder="1" applyAlignment="1">
      <alignment horizontal="center" vertical="center" wrapText="1"/>
    </xf>
    <xf numFmtId="0" fontId="106" fillId="24" borderId="8" xfId="0" applyFont="1" applyFill="1" applyBorder="1" applyAlignment="1">
      <alignment horizontal="center" vertical="center" wrapText="1"/>
    </xf>
    <xf numFmtId="3" fontId="106" fillId="24" borderId="8" xfId="1" applyNumberFormat="1" applyFont="1" applyFill="1" applyBorder="1" applyAlignment="1">
      <alignment vertical="center"/>
    </xf>
    <xf numFmtId="0" fontId="106" fillId="24" borderId="8" xfId="0" applyFont="1" applyFill="1" applyBorder="1" applyAlignment="1">
      <alignment horizontal="center" vertical="center"/>
    </xf>
    <xf numFmtId="0" fontId="106" fillId="24" borderId="12" xfId="0" applyFont="1" applyFill="1" applyBorder="1" applyAlignment="1">
      <alignment horizontal="center" vertical="center" wrapText="1"/>
    </xf>
    <xf numFmtId="0" fontId="106" fillId="24" borderId="8" xfId="0" applyFont="1" applyFill="1" applyBorder="1" applyAlignment="1">
      <alignment horizontal="left" vertical="center" wrapText="1"/>
    </xf>
    <xf numFmtId="0" fontId="102" fillId="24" borderId="8" xfId="0" applyFont="1" applyFill="1" applyBorder="1" applyAlignment="1">
      <alignment vertical="center" wrapText="1"/>
    </xf>
    <xf numFmtId="0" fontId="103" fillId="24" borderId="8" xfId="0" applyFont="1" applyFill="1" applyBorder="1" applyAlignment="1">
      <alignment horizontal="center" vertical="center"/>
    </xf>
    <xf numFmtId="0" fontId="13" fillId="24" borderId="12" xfId="0" applyFont="1" applyFill="1" applyBorder="1" applyAlignment="1">
      <alignment vertical="center"/>
    </xf>
    <xf numFmtId="0" fontId="13" fillId="24" borderId="8" xfId="0" applyFont="1" applyFill="1" applyBorder="1" applyAlignment="1">
      <alignment vertical="center"/>
    </xf>
    <xf numFmtId="0" fontId="13" fillId="24" borderId="0" xfId="0" applyFont="1" applyFill="1" applyAlignment="1">
      <alignment vertical="center"/>
    </xf>
    <xf numFmtId="0" fontId="104" fillId="24" borderId="8" xfId="0" applyFont="1" applyFill="1" applyBorder="1" applyAlignment="1">
      <alignment horizontal="center" vertical="center"/>
    </xf>
    <xf numFmtId="0" fontId="104" fillId="24" borderId="12" xfId="0" applyFont="1" applyFill="1" applyBorder="1" applyAlignment="1">
      <alignment horizontal="center" vertical="center" wrapText="1"/>
    </xf>
    <xf numFmtId="0" fontId="104" fillId="24" borderId="8" xfId="0" applyFont="1" applyFill="1" applyBorder="1" applyAlignment="1">
      <alignment horizontal="center" vertical="center" wrapText="1"/>
    </xf>
    <xf numFmtId="0" fontId="104" fillId="24" borderId="8" xfId="0" applyFont="1" applyFill="1" applyBorder="1" applyAlignment="1">
      <alignment horizontal="left" vertical="center" wrapText="1"/>
    </xf>
    <xf numFmtId="0" fontId="102" fillId="24" borderId="8" xfId="0" applyFont="1" applyFill="1" applyBorder="1" applyAlignment="1">
      <alignment vertical="center"/>
    </xf>
    <xf numFmtId="3" fontId="106" fillId="24" borderId="12" xfId="1" applyNumberFormat="1" applyFont="1" applyFill="1" applyBorder="1" applyAlignment="1">
      <alignment vertical="center"/>
    </xf>
    <xf numFmtId="0" fontId="104" fillId="24" borderId="12" xfId="0" applyFont="1" applyFill="1" applyBorder="1" applyAlignment="1">
      <alignment horizontal="center" vertical="center"/>
    </xf>
    <xf numFmtId="0" fontId="104" fillId="24" borderId="12" xfId="0" applyFont="1" applyFill="1" applyBorder="1" applyAlignment="1">
      <alignment horizontal="left" vertical="center" wrapText="1"/>
    </xf>
    <xf numFmtId="0" fontId="116" fillId="24" borderId="8" xfId="0" applyFont="1" applyFill="1" applyBorder="1" applyAlignment="1">
      <alignment horizontal="center" vertical="center"/>
    </xf>
    <xf numFmtId="0" fontId="106" fillId="24" borderId="25" xfId="0" applyFont="1" applyFill="1" applyBorder="1" applyAlignment="1">
      <alignment horizontal="center" vertical="center" wrapText="1"/>
    </xf>
    <xf numFmtId="0" fontId="13" fillId="24" borderId="8" xfId="0" applyFont="1" applyFill="1" applyBorder="1" applyAlignment="1">
      <alignment horizontal="center" vertical="center"/>
    </xf>
    <xf numFmtId="3" fontId="13" fillId="24" borderId="8" xfId="1" applyNumberFormat="1" applyFont="1" applyFill="1" applyBorder="1" applyAlignment="1">
      <alignment vertical="center"/>
    </xf>
    <xf numFmtId="0" fontId="13" fillId="24" borderId="8" xfId="0" applyFont="1" applyFill="1" applyBorder="1" applyAlignment="1">
      <alignment horizontal="center" vertical="center" wrapText="1"/>
    </xf>
    <xf numFmtId="0" fontId="13" fillId="24" borderId="8" xfId="0" applyFont="1" applyFill="1" applyBorder="1" applyAlignment="1">
      <alignment horizontal="left" vertical="center" wrapText="1"/>
    </xf>
    <xf numFmtId="0" fontId="104" fillId="24" borderId="16" xfId="0" applyFont="1" applyFill="1" applyBorder="1" applyAlignment="1">
      <alignment horizontal="center" vertical="center"/>
    </xf>
    <xf numFmtId="0" fontId="103" fillId="24" borderId="8" xfId="0" applyFont="1" applyFill="1" applyBorder="1" applyAlignment="1">
      <alignment vertical="center" wrapText="1"/>
    </xf>
    <xf numFmtId="0" fontId="3" fillId="24" borderId="18" xfId="0" applyFont="1" applyFill="1" applyBorder="1" applyAlignment="1">
      <alignment horizontal="center" vertical="center"/>
    </xf>
    <xf numFmtId="3" fontId="3" fillId="24" borderId="18" xfId="1" applyNumberFormat="1" applyFont="1" applyFill="1" applyBorder="1" applyAlignment="1">
      <alignment vertical="center"/>
    </xf>
    <xf numFmtId="0" fontId="3" fillId="24" borderId="18" xfId="0" applyFont="1" applyFill="1" applyBorder="1" applyAlignment="1">
      <alignment horizontal="center" vertical="center" wrapText="1"/>
    </xf>
    <xf numFmtId="0" fontId="104" fillId="24" borderId="18" xfId="0" applyFont="1" applyFill="1" applyBorder="1" applyAlignment="1">
      <alignment horizontal="center" vertical="center" wrapText="1"/>
    </xf>
    <xf numFmtId="0" fontId="3" fillId="24" borderId="18" xfId="0" applyFont="1" applyFill="1" applyBorder="1" applyAlignment="1">
      <alignment horizontal="left" vertical="center" wrapText="1"/>
    </xf>
    <xf numFmtId="3" fontId="104" fillId="24" borderId="8" xfId="1" applyNumberFormat="1" applyFont="1" applyFill="1" applyBorder="1" applyAlignment="1">
      <alignment vertical="center"/>
    </xf>
    <xf numFmtId="0" fontId="106" fillId="24" borderId="16" xfId="0" applyFont="1" applyFill="1" applyBorder="1" applyAlignment="1">
      <alignment horizontal="center" vertical="center"/>
    </xf>
    <xf numFmtId="3" fontId="106" fillId="24" borderId="10" xfId="1" applyNumberFormat="1" applyFont="1" applyFill="1" applyBorder="1" applyAlignment="1">
      <alignment vertical="center"/>
    </xf>
    <xf numFmtId="0" fontId="102" fillId="24" borderId="8" xfId="0" applyFont="1" applyFill="1" applyBorder="1" applyAlignment="1">
      <alignment horizontal="center" vertical="center" wrapText="1"/>
    </xf>
    <xf numFmtId="3" fontId="104" fillId="24" borderId="10" xfId="1" applyNumberFormat="1" applyFont="1" applyFill="1" applyBorder="1" applyAlignment="1">
      <alignment vertical="center"/>
    </xf>
    <xf numFmtId="0" fontId="103" fillId="24" borderId="8" xfId="0" applyFont="1" applyFill="1" applyBorder="1" applyAlignment="1">
      <alignment vertical="center"/>
    </xf>
    <xf numFmtId="0" fontId="104" fillId="24" borderId="25" xfId="0" applyFont="1" applyFill="1" applyBorder="1" applyAlignment="1">
      <alignment horizontal="center" vertical="center"/>
    </xf>
    <xf numFmtId="3" fontId="104" fillId="24" borderId="17" xfId="1" applyNumberFormat="1" applyFont="1" applyFill="1" applyBorder="1" applyAlignment="1">
      <alignment vertical="center"/>
    </xf>
    <xf numFmtId="165" fontId="111" fillId="0" borderId="38" xfId="1" applyNumberFormat="1" applyFont="1" applyBorder="1" applyAlignment="1">
      <alignment vertical="center" wrapText="1"/>
    </xf>
    <xf numFmtId="164" fontId="3" fillId="24" borderId="8" xfId="1" applyNumberFormat="1" applyFont="1" applyFill="1" applyBorder="1" applyAlignment="1">
      <alignment vertical="center"/>
    </xf>
    <xf numFmtId="3" fontId="3" fillId="24" borderId="12" xfId="1" applyNumberFormat="1" applyFont="1" applyFill="1" applyBorder="1" applyAlignment="1">
      <alignment vertical="center"/>
    </xf>
    <xf numFmtId="0" fontId="3" fillId="24" borderId="12" xfId="0" applyFont="1" applyFill="1" applyBorder="1" applyAlignment="1">
      <alignment horizontal="center" vertical="center"/>
    </xf>
    <xf numFmtId="0" fontId="12" fillId="24" borderId="12" xfId="0" applyFont="1" applyFill="1" applyBorder="1" applyAlignment="1">
      <alignment vertical="center"/>
    </xf>
    <xf numFmtId="0" fontId="104" fillId="23" borderId="25" xfId="0" applyFont="1" applyFill="1" applyBorder="1" applyAlignment="1">
      <alignment horizontal="center" vertical="center" wrapText="1"/>
    </xf>
    <xf numFmtId="3" fontId="3" fillId="23" borderId="16" xfId="1" applyNumberFormat="1" applyFont="1" applyFill="1" applyBorder="1" applyAlignment="1">
      <alignment vertical="center"/>
    </xf>
    <xf numFmtId="3" fontId="104" fillId="23" borderId="8" xfId="1" applyNumberFormat="1" applyFont="1" applyFill="1" applyBorder="1" applyAlignment="1">
      <alignment vertical="center"/>
    </xf>
    <xf numFmtId="0" fontId="104" fillId="23" borderId="8" xfId="0" applyFont="1" applyFill="1" applyBorder="1" applyAlignment="1">
      <alignment horizontal="center" vertical="center" wrapText="1"/>
    </xf>
    <xf numFmtId="0" fontId="104" fillId="23" borderId="12" xfId="0" applyFont="1" applyFill="1" applyBorder="1" applyAlignment="1">
      <alignment horizontal="center" vertical="center" wrapText="1"/>
    </xf>
    <xf numFmtId="0" fontId="104" fillId="23" borderId="8" xfId="0" applyFont="1" applyFill="1" applyBorder="1" applyAlignment="1">
      <alignment horizontal="center" vertical="center"/>
    </xf>
    <xf numFmtId="0" fontId="103" fillId="23" borderId="8" xfId="0" applyFont="1" applyFill="1" applyBorder="1" applyAlignment="1">
      <alignment vertical="center"/>
    </xf>
    <xf numFmtId="0" fontId="103" fillId="24" borderId="8" xfId="0" applyFont="1" applyFill="1" applyBorder="1" applyAlignment="1">
      <alignment horizontal="center" vertical="center" wrapText="1"/>
    </xf>
    <xf numFmtId="0" fontId="118" fillId="24" borderId="8" xfId="0" applyFont="1" applyFill="1" applyBorder="1" applyAlignment="1">
      <alignment horizontal="center" vertical="center"/>
    </xf>
    <xf numFmtId="0" fontId="118" fillId="24" borderId="8" xfId="0" applyFont="1" applyFill="1" applyBorder="1" applyAlignment="1">
      <alignment horizontal="center" vertical="center" wrapText="1"/>
    </xf>
    <xf numFmtId="0" fontId="42" fillId="24" borderId="18" xfId="0" applyFont="1" applyFill="1" applyBorder="1" applyAlignment="1">
      <alignment horizontal="center" vertical="center" wrapText="1"/>
    </xf>
    <xf numFmtId="0" fontId="118" fillId="24" borderId="12" xfId="0" applyFont="1" applyFill="1" applyBorder="1" applyAlignment="1">
      <alignment horizontal="center" vertical="center" wrapText="1"/>
    </xf>
    <xf numFmtId="0" fontId="118" fillId="23" borderId="8" xfId="0" applyFont="1" applyFill="1" applyBorder="1" applyAlignment="1">
      <alignment horizontal="center" vertical="center" wrapText="1"/>
    </xf>
    <xf numFmtId="0" fontId="118" fillId="23" borderId="8" xfId="0" applyFont="1" applyFill="1" applyBorder="1" applyAlignment="1">
      <alignment horizontal="center" vertical="center"/>
    </xf>
    <xf numFmtId="0" fontId="102" fillId="2" borderId="10" xfId="0" applyFont="1" applyFill="1" applyBorder="1" applyAlignment="1">
      <alignment horizontal="center" vertical="center" wrapText="1"/>
    </xf>
    <xf numFmtId="0" fontId="106" fillId="23" borderId="8" xfId="0" applyFont="1" applyFill="1" applyBorder="1" applyAlignment="1">
      <alignment horizontal="center" vertical="center"/>
    </xf>
    <xf numFmtId="3" fontId="106" fillId="23" borderId="8" xfId="1" applyNumberFormat="1" applyFont="1" applyFill="1" applyBorder="1" applyAlignment="1">
      <alignment vertical="center"/>
    </xf>
    <xf numFmtId="0" fontId="106" fillId="23" borderId="8" xfId="0" applyFont="1" applyFill="1" applyBorder="1" applyAlignment="1">
      <alignment horizontal="center" vertical="center" wrapText="1"/>
    </xf>
    <xf numFmtId="0" fontId="118" fillId="23" borderId="16" xfId="0" applyFont="1" applyFill="1" applyBorder="1" applyAlignment="1">
      <alignment horizontal="center" vertical="center"/>
    </xf>
    <xf numFmtId="0" fontId="102" fillId="23" borderId="8" xfId="0" applyFont="1" applyFill="1" applyBorder="1" applyAlignment="1">
      <alignment vertical="center"/>
    </xf>
    <xf numFmtId="0" fontId="106" fillId="23" borderId="25" xfId="0" applyFont="1" applyFill="1" applyBorder="1" applyAlignment="1">
      <alignment horizontal="center" vertical="center" wrapText="1"/>
    </xf>
    <xf numFmtId="0" fontId="106" fillId="23" borderId="18" xfId="0" applyFont="1" applyFill="1" applyBorder="1" applyAlignment="1">
      <alignment horizontal="center" vertical="center"/>
    </xf>
    <xf numFmtId="0" fontId="102" fillId="23" borderId="8" xfId="0" applyFont="1" applyFill="1" applyBorder="1" applyAlignment="1">
      <alignment horizontal="center" vertical="center" wrapText="1"/>
    </xf>
    <xf numFmtId="0" fontId="106" fillId="23" borderId="12" xfId="0" applyFont="1" applyFill="1" applyBorder="1" applyAlignment="1">
      <alignment horizontal="center" vertical="center" wrapText="1"/>
    </xf>
    <xf numFmtId="0" fontId="104" fillId="23" borderId="18" xfId="0" applyFont="1" applyFill="1" applyBorder="1" applyAlignment="1">
      <alignment horizontal="center" vertical="center"/>
    </xf>
    <xf numFmtId="164" fontId="106" fillId="24" borderId="8" xfId="1" applyNumberFormat="1" applyFont="1" applyFill="1" applyBorder="1" applyAlignment="1">
      <alignment vertical="center"/>
    </xf>
    <xf numFmtId="164" fontId="104" fillId="24" borderId="8" xfId="1" applyNumberFormat="1" applyFont="1" applyFill="1" applyBorder="1" applyAlignment="1">
      <alignment vertical="center"/>
    </xf>
    <xf numFmtId="164" fontId="104" fillId="24" borderId="12" xfId="1" applyNumberFormat="1" applyFont="1" applyFill="1" applyBorder="1" applyAlignment="1">
      <alignment vertical="center"/>
    </xf>
    <xf numFmtId="164" fontId="13" fillId="24" borderId="8" xfId="1" applyNumberFormat="1" applyFont="1" applyFill="1" applyBorder="1" applyAlignment="1">
      <alignment vertical="center"/>
    </xf>
    <xf numFmtId="164" fontId="3" fillId="24" borderId="18" xfId="1" applyNumberFormat="1" applyFont="1" applyFill="1" applyBorder="1" applyAlignment="1">
      <alignment vertical="center"/>
    </xf>
    <xf numFmtId="164" fontId="3" fillId="24" borderId="12" xfId="1" applyNumberFormat="1" applyFont="1" applyFill="1" applyBorder="1" applyAlignment="1">
      <alignment vertical="center"/>
    </xf>
    <xf numFmtId="164" fontId="104" fillId="24" borderId="16" xfId="1" applyNumberFormat="1" applyFont="1" applyFill="1" applyBorder="1" applyAlignment="1">
      <alignment vertical="center"/>
    </xf>
    <xf numFmtId="164" fontId="106" fillId="23" borderId="8" xfId="1" applyNumberFormat="1" applyFont="1" applyFill="1" applyBorder="1" applyAlignment="1">
      <alignment vertical="center"/>
    </xf>
    <xf numFmtId="164" fontId="3" fillId="23" borderId="8" xfId="1" applyNumberFormat="1" applyFont="1" applyFill="1" applyBorder="1" applyAlignment="1">
      <alignment vertical="center"/>
    </xf>
    <xf numFmtId="164" fontId="104" fillId="23" borderId="16" xfId="1" applyNumberFormat="1" applyFont="1" applyFill="1" applyBorder="1" applyAlignment="1">
      <alignment vertical="center"/>
    </xf>
    <xf numFmtId="164" fontId="104" fillId="23" borderId="18" xfId="1" applyNumberFormat="1" applyFont="1" applyFill="1" applyBorder="1" applyAlignment="1">
      <alignment vertical="center"/>
    </xf>
    <xf numFmtId="164" fontId="104" fillId="23" borderId="8" xfId="1" applyNumberFormat="1" applyFont="1" applyFill="1" applyBorder="1" applyAlignment="1">
      <alignment vertical="center"/>
    </xf>
    <xf numFmtId="164" fontId="13" fillId="23" borderId="8" xfId="1" applyNumberFormat="1" applyFont="1" applyFill="1" applyBorder="1" applyAlignment="1">
      <alignment vertical="center"/>
    </xf>
    <xf numFmtId="164" fontId="13" fillId="34" borderId="8" xfId="1" applyNumberFormat="1" applyFont="1" applyFill="1" applyBorder="1" applyAlignment="1">
      <alignment vertical="center"/>
    </xf>
    <xf numFmtId="164" fontId="3" fillId="35" borderId="8" xfId="1" applyNumberFormat="1" applyFont="1" applyFill="1" applyBorder="1" applyAlignment="1">
      <alignment horizontal="right" vertical="center"/>
    </xf>
    <xf numFmtId="164" fontId="115" fillId="0" borderId="11" xfId="1" applyNumberFormat="1" applyFont="1" applyBorder="1" applyAlignment="1">
      <alignment vertical="center" wrapText="1"/>
    </xf>
    <xf numFmtId="0" fontId="103" fillId="23" borderId="8" xfId="0" applyFont="1" applyFill="1" applyBorder="1" applyAlignment="1">
      <alignment horizontal="center" vertical="center" wrapText="1"/>
    </xf>
    <xf numFmtId="168" fontId="106" fillId="23" borderId="8" xfId="0" applyNumberFormat="1" applyFont="1" applyFill="1" applyBorder="1" applyAlignment="1">
      <alignment horizontal="center" vertical="center" wrapText="1"/>
    </xf>
    <xf numFmtId="164" fontId="13" fillId="23" borderId="16" xfId="0" applyNumberFormat="1" applyFont="1" applyFill="1" applyBorder="1" applyAlignment="1">
      <alignment vertical="center" wrapText="1"/>
    </xf>
    <xf numFmtId="0" fontId="116" fillId="23" borderId="8" xfId="0" applyFont="1" applyFill="1" applyBorder="1" applyAlignment="1">
      <alignment horizontal="center" vertical="center"/>
    </xf>
    <xf numFmtId="0" fontId="28" fillId="34" borderId="25" xfId="0" applyFont="1" applyFill="1" applyBorder="1" applyAlignment="1">
      <alignment vertical="center"/>
    </xf>
    <xf numFmtId="0" fontId="13" fillId="5" borderId="8" xfId="0" applyFont="1" applyFill="1" applyBorder="1" applyAlignment="1">
      <alignment horizontal="center" vertical="center"/>
    </xf>
    <xf numFmtId="0" fontId="13" fillId="5" borderId="8" xfId="0" applyFont="1" applyFill="1" applyBorder="1" applyAlignment="1">
      <alignment horizontal="center" vertical="center" wrapText="1"/>
    </xf>
    <xf numFmtId="0" fontId="13" fillId="5" borderId="0" xfId="0" applyFont="1" applyFill="1" applyAlignment="1">
      <alignment vertical="center"/>
    </xf>
    <xf numFmtId="0" fontId="121" fillId="0" borderId="0" xfId="0" applyFont="1"/>
    <xf numFmtId="0" fontId="122" fillId="2" borderId="8" xfId="0" applyFont="1" applyFill="1" applyBorder="1"/>
    <xf numFmtId="0" fontId="12" fillId="24" borderId="0" xfId="0" applyFont="1" applyFill="1" applyAlignment="1">
      <alignment horizontal="center" vertical="center"/>
    </xf>
    <xf numFmtId="0" fontId="12" fillId="23" borderId="0" xfId="0" applyFont="1" applyFill="1" applyAlignment="1">
      <alignment horizontal="center" vertical="center"/>
    </xf>
    <xf numFmtId="0" fontId="12" fillId="34" borderId="0" xfId="0" applyFont="1" applyFill="1" applyAlignment="1">
      <alignment horizontal="center" vertical="center"/>
    </xf>
    <xf numFmtId="0" fontId="12" fillId="35" borderId="0" xfId="0" applyFont="1" applyFill="1" applyAlignment="1">
      <alignment horizontal="center" vertical="center"/>
    </xf>
    <xf numFmtId="0" fontId="104" fillId="23" borderId="12" xfId="0" applyFont="1" applyFill="1" applyBorder="1" applyAlignment="1">
      <alignment horizontal="left" vertical="center" wrapText="1"/>
    </xf>
    <xf numFmtId="164" fontId="104" fillId="23" borderId="12" xfId="1" applyNumberFormat="1" applyFont="1" applyFill="1" applyBorder="1" applyAlignment="1">
      <alignment vertical="center"/>
    </xf>
    <xf numFmtId="14" fontId="104" fillId="23" borderId="8" xfId="0" applyNumberFormat="1" applyFont="1" applyFill="1" applyBorder="1" applyAlignment="1">
      <alignment horizontal="center" vertical="center" wrapText="1"/>
    </xf>
    <xf numFmtId="0" fontId="115" fillId="23" borderId="8" xfId="0" applyFont="1" applyFill="1" applyBorder="1" applyAlignment="1">
      <alignment vertical="center" wrapText="1"/>
    </xf>
    <xf numFmtId="0" fontId="102" fillId="23" borderId="8" xfId="0" applyFont="1" applyFill="1" applyBorder="1" applyAlignment="1">
      <alignment vertical="center" wrapText="1"/>
    </xf>
    <xf numFmtId="164" fontId="3" fillId="23" borderId="10" xfId="1" applyNumberFormat="1" applyFont="1" applyFill="1" applyBorder="1" applyAlignment="1">
      <alignment vertical="center"/>
    </xf>
    <xf numFmtId="164" fontId="16" fillId="23" borderId="8" xfId="1" applyNumberFormat="1" applyFont="1" applyFill="1" applyBorder="1" applyAlignment="1">
      <alignment vertical="center"/>
    </xf>
    <xf numFmtId="164" fontId="15" fillId="23" borderId="10" xfId="1" applyNumberFormat="1" applyFont="1" applyFill="1" applyBorder="1" applyAlignment="1">
      <alignment vertical="center"/>
    </xf>
    <xf numFmtId="3" fontId="106" fillId="23" borderId="8" xfId="1" applyNumberFormat="1" applyFont="1" applyFill="1" applyBorder="1" applyAlignment="1">
      <alignment horizontal="center" vertical="center" wrapText="1"/>
    </xf>
    <xf numFmtId="14" fontId="106" fillId="23" borderId="8" xfId="0" applyNumberFormat="1" applyFont="1" applyFill="1" applyBorder="1" applyAlignment="1">
      <alignment horizontal="center" vertical="center" wrapText="1"/>
    </xf>
    <xf numFmtId="3" fontId="9" fillId="23" borderId="8" xfId="1" applyNumberFormat="1" applyFont="1" applyFill="1" applyBorder="1" applyAlignment="1">
      <alignment vertical="center"/>
    </xf>
    <xf numFmtId="164" fontId="9" fillId="23" borderId="8" xfId="1" applyNumberFormat="1" applyFont="1" applyFill="1" applyBorder="1" applyAlignment="1">
      <alignment vertical="center"/>
    </xf>
    <xf numFmtId="0" fontId="104" fillId="23" borderId="10" xfId="0" applyFont="1" applyFill="1" applyBorder="1" applyAlignment="1">
      <alignment horizontal="center" vertical="center" wrapText="1"/>
    </xf>
    <xf numFmtId="0" fontId="106" fillId="23" borderId="10" xfId="0" applyFont="1" applyFill="1" applyBorder="1" applyAlignment="1">
      <alignment horizontal="center" vertical="center" wrapText="1"/>
    </xf>
    <xf numFmtId="0" fontId="13" fillId="37" borderId="8" xfId="0" applyFont="1" applyFill="1" applyBorder="1" applyAlignment="1">
      <alignment horizontal="center" vertical="center" wrapText="1"/>
    </xf>
    <xf numFmtId="43" fontId="13" fillId="37" borderId="8" xfId="1" applyFont="1" applyFill="1" applyBorder="1" applyAlignment="1">
      <alignment horizontal="center" vertical="center" wrapText="1"/>
    </xf>
    <xf numFmtId="164" fontId="97" fillId="0" borderId="5" xfId="1" applyNumberFormat="1" applyFont="1" applyFill="1" applyBorder="1"/>
    <xf numFmtId="16" fontId="106" fillId="23" borderId="8" xfId="0" quotePrefix="1" applyNumberFormat="1" applyFont="1" applyFill="1" applyBorder="1" applyAlignment="1">
      <alignment horizontal="center" vertical="center" wrapText="1"/>
    </xf>
    <xf numFmtId="3" fontId="13" fillId="23" borderId="12" xfId="1" applyNumberFormat="1" applyFont="1" applyFill="1" applyBorder="1" applyAlignment="1">
      <alignment vertical="center"/>
    </xf>
    <xf numFmtId="164" fontId="13" fillId="23" borderId="12" xfId="1" applyNumberFormat="1" applyFont="1" applyFill="1" applyBorder="1" applyAlignment="1">
      <alignment vertical="center"/>
    </xf>
    <xf numFmtId="3" fontId="3" fillId="23" borderId="12" xfId="1" applyNumberFormat="1" applyFont="1" applyFill="1" applyBorder="1" applyAlignment="1">
      <alignment vertical="center"/>
    </xf>
    <xf numFmtId="164" fontId="3" fillId="23" borderId="12" xfId="1" applyNumberFormat="1" applyFont="1" applyFill="1" applyBorder="1" applyAlignment="1">
      <alignment vertical="center"/>
    </xf>
    <xf numFmtId="168" fontId="103" fillId="23" borderId="8" xfId="1" applyNumberFormat="1" applyFont="1" applyFill="1" applyBorder="1" applyAlignment="1">
      <alignment horizontal="left" vertical="center" wrapText="1"/>
    </xf>
    <xf numFmtId="164" fontId="13" fillId="23" borderId="8" xfId="0" applyNumberFormat="1" applyFont="1" applyFill="1" applyBorder="1" applyAlignment="1">
      <alignment vertical="center" wrapText="1"/>
    </xf>
    <xf numFmtId="168" fontId="104" fillId="23" borderId="8" xfId="1" applyNumberFormat="1" applyFont="1" applyFill="1" applyBorder="1" applyAlignment="1">
      <alignment horizontal="left" vertical="center" wrapText="1"/>
    </xf>
    <xf numFmtId="0" fontId="103" fillId="23" borderId="8" xfId="0" applyFont="1" applyFill="1" applyBorder="1" applyAlignment="1">
      <alignment horizontal="left" vertical="center" wrapText="1"/>
    </xf>
    <xf numFmtId="164" fontId="3" fillId="23" borderId="16" xfId="0" applyNumberFormat="1" applyFont="1" applyFill="1" applyBorder="1" applyAlignment="1">
      <alignment vertical="center" wrapText="1"/>
    </xf>
    <xf numFmtId="164" fontId="104" fillId="23" borderId="10" xfId="1" applyNumberFormat="1" applyFont="1" applyFill="1" applyBorder="1" applyAlignment="1">
      <alignment vertical="center"/>
    </xf>
    <xf numFmtId="43" fontId="109" fillId="0" borderId="0" xfId="0" applyNumberFormat="1" applyFont="1"/>
    <xf numFmtId="164" fontId="104" fillId="2" borderId="16" xfId="1" applyNumberFormat="1" applyFont="1" applyFill="1" applyBorder="1" applyAlignment="1">
      <alignment vertical="center"/>
    </xf>
    <xf numFmtId="164" fontId="104" fillId="2" borderId="8" xfId="1" applyNumberFormat="1" applyFont="1" applyFill="1" applyBorder="1" applyAlignment="1">
      <alignment vertical="center"/>
    </xf>
    <xf numFmtId="164" fontId="9" fillId="2" borderId="8" xfId="1" applyNumberFormat="1" applyFont="1" applyFill="1" applyBorder="1" applyAlignment="1">
      <alignment vertical="center"/>
    </xf>
    <xf numFmtId="0" fontId="100" fillId="23" borderId="25" xfId="0" applyFont="1" applyFill="1" applyBorder="1" applyAlignment="1">
      <alignment horizontal="center" vertical="center" wrapText="1"/>
    </xf>
    <xf numFmtId="0" fontId="101" fillId="23" borderId="25" xfId="0" applyFont="1" applyFill="1" applyBorder="1" applyAlignment="1">
      <alignment horizontal="center" vertical="center" wrapText="1"/>
    </xf>
    <xf numFmtId="164" fontId="15" fillId="23" borderId="8" xfId="1" applyNumberFormat="1" applyFont="1" applyFill="1" applyBorder="1" applyAlignment="1">
      <alignment vertical="center"/>
    </xf>
    <xf numFmtId="0" fontId="101" fillId="23" borderId="8" xfId="0" applyFont="1" applyFill="1" applyBorder="1" applyAlignment="1">
      <alignment horizontal="left" vertical="center" wrapText="1"/>
    </xf>
    <xf numFmtId="164" fontId="101" fillId="23" borderId="10" xfId="1" applyNumberFormat="1" applyFont="1" applyFill="1" applyBorder="1" applyAlignment="1">
      <alignment vertical="center"/>
    </xf>
    <xf numFmtId="0" fontId="106" fillId="5" borderId="8" xfId="0" applyFont="1" applyFill="1" applyBorder="1" applyAlignment="1">
      <alignment horizontal="center" vertical="center" wrapText="1"/>
    </xf>
    <xf numFmtId="0" fontId="9" fillId="23" borderId="16" xfId="0" applyFont="1" applyFill="1" applyBorder="1" applyAlignment="1">
      <alignment horizontal="center" vertical="center"/>
    </xf>
    <xf numFmtId="14" fontId="13" fillId="23" borderId="8" xfId="0" applyNumberFormat="1" applyFont="1" applyFill="1" applyBorder="1" applyAlignment="1">
      <alignment horizontal="center" vertical="center" wrapText="1"/>
    </xf>
    <xf numFmtId="10" fontId="97" fillId="0" borderId="0" xfId="0" applyNumberFormat="1" applyFont="1"/>
    <xf numFmtId="10" fontId="98" fillId="0" borderId="0" xfId="0" applyNumberFormat="1" applyFont="1"/>
    <xf numFmtId="164" fontId="3" fillId="23" borderId="16" xfId="1" applyNumberFormat="1" applyFont="1" applyFill="1" applyBorder="1" applyAlignment="1">
      <alignment vertical="center"/>
    </xf>
    <xf numFmtId="0" fontId="104" fillId="23" borderId="25" xfId="0" applyFont="1" applyFill="1" applyBorder="1" applyAlignment="1">
      <alignment horizontal="left" vertical="center" wrapText="1"/>
    </xf>
    <xf numFmtId="164" fontId="104" fillId="23" borderId="25" xfId="0" applyNumberFormat="1" applyFont="1" applyFill="1" applyBorder="1" applyAlignment="1">
      <alignment horizontal="right" vertical="center" wrapText="1"/>
    </xf>
    <xf numFmtId="3" fontId="100" fillId="23" borderId="8" xfId="1" applyNumberFormat="1" applyFont="1" applyFill="1" applyBorder="1" applyAlignment="1">
      <alignment vertical="center"/>
    </xf>
    <xf numFmtId="0" fontId="100" fillId="23" borderId="8" xfId="0" applyFont="1" applyFill="1" applyBorder="1" applyAlignment="1">
      <alignment horizontal="center" vertical="center" wrapText="1"/>
    </xf>
    <xf numFmtId="164" fontId="106" fillId="23" borderId="10" xfId="1" applyNumberFormat="1" applyFont="1" applyFill="1" applyBorder="1" applyAlignment="1">
      <alignment vertical="center"/>
    </xf>
    <xf numFmtId="0" fontId="9" fillId="23" borderId="0" xfId="0" applyFont="1" applyFill="1" applyAlignment="1">
      <alignment vertical="center"/>
    </xf>
    <xf numFmtId="0" fontId="125" fillId="23" borderId="0" xfId="0" applyFont="1" applyFill="1"/>
    <xf numFmtId="0" fontId="74" fillId="34" borderId="8" xfId="0" applyFont="1" applyFill="1" applyBorder="1" applyAlignment="1">
      <alignment horizontal="center" vertical="center"/>
    </xf>
    <xf numFmtId="0" fontId="74" fillId="34" borderId="8" xfId="0" applyFont="1" applyFill="1" applyBorder="1" applyAlignment="1">
      <alignment horizontal="center" vertical="center" wrapText="1"/>
    </xf>
    <xf numFmtId="0" fontId="74" fillId="35" borderId="8" xfId="0" applyFont="1" applyFill="1" applyBorder="1" applyAlignment="1">
      <alignment horizontal="center" vertical="center" wrapText="1"/>
    </xf>
    <xf numFmtId="0" fontId="13" fillId="24" borderId="18" xfId="0" applyFont="1" applyFill="1" applyBorder="1" applyAlignment="1">
      <alignment horizontal="center" vertical="center" wrapText="1"/>
    </xf>
    <xf numFmtId="0" fontId="13" fillId="24" borderId="12" xfId="0" applyFont="1" applyFill="1" applyBorder="1" applyAlignment="1">
      <alignment horizontal="center" vertical="center" wrapText="1"/>
    </xf>
    <xf numFmtId="16" fontId="13" fillId="34" borderId="8" xfId="0" applyNumberFormat="1" applyFont="1" applyFill="1" applyBorder="1" applyAlignment="1">
      <alignment horizontal="center" vertical="center" wrapText="1"/>
    </xf>
    <xf numFmtId="14" fontId="13" fillId="34" borderId="8" xfId="0" applyNumberFormat="1" applyFont="1" applyFill="1" applyBorder="1" applyAlignment="1">
      <alignment horizontal="center" vertical="center" wrapText="1"/>
    </xf>
    <xf numFmtId="0" fontId="13" fillId="35" borderId="8" xfId="0" applyFont="1" applyFill="1" applyBorder="1" applyAlignment="1">
      <alignment horizontal="center" vertical="center" wrapText="1"/>
    </xf>
    <xf numFmtId="0" fontId="13" fillId="0" borderId="0" xfId="0" applyFont="1" applyAlignment="1">
      <alignment horizontal="center" vertical="center" wrapText="1"/>
    </xf>
    <xf numFmtId="0" fontId="102" fillId="2" borderId="8" xfId="0" applyFont="1" applyFill="1" applyBorder="1" applyAlignment="1">
      <alignment horizontal="center" vertical="center" wrapText="1"/>
    </xf>
    <xf numFmtId="0" fontId="103" fillId="34" borderId="8" xfId="0" applyFont="1" applyFill="1" applyBorder="1" applyAlignment="1">
      <alignment horizontal="center" vertical="center" wrapText="1"/>
    </xf>
    <xf numFmtId="0" fontId="12" fillId="35" borderId="8" xfId="0" applyFont="1" applyFill="1" applyBorder="1" applyAlignment="1">
      <alignment horizontal="center" vertical="center" wrapText="1"/>
    </xf>
    <xf numFmtId="0" fontId="12" fillId="0" borderId="0" xfId="0" applyFont="1" applyAlignment="1">
      <alignment vertical="center" wrapText="1"/>
    </xf>
    <xf numFmtId="0" fontId="102" fillId="23" borderId="8" xfId="0" applyFont="1" applyFill="1" applyBorder="1" applyAlignment="1">
      <alignment horizontal="left" vertical="center" wrapText="1"/>
    </xf>
    <xf numFmtId="3" fontId="102" fillId="23" borderId="8" xfId="1" applyNumberFormat="1" applyFont="1" applyFill="1" applyBorder="1" applyAlignment="1">
      <alignment vertical="center"/>
    </xf>
    <xf numFmtId="0" fontId="103" fillId="23" borderId="8" xfId="0" applyFont="1" applyFill="1" applyBorder="1" applyAlignment="1">
      <alignment vertical="center" wrapText="1"/>
    </xf>
    <xf numFmtId="0" fontId="101" fillId="23" borderId="8" xfId="0" applyFont="1" applyFill="1" applyBorder="1" applyAlignment="1">
      <alignment horizontal="center" vertical="center" wrapText="1"/>
    </xf>
    <xf numFmtId="0" fontId="104" fillId="23" borderId="16" xfId="0" applyFont="1" applyFill="1" applyBorder="1" applyAlignment="1">
      <alignment horizontal="center" vertical="center"/>
    </xf>
    <xf numFmtId="164" fontId="3" fillId="23" borderId="18" xfId="1" applyNumberFormat="1" applyFont="1" applyFill="1" applyBorder="1" applyAlignment="1">
      <alignment vertical="center"/>
    </xf>
    <xf numFmtId="0" fontId="106" fillId="23" borderId="16" xfId="0" applyFont="1" applyFill="1" applyBorder="1" applyAlignment="1">
      <alignment horizontal="center" vertical="center"/>
    </xf>
    <xf numFmtId="164" fontId="103" fillId="23" borderId="8" xfId="1" applyNumberFormat="1" applyFont="1" applyFill="1" applyBorder="1" applyAlignment="1">
      <alignment vertical="center"/>
    </xf>
    <xf numFmtId="164" fontId="109" fillId="0" borderId="5" xfId="1" applyNumberFormat="1" applyFont="1" applyBorder="1"/>
    <xf numFmtId="14" fontId="15" fillId="23" borderId="16" xfId="0" applyNumberFormat="1" applyFont="1" applyFill="1" applyBorder="1" applyAlignment="1">
      <alignment horizontal="center" vertical="center" wrapText="1"/>
    </xf>
    <xf numFmtId="3" fontId="104" fillId="23" borderId="12" xfId="1" applyNumberFormat="1" applyFont="1" applyFill="1" applyBorder="1" applyAlignment="1">
      <alignment vertical="center"/>
    </xf>
    <xf numFmtId="0" fontId="104" fillId="23" borderId="17" xfId="0" applyFont="1" applyFill="1" applyBorder="1" applyAlignment="1">
      <alignment horizontal="center" vertical="center"/>
    </xf>
    <xf numFmtId="0" fontId="104" fillId="23" borderId="18" xfId="0" applyFont="1" applyFill="1" applyBorder="1" applyAlignment="1">
      <alignment horizontal="left" vertical="center" wrapText="1"/>
    </xf>
    <xf numFmtId="164" fontId="13" fillId="23" borderId="18" xfId="1" applyNumberFormat="1" applyFont="1" applyFill="1" applyBorder="1" applyAlignment="1">
      <alignment vertical="center"/>
    </xf>
    <xf numFmtId="164" fontId="3" fillId="23" borderId="8" xfId="0" applyNumberFormat="1" applyFont="1" applyFill="1" applyBorder="1" applyAlignment="1">
      <alignment vertical="center" wrapText="1"/>
    </xf>
    <xf numFmtId="0" fontId="102" fillId="2" borderId="25" xfId="0" applyFont="1" applyFill="1" applyBorder="1" applyAlignment="1">
      <alignment horizontal="center" vertical="center"/>
    </xf>
    <xf numFmtId="0" fontId="106" fillId="2" borderId="12" xfId="0" applyFont="1" applyFill="1" applyBorder="1" applyAlignment="1">
      <alignment horizontal="center" vertical="center" wrapText="1"/>
    </xf>
    <xf numFmtId="0" fontId="106" fillId="2" borderId="12" xfId="0" applyFont="1" applyFill="1" applyBorder="1" applyAlignment="1">
      <alignment horizontal="center" vertical="center"/>
    </xf>
    <xf numFmtId="0" fontId="13" fillId="37" borderId="12" xfId="0" applyFont="1" applyFill="1" applyBorder="1" applyAlignment="1">
      <alignment horizontal="center" vertical="center" wrapText="1"/>
    </xf>
    <xf numFmtId="0" fontId="104" fillId="37" borderId="12" xfId="0" applyFont="1" applyFill="1" applyBorder="1" applyAlignment="1">
      <alignment horizontal="center" vertical="center" wrapText="1"/>
    </xf>
    <xf numFmtId="43" fontId="13" fillId="37" borderId="12" xfId="1" applyFont="1" applyFill="1" applyBorder="1" applyAlignment="1">
      <alignment horizontal="center" vertical="center" wrapText="1"/>
    </xf>
    <xf numFmtId="0" fontId="106" fillId="2" borderId="17" xfId="0" applyFont="1" applyFill="1" applyBorder="1" applyAlignment="1">
      <alignment horizontal="center" vertical="center" wrapText="1"/>
    </xf>
    <xf numFmtId="0" fontId="102" fillId="2" borderId="17" xfId="0" applyFont="1" applyFill="1" applyBorder="1" applyAlignment="1">
      <alignment horizontal="center" vertical="center" wrapText="1"/>
    </xf>
    <xf numFmtId="0" fontId="102" fillId="2" borderId="12" xfId="0" applyFont="1" applyFill="1" applyBorder="1" applyAlignment="1">
      <alignment horizontal="center" vertical="center"/>
    </xf>
    <xf numFmtId="9" fontId="97" fillId="0" borderId="5" xfId="0" applyNumberFormat="1" applyFont="1" applyBorder="1"/>
    <xf numFmtId="164" fontId="130" fillId="5" borderId="5" xfId="0" applyNumberFormat="1" applyFont="1" applyFill="1" applyBorder="1" applyAlignment="1">
      <alignment horizontal="center"/>
    </xf>
    <xf numFmtId="49" fontId="12" fillId="0" borderId="16" xfId="0" applyNumberFormat="1" applyFont="1" applyBorder="1" applyAlignment="1">
      <alignment horizontal="center" vertical="center"/>
    </xf>
    <xf numFmtId="49" fontId="12" fillId="0" borderId="8" xfId="0" applyNumberFormat="1" applyFont="1" applyBorder="1" applyAlignment="1">
      <alignment horizontal="center" vertical="center"/>
    </xf>
    <xf numFmtId="49" fontId="12" fillId="0" borderId="0" xfId="0" applyNumberFormat="1" applyFont="1" applyAlignment="1">
      <alignment horizontal="center" vertical="center"/>
    </xf>
    <xf numFmtId="0" fontId="104" fillId="23" borderId="0" xfId="0" applyFont="1" applyFill="1" applyAlignment="1">
      <alignment vertical="center" wrapText="1"/>
    </xf>
    <xf numFmtId="0" fontId="116" fillId="23" borderId="8" xfId="0" applyFont="1" applyFill="1" applyBorder="1" applyAlignment="1">
      <alignment vertical="center"/>
    </xf>
    <xf numFmtId="3" fontId="106" fillId="23" borderId="18" xfId="1" applyNumberFormat="1" applyFont="1" applyFill="1" applyBorder="1" applyAlignment="1">
      <alignment vertical="center"/>
    </xf>
    <xf numFmtId="0" fontId="106" fillId="23" borderId="18" xfId="0" applyFont="1" applyFill="1" applyBorder="1" applyAlignment="1">
      <alignment horizontal="center" vertical="center" wrapText="1"/>
    </xf>
    <xf numFmtId="0" fontId="106" fillId="23" borderId="19" xfId="0" applyFont="1" applyFill="1" applyBorder="1" applyAlignment="1">
      <alignment horizontal="center" vertical="center"/>
    </xf>
    <xf numFmtId="0" fontId="106" fillId="23" borderId="20" xfId="0" applyFont="1" applyFill="1" applyBorder="1" applyAlignment="1">
      <alignment horizontal="center" vertical="center" wrapText="1"/>
    </xf>
    <xf numFmtId="0" fontId="127" fillId="23" borderId="8" xfId="0" applyFont="1" applyFill="1" applyBorder="1" applyAlignment="1">
      <alignment horizontal="center" vertical="center" wrapText="1"/>
    </xf>
    <xf numFmtId="0" fontId="117" fillId="23" borderId="8" xfId="0" applyFont="1" applyFill="1" applyBorder="1" applyAlignment="1">
      <alignment vertical="center"/>
    </xf>
    <xf numFmtId="0" fontId="104" fillId="23" borderId="18" xfId="0" applyFont="1" applyFill="1" applyBorder="1" applyAlignment="1">
      <alignment horizontal="center" vertical="center" wrapText="1"/>
    </xf>
    <xf numFmtId="0" fontId="113" fillId="23" borderId="8" xfId="0" applyFont="1" applyFill="1" applyBorder="1" applyAlignment="1">
      <alignment horizontal="center" vertical="center" wrapText="1"/>
    </xf>
    <xf numFmtId="3" fontId="15" fillId="23" borderId="8" xfId="1" applyNumberFormat="1" applyFont="1" applyFill="1" applyBorder="1" applyAlignment="1">
      <alignment horizontal="center" vertical="center"/>
    </xf>
    <xf numFmtId="0" fontId="126" fillId="23" borderId="8" xfId="0" applyFont="1" applyFill="1" applyBorder="1" applyAlignment="1">
      <alignment vertical="center"/>
    </xf>
    <xf numFmtId="3" fontId="101" fillId="23" borderId="12" xfId="1" applyNumberFormat="1" applyFont="1" applyFill="1" applyBorder="1" applyAlignment="1">
      <alignment vertical="center"/>
    </xf>
    <xf numFmtId="0" fontId="100" fillId="23" borderId="12" xfId="0" applyFont="1" applyFill="1" applyBorder="1" applyAlignment="1">
      <alignment horizontal="center" vertical="center" wrapText="1"/>
    </xf>
    <xf numFmtId="0" fontId="104" fillId="23" borderId="12" xfId="0" applyFont="1" applyFill="1" applyBorder="1" applyAlignment="1">
      <alignment horizontal="center" vertical="center"/>
    </xf>
    <xf numFmtId="0" fontId="101" fillId="23" borderId="12" xfId="0" applyFont="1" applyFill="1" applyBorder="1" applyAlignment="1">
      <alignment horizontal="center" vertical="center" wrapText="1"/>
    </xf>
    <xf numFmtId="164" fontId="101" fillId="23" borderId="8" xfId="1" applyNumberFormat="1" applyFont="1" applyFill="1" applyBorder="1" applyAlignment="1">
      <alignment vertical="center"/>
    </xf>
    <xf numFmtId="0" fontId="103" fillId="23" borderId="12" xfId="0" applyFont="1" applyFill="1" applyBorder="1" applyAlignment="1">
      <alignment horizontal="center" vertical="center" wrapText="1"/>
    </xf>
    <xf numFmtId="0" fontId="103" fillId="23" borderId="12" xfId="0" applyFont="1" applyFill="1" applyBorder="1" applyAlignment="1">
      <alignment horizontal="left" vertical="center" wrapText="1"/>
    </xf>
    <xf numFmtId="0" fontId="116" fillId="23" borderId="12" xfId="0" applyFont="1" applyFill="1" applyBorder="1" applyAlignment="1">
      <alignment vertical="center"/>
    </xf>
    <xf numFmtId="0" fontId="124" fillId="23" borderId="12" xfId="0" applyFont="1" applyFill="1" applyBorder="1" applyAlignment="1">
      <alignment vertical="center"/>
    </xf>
    <xf numFmtId="0" fontId="106" fillId="23" borderId="12" xfId="0" applyFont="1" applyFill="1" applyBorder="1" applyAlignment="1">
      <alignment horizontal="center" vertical="center"/>
    </xf>
    <xf numFmtId="3" fontId="13" fillId="0" borderId="8" xfId="1" applyNumberFormat="1" applyFont="1" applyFill="1" applyBorder="1" applyAlignment="1">
      <alignment horizontal="right" vertical="center"/>
    </xf>
    <xf numFmtId="168" fontId="104" fillId="0" borderId="8" xfId="1" applyNumberFormat="1" applyFont="1" applyBorder="1" applyAlignment="1">
      <alignment horizontal="right" vertical="center"/>
    </xf>
    <xf numFmtId="3" fontId="12" fillId="0" borderId="8" xfId="1" applyNumberFormat="1" applyFont="1" applyBorder="1" applyAlignment="1">
      <alignment horizontal="right" vertical="center"/>
    </xf>
    <xf numFmtId="9" fontId="97" fillId="0" borderId="0" xfId="0" applyNumberFormat="1" applyFont="1"/>
    <xf numFmtId="164" fontId="98" fillId="0" borderId="0" xfId="0" applyNumberFormat="1" applyFont="1" applyAlignment="1">
      <alignment horizontal="right" vertical="center"/>
    </xf>
    <xf numFmtId="164" fontId="130" fillId="0" borderId="0" xfId="0" applyNumberFormat="1" applyFont="1" applyAlignment="1">
      <alignment horizontal="right" vertical="center"/>
    </xf>
    <xf numFmtId="164" fontId="102" fillId="23" borderId="8" xfId="1" applyNumberFormat="1" applyFont="1" applyFill="1" applyBorder="1" applyAlignment="1">
      <alignment vertical="center"/>
    </xf>
    <xf numFmtId="0" fontId="104" fillId="3" borderId="8" xfId="0" applyFont="1" applyFill="1" applyBorder="1" applyAlignment="1">
      <alignment horizontal="center" vertical="center" wrapText="1"/>
    </xf>
    <xf numFmtId="0" fontId="106" fillId="3" borderId="8" xfId="0" applyFont="1" applyFill="1" applyBorder="1" applyAlignment="1">
      <alignment horizontal="center" vertical="center"/>
    </xf>
    <xf numFmtId="0" fontId="104" fillId="3" borderId="8" xfId="0" applyFont="1" applyFill="1" applyBorder="1" applyAlignment="1">
      <alignment horizontal="center" vertical="center"/>
    </xf>
    <xf numFmtId="0" fontId="104" fillId="3" borderId="8" xfId="0" applyFont="1" applyFill="1" applyBorder="1" applyAlignment="1">
      <alignment horizontal="left" vertical="center"/>
    </xf>
    <xf numFmtId="168" fontId="104" fillId="3" borderId="8" xfId="1" applyNumberFormat="1" applyFont="1" applyFill="1" applyBorder="1" applyAlignment="1">
      <alignment horizontal="right" vertical="center"/>
    </xf>
    <xf numFmtId="0" fontId="103" fillId="3" borderId="8" xfId="0" applyFont="1" applyFill="1" applyBorder="1" applyAlignment="1">
      <alignment horizontal="left" vertical="center"/>
    </xf>
    <xf numFmtId="0" fontId="3" fillId="3" borderId="8" xfId="0" applyFont="1" applyFill="1" applyBorder="1" applyAlignment="1">
      <alignment vertical="center"/>
    </xf>
    <xf numFmtId="0" fontId="106" fillId="3" borderId="8" xfId="0" applyFont="1" applyFill="1" applyBorder="1" applyAlignment="1">
      <alignment horizontal="center" vertical="center" wrapText="1"/>
    </xf>
    <xf numFmtId="168" fontId="106" fillId="3" borderId="8" xfId="1" applyNumberFormat="1" applyFont="1" applyFill="1" applyBorder="1" applyAlignment="1">
      <alignment horizontal="right" vertical="center"/>
    </xf>
    <xf numFmtId="0" fontId="105" fillId="3" borderId="8" xfId="0" applyFont="1" applyFill="1" applyBorder="1" applyAlignment="1">
      <alignment horizontal="center" vertical="center" wrapText="1"/>
    </xf>
    <xf numFmtId="0" fontId="102" fillId="3" borderId="8" xfId="0" applyFont="1" applyFill="1" applyBorder="1" applyAlignment="1">
      <alignment horizontal="left" vertical="center"/>
    </xf>
    <xf numFmtId="0" fontId="13" fillId="3" borderId="8" xfId="0" applyFont="1" applyFill="1" applyBorder="1" applyAlignment="1">
      <alignment vertical="center"/>
    </xf>
    <xf numFmtId="0" fontId="116" fillId="23" borderId="10" xfId="0" applyFont="1" applyFill="1" applyBorder="1" applyAlignment="1">
      <alignment vertical="center"/>
    </xf>
    <xf numFmtId="0" fontId="127" fillId="23" borderId="8" xfId="0" applyFont="1" applyFill="1" applyBorder="1" applyAlignment="1">
      <alignment horizontal="left" vertical="center" wrapText="1"/>
    </xf>
    <xf numFmtId="0" fontId="102" fillId="23" borderId="12" xfId="0" applyFont="1" applyFill="1" applyBorder="1" applyAlignment="1">
      <alignment horizontal="center" vertical="center" wrapText="1"/>
    </xf>
    <xf numFmtId="0" fontId="105" fillId="23" borderId="12" xfId="0" applyFont="1" applyFill="1" applyBorder="1" applyAlignment="1">
      <alignment horizontal="center" vertical="center" wrapText="1"/>
    </xf>
    <xf numFmtId="0" fontId="106" fillId="23" borderId="16" xfId="0" applyFont="1" applyFill="1" applyBorder="1" applyAlignment="1">
      <alignment horizontal="center" vertical="center" wrapText="1"/>
    </xf>
    <xf numFmtId="0" fontId="126" fillId="23" borderId="22" xfId="0" applyFont="1" applyFill="1" applyBorder="1" applyAlignment="1">
      <alignment horizontal="center" vertical="center"/>
    </xf>
    <xf numFmtId="14" fontId="16" fillId="23" borderId="8" xfId="0" applyNumberFormat="1" applyFont="1" applyFill="1" applyBorder="1" applyAlignment="1">
      <alignment horizontal="center" vertical="center" wrapText="1"/>
    </xf>
    <xf numFmtId="0" fontId="101" fillId="23" borderId="12" xfId="0" applyFont="1" applyFill="1" applyBorder="1" applyAlignment="1">
      <alignment horizontal="left" vertical="center" wrapText="1"/>
    </xf>
    <xf numFmtId="0" fontId="16" fillId="23" borderId="16" xfId="0" applyFont="1" applyFill="1" applyBorder="1" applyAlignment="1">
      <alignment horizontal="center" vertical="center"/>
    </xf>
    <xf numFmtId="0" fontId="106" fillId="23" borderId="12" xfId="0" applyFont="1" applyFill="1" applyBorder="1" applyAlignment="1">
      <alignment horizontal="left" vertical="center" wrapText="1"/>
    </xf>
    <xf numFmtId="168" fontId="13" fillId="23" borderId="8" xfId="1" applyNumberFormat="1" applyFont="1" applyFill="1" applyBorder="1" applyAlignment="1">
      <alignment horizontal="left" vertical="center" wrapText="1"/>
    </xf>
    <xf numFmtId="0" fontId="3" fillId="34" borderId="8" xfId="0" applyFont="1" applyFill="1" applyBorder="1" applyAlignment="1">
      <alignment horizontal="left" vertical="center" wrapText="1"/>
    </xf>
    <xf numFmtId="0" fontId="3" fillId="35" borderId="8" xfId="0" applyFont="1" applyFill="1" applyBorder="1" applyAlignment="1">
      <alignment horizontal="left" vertical="center" wrapText="1"/>
    </xf>
    <xf numFmtId="168" fontId="3" fillId="23" borderId="8" xfId="1" applyNumberFormat="1" applyFont="1" applyFill="1" applyBorder="1" applyAlignment="1">
      <alignment horizontal="left" vertical="center" wrapText="1"/>
    </xf>
    <xf numFmtId="0" fontId="123" fillId="23" borderId="0" xfId="0" applyFont="1" applyFill="1" applyAlignment="1">
      <alignment vertical="center" wrapText="1"/>
    </xf>
    <xf numFmtId="0" fontId="106" fillId="37" borderId="8" xfId="0" applyFont="1" applyFill="1" applyBorder="1" applyAlignment="1">
      <alignment horizontal="center" vertical="center" wrapText="1"/>
    </xf>
    <xf numFmtId="0" fontId="16" fillId="0" borderId="8" xfId="0" applyFont="1" applyBorder="1" applyAlignment="1">
      <alignment horizontal="center" vertical="center" wrapText="1"/>
    </xf>
    <xf numFmtId="0" fontId="13" fillId="3" borderId="0" xfId="0" applyFont="1" applyFill="1" applyAlignment="1">
      <alignment vertical="center"/>
    </xf>
    <xf numFmtId="164" fontId="109" fillId="0" borderId="0" xfId="0" applyNumberFormat="1" applyFont="1"/>
    <xf numFmtId="0" fontId="131" fillId="0" borderId="8" xfId="0" applyFont="1" applyBorder="1" applyAlignment="1">
      <alignment horizontal="left" vertical="center"/>
    </xf>
    <xf numFmtId="0" fontId="117" fillId="23" borderId="22" xfId="0" applyFont="1" applyFill="1" applyBorder="1" applyAlignment="1">
      <alignment horizontal="center" vertical="center"/>
    </xf>
    <xf numFmtId="0" fontId="116" fillId="23" borderId="22" xfId="0" applyFont="1" applyFill="1" applyBorder="1" applyAlignment="1">
      <alignment horizontal="center" vertical="center"/>
    </xf>
    <xf numFmtId="0" fontId="105" fillId="23" borderId="8" xfId="0" applyFont="1" applyFill="1" applyBorder="1" applyAlignment="1">
      <alignment horizontal="center" vertical="center"/>
    </xf>
    <xf numFmtId="0" fontId="102" fillId="23" borderId="8" xfId="0" applyFont="1" applyFill="1" applyBorder="1" applyAlignment="1">
      <alignment horizontal="left" vertical="center"/>
    </xf>
    <xf numFmtId="0" fontId="16" fillId="0" borderId="8" xfId="0" applyFont="1" applyBorder="1" applyAlignment="1">
      <alignment horizontal="center" vertical="center"/>
    </xf>
    <xf numFmtId="0" fontId="16" fillId="0" borderId="0" xfId="0" applyFont="1" applyAlignment="1">
      <alignment vertical="center"/>
    </xf>
    <xf numFmtId="0" fontId="116" fillId="0" borderId="8" xfId="0" applyFont="1" applyBorder="1" applyAlignment="1">
      <alignment horizontal="center" vertical="center" wrapText="1"/>
    </xf>
    <xf numFmtId="0" fontId="120" fillId="0" borderId="8" xfId="0" applyFont="1" applyBorder="1" applyAlignment="1">
      <alignment horizontal="center" vertical="center" wrapText="1"/>
    </xf>
    <xf numFmtId="0" fontId="116" fillId="3" borderId="8" xfId="0" applyFont="1" applyFill="1" applyBorder="1" applyAlignment="1">
      <alignment horizontal="center" vertical="center" wrapText="1"/>
    </xf>
    <xf numFmtId="3" fontId="106" fillId="2" borderId="12" xfId="1" applyNumberFormat="1" applyFont="1" applyFill="1" applyBorder="1" applyAlignment="1">
      <alignment horizontal="right" vertical="center" wrapText="1"/>
    </xf>
    <xf numFmtId="3" fontId="104" fillId="0" borderId="8" xfId="1" applyNumberFormat="1" applyFont="1" applyBorder="1" applyAlignment="1">
      <alignment horizontal="right" vertical="center"/>
    </xf>
    <xf numFmtId="3" fontId="106" fillId="23" borderId="8" xfId="1" applyNumberFormat="1" applyFont="1" applyFill="1" applyBorder="1" applyAlignment="1">
      <alignment horizontal="right" vertical="center"/>
    </xf>
    <xf numFmtId="3" fontId="104" fillId="23" borderId="8" xfId="1" applyNumberFormat="1" applyFont="1" applyFill="1" applyBorder="1" applyAlignment="1">
      <alignment horizontal="right" vertical="center"/>
    </xf>
    <xf numFmtId="3" fontId="104" fillId="0" borderId="8" xfId="1" applyNumberFormat="1" applyFont="1" applyFill="1" applyBorder="1" applyAlignment="1">
      <alignment horizontal="right" vertical="center"/>
    </xf>
    <xf numFmtId="3" fontId="106" fillId="0" borderId="8" xfId="1" applyNumberFormat="1" applyFont="1" applyFill="1" applyBorder="1" applyAlignment="1">
      <alignment horizontal="right" vertical="center"/>
    </xf>
    <xf numFmtId="3" fontId="104" fillId="3" borderId="8" xfId="1" applyNumberFormat="1" applyFont="1" applyFill="1" applyBorder="1" applyAlignment="1">
      <alignment horizontal="right" vertical="center"/>
    </xf>
    <xf numFmtId="164" fontId="12" fillId="23" borderId="8" xfId="1" applyNumberFormat="1" applyFont="1" applyFill="1" applyBorder="1" applyAlignment="1">
      <alignment vertical="center"/>
    </xf>
    <xf numFmtId="0" fontId="113" fillId="23" borderId="8" xfId="0" applyFont="1" applyFill="1" applyBorder="1" applyAlignment="1">
      <alignment horizontal="left" vertical="center" wrapText="1"/>
    </xf>
    <xf numFmtId="0" fontId="111" fillId="23" borderId="8" xfId="0" applyFont="1" applyFill="1" applyBorder="1" applyAlignment="1">
      <alignment horizontal="left" vertical="center" wrapText="1"/>
    </xf>
    <xf numFmtId="0" fontId="105" fillId="23" borderId="8" xfId="0" applyFont="1" applyFill="1" applyBorder="1" applyAlignment="1">
      <alignment vertical="center"/>
    </xf>
    <xf numFmtId="0" fontId="116" fillId="23" borderId="8" xfId="0" applyFont="1" applyFill="1" applyBorder="1" applyAlignment="1">
      <alignment horizontal="center" vertical="center" wrapText="1"/>
    </xf>
    <xf numFmtId="168" fontId="104" fillId="23" borderId="8" xfId="1" applyNumberFormat="1" applyFont="1" applyFill="1" applyBorder="1" applyAlignment="1">
      <alignment horizontal="right" vertical="center"/>
    </xf>
    <xf numFmtId="0" fontId="103" fillId="23" borderId="8" xfId="0" applyFont="1" applyFill="1" applyBorder="1" applyAlignment="1">
      <alignment horizontal="left" vertical="center"/>
    </xf>
    <xf numFmtId="0" fontId="116" fillId="2" borderId="8" xfId="0" applyFont="1" applyFill="1" applyBorder="1" applyAlignment="1">
      <alignment horizontal="center" vertical="center"/>
    </xf>
    <xf numFmtId="0" fontId="106" fillId="0" borderId="16" xfId="0" applyFont="1" applyBorder="1" applyAlignment="1">
      <alignment horizontal="center" vertical="center" wrapText="1"/>
    </xf>
    <xf numFmtId="0" fontId="106" fillId="3" borderId="16" xfId="0" applyFont="1" applyFill="1" applyBorder="1" applyAlignment="1">
      <alignment horizontal="center" vertical="center" wrapText="1"/>
    </xf>
    <xf numFmtId="0" fontId="105" fillId="0" borderId="12" xfId="0" applyFont="1" applyBorder="1" applyAlignment="1">
      <alignment horizontal="center" vertical="center" wrapText="1"/>
    </xf>
    <xf numFmtId="0" fontId="106" fillId="0" borderId="23" xfId="0" applyFont="1" applyBorder="1" applyAlignment="1">
      <alignment horizontal="center" vertical="center" wrapText="1"/>
    </xf>
    <xf numFmtId="0" fontId="104" fillId="0" borderId="16" xfId="0" applyFont="1" applyBorder="1" applyAlignment="1">
      <alignment horizontal="center" vertical="center" wrapText="1"/>
    </xf>
    <xf numFmtId="0" fontId="130" fillId="0" borderId="5" xfId="0" applyFont="1" applyBorder="1" applyAlignment="1">
      <alignment horizontal="center"/>
    </xf>
    <xf numFmtId="164" fontId="137" fillId="0" borderId="5" xfId="0" applyNumberFormat="1" applyFont="1" applyBorder="1" applyAlignment="1">
      <alignment horizontal="right"/>
    </xf>
    <xf numFmtId="0" fontId="46" fillId="23" borderId="8" xfId="0" applyFont="1" applyFill="1" applyBorder="1" applyAlignment="1">
      <alignment vertical="center" wrapText="1"/>
    </xf>
    <xf numFmtId="0" fontId="28" fillId="23" borderId="0" xfId="0" applyFont="1" applyFill="1" applyAlignment="1">
      <alignment horizontal="center" vertical="center"/>
    </xf>
    <xf numFmtId="3" fontId="3" fillId="23" borderId="0" xfId="1" applyNumberFormat="1" applyFont="1" applyFill="1" applyAlignment="1">
      <alignment horizontal="right" vertical="center"/>
    </xf>
    <xf numFmtId="164" fontId="3" fillId="23" borderId="0" xfId="1" applyNumberFormat="1" applyFont="1" applyFill="1" applyAlignment="1">
      <alignment vertical="center"/>
    </xf>
    <xf numFmtId="0" fontId="102" fillId="23" borderId="0" xfId="0" applyFont="1" applyFill="1" applyAlignment="1">
      <alignment horizontal="center" vertical="center" wrapText="1"/>
    </xf>
    <xf numFmtId="0" fontId="106" fillId="23" borderId="8" xfId="0" applyFont="1" applyFill="1" applyBorder="1" applyAlignment="1">
      <alignment vertical="center" wrapText="1"/>
    </xf>
    <xf numFmtId="164" fontId="106" fillId="23" borderId="8" xfId="0" applyNumberFormat="1" applyFont="1" applyFill="1" applyBorder="1" applyAlignment="1">
      <alignment horizontal="right" vertical="center"/>
    </xf>
    <xf numFmtId="0" fontId="103" fillId="23" borderId="0" xfId="0" applyFont="1" applyFill="1" applyAlignment="1">
      <alignment horizontal="center" vertical="center" wrapText="1"/>
    </xf>
    <xf numFmtId="49" fontId="12" fillId="23" borderId="16" xfId="0" applyNumberFormat="1" applyFont="1" applyFill="1" applyBorder="1" applyAlignment="1">
      <alignment horizontal="center" vertical="center" wrapText="1"/>
    </xf>
    <xf numFmtId="0" fontId="101" fillId="23" borderId="8" xfId="0" applyFont="1" applyFill="1" applyBorder="1" applyAlignment="1">
      <alignment vertical="center" wrapText="1"/>
    </xf>
    <xf numFmtId="49" fontId="12" fillId="23" borderId="25" xfId="0" applyNumberFormat="1" applyFont="1" applyFill="1" applyBorder="1" applyAlignment="1">
      <alignment horizontal="center" vertical="center" wrapText="1"/>
    </xf>
    <xf numFmtId="0" fontId="104" fillId="23" borderId="8" xfId="0" applyFont="1" applyFill="1" applyBorder="1" applyAlignment="1">
      <alignment vertical="center"/>
    </xf>
    <xf numFmtId="164" fontId="104" fillId="23" borderId="8" xfId="0" applyNumberFormat="1" applyFont="1" applyFill="1" applyBorder="1" applyAlignment="1">
      <alignment horizontal="right" vertical="center"/>
    </xf>
    <xf numFmtId="16" fontId="106" fillId="23" borderId="8" xfId="0" applyNumberFormat="1" applyFont="1" applyFill="1" applyBorder="1" applyAlignment="1">
      <alignment horizontal="center" vertical="center" wrapText="1"/>
    </xf>
    <xf numFmtId="3" fontId="106" fillId="23" borderId="16" xfId="1" applyNumberFormat="1" applyFont="1" applyFill="1" applyBorder="1" applyAlignment="1">
      <alignment horizontal="right" vertical="center"/>
    </xf>
    <xf numFmtId="0" fontId="134" fillId="23" borderId="8" xfId="0" applyFont="1" applyFill="1" applyBorder="1" applyAlignment="1">
      <alignment horizontal="center" vertical="center"/>
    </xf>
    <xf numFmtId="3" fontId="104" fillId="23" borderId="16" xfId="1" applyNumberFormat="1" applyFont="1" applyFill="1" applyBorder="1" applyAlignment="1">
      <alignment horizontal="right" vertical="center"/>
    </xf>
    <xf numFmtId="0" fontId="104" fillId="23" borderId="8" xfId="0" applyFont="1" applyFill="1" applyBorder="1" applyAlignment="1">
      <alignment horizontal="left" vertical="center"/>
    </xf>
    <xf numFmtId="168" fontId="104" fillId="23" borderId="8" xfId="1" applyNumberFormat="1" applyFont="1" applyFill="1" applyBorder="1" applyAlignment="1">
      <alignment horizontal="right" vertical="center" wrapText="1"/>
    </xf>
    <xf numFmtId="0" fontId="106" fillId="23" borderId="21" xfId="0" applyFont="1" applyFill="1" applyBorder="1" applyAlignment="1">
      <alignment horizontal="center" vertical="center" wrapText="1"/>
    </xf>
    <xf numFmtId="0" fontId="106" fillId="3" borderId="16" xfId="0" applyFont="1" applyFill="1" applyBorder="1" applyAlignment="1">
      <alignment horizontal="center" vertical="center"/>
    </xf>
    <xf numFmtId="14" fontId="104" fillId="3" borderId="8" xfId="0" applyNumberFormat="1" applyFont="1" applyFill="1" applyBorder="1" applyAlignment="1">
      <alignment horizontal="center" vertical="center" wrapText="1"/>
    </xf>
    <xf numFmtId="0" fontId="104" fillId="3" borderId="16" xfId="0" applyFont="1" applyFill="1" applyBorder="1" applyAlignment="1">
      <alignment horizontal="center" vertical="center"/>
    </xf>
    <xf numFmtId="0" fontId="12" fillId="3" borderId="8" xfId="0" applyFont="1" applyFill="1" applyBorder="1" applyAlignment="1">
      <alignment vertical="center"/>
    </xf>
    <xf numFmtId="0" fontId="3" fillId="3" borderId="0" xfId="0" applyFont="1" applyFill="1" applyAlignment="1">
      <alignment vertical="center"/>
    </xf>
    <xf numFmtId="0" fontId="116" fillId="3" borderId="18" xfId="0" applyFont="1" applyFill="1" applyBorder="1" applyAlignment="1">
      <alignment horizontal="center" vertical="center"/>
    </xf>
    <xf numFmtId="0" fontId="106" fillId="3" borderId="20" xfId="0" applyFont="1" applyFill="1" applyBorder="1" applyAlignment="1">
      <alignment horizontal="center" vertical="center" wrapText="1"/>
    </xf>
    <xf numFmtId="0" fontId="104" fillId="3" borderId="18" xfId="0" applyFont="1" applyFill="1" applyBorder="1" applyAlignment="1">
      <alignment horizontal="center" vertical="center"/>
    </xf>
    <xf numFmtId="3" fontId="104" fillId="3" borderId="18" xfId="1" applyNumberFormat="1" applyFont="1" applyFill="1" applyBorder="1" applyAlignment="1">
      <alignment horizontal="right" vertical="center"/>
    </xf>
    <xf numFmtId="0" fontId="106" fillId="3" borderId="18" xfId="0" applyFont="1" applyFill="1" applyBorder="1" applyAlignment="1">
      <alignment horizontal="center" vertical="center" wrapText="1"/>
    </xf>
    <xf numFmtId="0" fontId="104" fillId="3" borderId="18" xfId="0" applyFont="1" applyFill="1" applyBorder="1" applyAlignment="1">
      <alignment horizontal="center" vertical="center" wrapText="1"/>
    </xf>
    <xf numFmtId="0" fontId="104" fillId="3" borderId="18" xfId="0" applyFont="1" applyFill="1" applyBorder="1" applyAlignment="1">
      <alignment horizontal="left" vertical="center"/>
    </xf>
    <xf numFmtId="164" fontId="104" fillId="3" borderId="18" xfId="1" applyNumberFormat="1" applyFont="1" applyFill="1" applyBorder="1" applyAlignment="1">
      <alignment vertical="center"/>
    </xf>
    <xf numFmtId="0" fontId="103" fillId="3" borderId="8" xfId="0" applyFont="1" applyFill="1" applyBorder="1" applyAlignment="1">
      <alignment vertical="center"/>
    </xf>
    <xf numFmtId="0" fontId="106" fillId="23" borderId="23" xfId="0" applyFont="1" applyFill="1" applyBorder="1" applyAlignment="1">
      <alignment horizontal="center" vertical="center" wrapText="1"/>
    </xf>
    <xf numFmtId="0" fontId="106" fillId="23" borderId="0" xfId="0" applyFont="1" applyFill="1" applyAlignment="1">
      <alignment horizontal="center" vertical="center" wrapText="1"/>
    </xf>
    <xf numFmtId="0" fontId="106" fillId="23" borderId="20" xfId="0" applyFont="1" applyFill="1" applyBorder="1" applyAlignment="1">
      <alignment horizontal="center" vertical="center"/>
    </xf>
    <xf numFmtId="0" fontId="106" fillId="23" borderId="22" xfId="0" applyFont="1" applyFill="1" applyBorder="1" applyAlignment="1">
      <alignment horizontal="center" vertical="center" wrapText="1"/>
    </xf>
    <xf numFmtId="164" fontId="106" fillId="23" borderId="18" xfId="1" applyNumberFormat="1" applyFont="1" applyFill="1" applyBorder="1" applyAlignment="1">
      <alignment vertical="center"/>
    </xf>
    <xf numFmtId="0" fontId="102" fillId="23" borderId="18" xfId="0" applyFont="1" applyFill="1" applyBorder="1" applyAlignment="1">
      <alignment vertical="center"/>
    </xf>
    <xf numFmtId="0" fontId="103" fillId="23" borderId="18" xfId="0" applyFont="1" applyFill="1" applyBorder="1" applyAlignment="1">
      <alignment horizontal="center" vertical="center" wrapText="1"/>
    </xf>
    <xf numFmtId="0" fontId="113" fillId="23" borderId="12" xfId="0" applyFont="1" applyFill="1" applyBorder="1" applyAlignment="1">
      <alignment horizontal="center" vertical="center" wrapText="1"/>
    </xf>
    <xf numFmtId="0" fontId="104" fillId="23" borderId="20" xfId="0" applyFont="1" applyFill="1" applyBorder="1" applyAlignment="1">
      <alignment horizontal="center" vertical="center"/>
    </xf>
    <xf numFmtId="0" fontId="104" fillId="23" borderId="21" xfId="0" applyFont="1" applyFill="1" applyBorder="1" applyAlignment="1">
      <alignment horizontal="center" vertical="center"/>
    </xf>
    <xf numFmtId="0" fontId="103" fillId="23" borderId="12" xfId="0" applyFont="1" applyFill="1" applyBorder="1" applyAlignment="1">
      <alignment vertical="center"/>
    </xf>
    <xf numFmtId="16" fontId="13" fillId="23" borderId="8" xfId="0" applyNumberFormat="1" applyFont="1" applyFill="1" applyBorder="1" applyAlignment="1">
      <alignment horizontal="center" vertical="center" wrapText="1"/>
    </xf>
    <xf numFmtId="0" fontId="106" fillId="23" borderId="8" xfId="0" applyFont="1" applyFill="1" applyBorder="1" applyAlignment="1">
      <alignment horizontal="left" vertical="center"/>
    </xf>
    <xf numFmtId="0" fontId="106" fillId="23" borderId="8" xfId="0" quotePrefix="1" applyFont="1" applyFill="1" applyBorder="1" applyAlignment="1">
      <alignment horizontal="center" vertical="center" wrapText="1"/>
    </xf>
    <xf numFmtId="168" fontId="106" fillId="23" borderId="8" xfId="1" applyNumberFormat="1" applyFont="1" applyFill="1" applyBorder="1" applyAlignment="1">
      <alignment horizontal="right" vertical="center"/>
    </xf>
    <xf numFmtId="49" fontId="106" fillId="23" borderId="8" xfId="0" applyNumberFormat="1" applyFont="1" applyFill="1" applyBorder="1" applyAlignment="1">
      <alignment horizontal="center" vertical="center" wrapText="1"/>
    </xf>
    <xf numFmtId="0" fontId="106" fillId="23" borderId="8" xfId="0" applyFont="1" applyFill="1" applyBorder="1" applyAlignment="1">
      <alignment vertical="center"/>
    </xf>
    <xf numFmtId="16" fontId="104" fillId="23" borderId="8" xfId="0" quotePrefix="1" applyNumberFormat="1" applyFont="1" applyFill="1" applyBorder="1" applyAlignment="1">
      <alignment horizontal="center" vertical="center" wrapText="1"/>
    </xf>
    <xf numFmtId="0" fontId="74" fillId="5" borderId="8" xfId="0" applyFont="1" applyFill="1" applyBorder="1" applyAlignment="1">
      <alignment horizontal="center" vertical="center" wrapText="1"/>
    </xf>
    <xf numFmtId="0" fontId="117" fillId="0" borderId="8" xfId="0" applyFont="1" applyBorder="1" applyAlignment="1">
      <alignment horizontal="center" vertical="center" wrapText="1"/>
    </xf>
    <xf numFmtId="0" fontId="27" fillId="0" borderId="8" xfId="0" applyFont="1" applyBorder="1" applyAlignment="1">
      <alignment horizontal="center" vertical="center"/>
    </xf>
    <xf numFmtId="0" fontId="100" fillId="23" borderId="16" xfId="0" applyFont="1" applyFill="1" applyBorder="1" applyAlignment="1">
      <alignment horizontal="center" vertical="center" wrapText="1"/>
    </xf>
    <xf numFmtId="16" fontId="16" fillId="23" borderId="8" xfId="0" applyNumberFormat="1" applyFont="1" applyFill="1" applyBorder="1" applyAlignment="1">
      <alignment horizontal="center" vertical="center" wrapText="1"/>
    </xf>
    <xf numFmtId="0" fontId="100" fillId="23" borderId="8" xfId="0" applyFont="1" applyFill="1" applyBorder="1" applyAlignment="1">
      <alignment horizontal="center" vertical="center"/>
    </xf>
    <xf numFmtId="0" fontId="101" fillId="23" borderId="16" xfId="0" applyFont="1" applyFill="1" applyBorder="1" applyAlignment="1">
      <alignment horizontal="center" vertical="center" wrapText="1"/>
    </xf>
    <xf numFmtId="0" fontId="101" fillId="23" borderId="8" xfId="0" applyFont="1" applyFill="1" applyBorder="1" applyAlignment="1">
      <alignment horizontal="center" vertical="center"/>
    </xf>
    <xf numFmtId="168" fontId="15" fillId="23" borderId="8" xfId="1" applyNumberFormat="1" applyFont="1" applyFill="1" applyBorder="1" applyAlignment="1">
      <alignment horizontal="right" vertical="center"/>
    </xf>
    <xf numFmtId="49" fontId="15" fillId="23" borderId="16" xfId="0" applyNumberFormat="1" applyFont="1" applyFill="1" applyBorder="1" applyAlignment="1">
      <alignment horizontal="center" vertical="center"/>
    </xf>
    <xf numFmtId="0" fontId="134" fillId="23" borderId="8" xfId="0" applyFont="1" applyFill="1" applyBorder="1" applyAlignment="1">
      <alignment horizontal="center" vertical="center" wrapText="1"/>
    </xf>
    <xf numFmtId="3" fontId="101" fillId="23" borderId="8" xfId="1" applyNumberFormat="1" applyFont="1" applyFill="1" applyBorder="1" applyAlignment="1">
      <alignment horizontal="right" vertical="center"/>
    </xf>
    <xf numFmtId="0" fontId="129" fillId="23" borderId="8" xfId="0" applyFont="1" applyFill="1" applyBorder="1" applyAlignment="1">
      <alignment horizontal="center" vertical="center"/>
    </xf>
    <xf numFmtId="0" fontId="16" fillId="23" borderId="8" xfId="0" applyFont="1" applyFill="1" applyBorder="1" applyAlignment="1">
      <alignment horizontal="right" vertical="center"/>
    </xf>
    <xf numFmtId="168" fontId="101" fillId="23" borderId="8" xfId="1" applyNumberFormat="1" applyFont="1" applyFill="1" applyBorder="1" applyAlignment="1">
      <alignment horizontal="right" vertical="center"/>
    </xf>
    <xf numFmtId="0" fontId="104" fillId="23" borderId="16" xfId="0" applyFont="1" applyFill="1" applyBorder="1" applyAlignment="1">
      <alignment horizontal="center" vertical="center" wrapText="1"/>
    </xf>
    <xf numFmtId="0" fontId="129" fillId="23" borderId="18" xfId="0" applyFont="1" applyFill="1" applyBorder="1" applyAlignment="1">
      <alignment horizontal="center" vertical="center"/>
    </xf>
    <xf numFmtId="3" fontId="106" fillId="23" borderId="18" xfId="1" applyNumberFormat="1" applyFont="1" applyFill="1" applyBorder="1" applyAlignment="1">
      <alignment horizontal="right" vertical="center"/>
    </xf>
    <xf numFmtId="0" fontId="105" fillId="23" borderId="18" xfId="0" applyFont="1" applyFill="1" applyBorder="1" applyAlignment="1">
      <alignment horizontal="center" vertical="center" wrapText="1"/>
    </xf>
    <xf numFmtId="0" fontId="102" fillId="23" borderId="18" xfId="0" applyFont="1" applyFill="1" applyBorder="1" applyAlignment="1">
      <alignment horizontal="left" vertical="center"/>
    </xf>
    <xf numFmtId="0" fontId="104" fillId="23" borderId="8" xfId="0" quotePrefix="1" applyFont="1" applyFill="1" applyBorder="1" applyAlignment="1">
      <alignment horizontal="center" vertical="center" wrapText="1"/>
    </xf>
    <xf numFmtId="3" fontId="106" fillId="23" borderId="25" xfId="1" applyNumberFormat="1" applyFont="1" applyFill="1" applyBorder="1" applyAlignment="1">
      <alignment horizontal="right" vertical="center"/>
    </xf>
    <xf numFmtId="164" fontId="104" fillId="23" borderId="8" xfId="0" applyNumberFormat="1" applyFont="1" applyFill="1" applyBorder="1" applyAlignment="1">
      <alignment vertical="center"/>
    </xf>
    <xf numFmtId="164" fontId="13" fillId="0" borderId="8" xfId="1" applyNumberFormat="1" applyFont="1" applyBorder="1" applyAlignment="1">
      <alignment vertical="center"/>
    </xf>
    <xf numFmtId="0" fontId="31" fillId="0" borderId="0" xfId="0" applyFont="1" applyAlignment="1">
      <alignment horizontal="center" vertical="center"/>
    </xf>
    <xf numFmtId="3" fontId="9" fillId="0" borderId="0" xfId="1" applyNumberFormat="1" applyFont="1" applyAlignment="1">
      <alignment horizontal="right" vertical="center"/>
    </xf>
    <xf numFmtId="0" fontId="9" fillId="0" borderId="0" xfId="0" applyFont="1" applyAlignment="1">
      <alignment vertical="center" wrapText="1"/>
    </xf>
    <xf numFmtId="0" fontId="9" fillId="0" borderId="0" xfId="0" applyFont="1" applyAlignment="1">
      <alignment horizontal="left" vertical="center"/>
    </xf>
    <xf numFmtId="164" fontId="9" fillId="0" borderId="0" xfId="1" applyNumberFormat="1" applyFont="1" applyAlignment="1">
      <alignment vertical="center"/>
    </xf>
    <xf numFmtId="168" fontId="103" fillId="23" borderId="8" xfId="1" applyNumberFormat="1" applyFont="1" applyFill="1" applyBorder="1" applyAlignment="1">
      <alignment horizontal="right" vertical="center"/>
    </xf>
    <xf numFmtId="0" fontId="9" fillId="23" borderId="0" xfId="0" applyFont="1" applyFill="1" applyAlignment="1">
      <alignment horizontal="center" vertical="center"/>
    </xf>
    <xf numFmtId="0" fontId="129" fillId="23" borderId="12" xfId="0" applyFont="1" applyFill="1" applyBorder="1" applyAlignment="1">
      <alignment horizontal="center" vertical="center"/>
    </xf>
    <xf numFmtId="3" fontId="104" fillId="23" borderId="12" xfId="1" applyNumberFormat="1" applyFont="1" applyFill="1" applyBorder="1" applyAlignment="1">
      <alignment horizontal="right" vertical="center"/>
    </xf>
    <xf numFmtId="168" fontId="104" fillId="23" borderId="12" xfId="1" applyNumberFormat="1" applyFont="1" applyFill="1" applyBorder="1" applyAlignment="1">
      <alignment horizontal="right" vertical="center"/>
    </xf>
    <xf numFmtId="0" fontId="103" fillId="23" borderId="12" xfId="0" applyFont="1" applyFill="1" applyBorder="1" applyAlignment="1">
      <alignment horizontal="left" vertical="center"/>
    </xf>
    <xf numFmtId="0" fontId="105" fillId="5" borderId="12" xfId="0" applyFont="1" applyFill="1" applyBorder="1" applyAlignment="1">
      <alignment horizontal="center" vertical="center" wrapText="1"/>
    </xf>
    <xf numFmtId="0" fontId="9" fillId="0" borderId="8" xfId="0" applyFont="1" applyBorder="1" applyAlignment="1">
      <alignment horizontal="left" vertical="center" wrapText="1"/>
    </xf>
    <xf numFmtId="0" fontId="100" fillId="0" borderId="16" xfId="0" applyFont="1" applyBorder="1" applyAlignment="1">
      <alignment horizontal="center" vertical="center" wrapText="1"/>
    </xf>
    <xf numFmtId="3" fontId="16" fillId="0" borderId="8" xfId="1" applyNumberFormat="1" applyFont="1" applyBorder="1" applyAlignment="1">
      <alignment horizontal="right" vertical="center"/>
    </xf>
    <xf numFmtId="0" fontId="93" fillId="0" borderId="0" xfId="0" applyFont="1" applyAlignment="1">
      <alignment horizontal="center" vertical="center"/>
    </xf>
    <xf numFmtId="0" fontId="16" fillId="0" borderId="0" xfId="0" applyFont="1" applyAlignment="1">
      <alignment horizontal="center" vertical="center"/>
    </xf>
    <xf numFmtId="3" fontId="16" fillId="0" borderId="0" xfId="1" applyNumberFormat="1" applyFont="1" applyAlignment="1">
      <alignment horizontal="right" vertical="center"/>
    </xf>
    <xf numFmtId="0" fontId="16" fillId="0" borderId="0" xfId="0" applyFont="1" applyAlignment="1">
      <alignment vertical="center" wrapText="1"/>
    </xf>
    <xf numFmtId="0" fontId="16" fillId="0" borderId="0" xfId="0" applyFont="1" applyAlignment="1">
      <alignment horizontal="center" vertical="center" wrapText="1"/>
    </xf>
    <xf numFmtId="164" fontId="16" fillId="0" borderId="0" xfId="1" applyNumberFormat="1" applyFont="1" applyAlignment="1">
      <alignment vertical="center"/>
    </xf>
    <xf numFmtId="0" fontId="106" fillId="0" borderId="8" xfId="0" quotePrefix="1" applyFont="1" applyBorder="1" applyAlignment="1">
      <alignment horizontal="center" vertical="center" wrapText="1"/>
    </xf>
    <xf numFmtId="49" fontId="12" fillId="0" borderId="25" xfId="0" applyNumberFormat="1" applyFont="1" applyBorder="1" applyAlignment="1">
      <alignment horizontal="center" vertical="center"/>
    </xf>
    <xf numFmtId="0" fontId="15" fillId="23" borderId="12" xfId="0" applyFont="1" applyFill="1" applyBorder="1" applyAlignment="1">
      <alignment horizontal="center" vertical="center"/>
    </xf>
    <xf numFmtId="0" fontId="124" fillId="23" borderId="8" xfId="0" applyFont="1" applyFill="1" applyBorder="1" applyAlignment="1">
      <alignment vertical="center"/>
    </xf>
    <xf numFmtId="49" fontId="12" fillId="23" borderId="16" xfId="0" applyNumberFormat="1" applyFont="1" applyFill="1" applyBorder="1" applyAlignment="1">
      <alignment horizontal="center" vertical="center"/>
    </xf>
    <xf numFmtId="0" fontId="31" fillId="0" borderId="8" xfId="0" applyFont="1" applyBorder="1" applyAlignment="1">
      <alignment horizontal="center" vertical="center"/>
    </xf>
    <xf numFmtId="0" fontId="123" fillId="0" borderId="8" xfId="0" applyFont="1" applyBorder="1" applyAlignment="1">
      <alignment horizontal="left" vertical="center"/>
    </xf>
    <xf numFmtId="3" fontId="13" fillId="23" borderId="8" xfId="0" applyNumberFormat="1" applyFont="1" applyFill="1" applyBorder="1" applyAlignment="1">
      <alignment horizontal="right" vertical="center"/>
    </xf>
    <xf numFmtId="0" fontId="27" fillId="23" borderId="0" xfId="0" applyFont="1" applyFill="1" applyAlignment="1">
      <alignment horizontal="center" vertical="center"/>
    </xf>
    <xf numFmtId="3" fontId="13" fillId="23" borderId="0" xfId="1" applyNumberFormat="1" applyFont="1" applyFill="1" applyAlignment="1">
      <alignment horizontal="right" vertical="center"/>
    </xf>
    <xf numFmtId="0" fontId="13" fillId="23" borderId="0" xfId="0" applyFont="1" applyFill="1" applyAlignment="1">
      <alignment horizontal="left" vertical="center"/>
    </xf>
    <xf numFmtId="164" fontId="13" fillId="23" borderId="0" xfId="1" applyNumberFormat="1" applyFont="1" applyFill="1" applyAlignment="1">
      <alignment vertical="center"/>
    </xf>
    <xf numFmtId="3" fontId="104" fillId="23" borderId="18" xfId="1" applyNumberFormat="1" applyFont="1" applyFill="1" applyBorder="1" applyAlignment="1">
      <alignment horizontal="right" vertical="center"/>
    </xf>
    <xf numFmtId="0" fontId="104" fillId="3" borderId="8" xfId="0" quotePrefix="1" applyFont="1" applyFill="1" applyBorder="1" applyAlignment="1">
      <alignment horizontal="center" vertical="center" wrapText="1"/>
    </xf>
    <xf numFmtId="49" fontId="24" fillId="0" borderId="12" xfId="1" applyNumberFormat="1" applyFont="1" applyBorder="1" applyAlignment="1">
      <alignment horizontal="center" vertical="center" wrapText="1"/>
    </xf>
    <xf numFmtId="49" fontId="12" fillId="2" borderId="8" xfId="0" applyNumberFormat="1" applyFont="1" applyFill="1" applyBorder="1" applyAlignment="1">
      <alignment horizontal="center" vertical="center" wrapText="1"/>
    </xf>
    <xf numFmtId="49" fontId="3" fillId="23" borderId="16" xfId="0" applyNumberFormat="1" applyFont="1" applyFill="1" applyBorder="1" applyAlignment="1">
      <alignment horizontal="center" vertical="center"/>
    </xf>
    <xf numFmtId="49" fontId="12" fillId="23" borderId="20" xfId="0" applyNumberFormat="1" applyFont="1" applyFill="1" applyBorder="1" applyAlignment="1">
      <alignment horizontal="center" vertical="center"/>
    </xf>
    <xf numFmtId="49" fontId="12" fillId="23" borderId="25" xfId="0" applyNumberFormat="1" applyFont="1" applyFill="1" applyBorder="1" applyAlignment="1">
      <alignment horizontal="center" vertical="center"/>
    </xf>
    <xf numFmtId="49" fontId="12" fillId="23" borderId="8" xfId="0" applyNumberFormat="1" applyFont="1" applyFill="1" applyBorder="1" applyAlignment="1">
      <alignment horizontal="center" vertical="center"/>
    </xf>
    <xf numFmtId="49" fontId="3" fillId="23" borderId="25" xfId="0" applyNumberFormat="1" applyFont="1" applyFill="1" applyBorder="1" applyAlignment="1">
      <alignment horizontal="center" vertical="center"/>
    </xf>
    <xf numFmtId="49" fontId="12" fillId="3" borderId="16" xfId="0" applyNumberFormat="1" applyFont="1" applyFill="1" applyBorder="1" applyAlignment="1">
      <alignment horizontal="center" vertical="center"/>
    </xf>
    <xf numFmtId="0" fontId="106" fillId="3" borderId="18" xfId="0" quotePrefix="1" applyFont="1" applyFill="1" applyBorder="1" applyAlignment="1">
      <alignment horizontal="center" vertical="center" wrapText="1"/>
    </xf>
    <xf numFmtId="0" fontId="16" fillId="2" borderId="8" xfId="0" applyFont="1" applyFill="1" applyBorder="1" applyAlignment="1">
      <alignment horizontal="left" vertical="center"/>
    </xf>
    <xf numFmtId="3" fontId="104" fillId="23" borderId="25" xfId="1" applyNumberFormat="1" applyFont="1" applyFill="1" applyBorder="1" applyAlignment="1">
      <alignment horizontal="right" vertical="center"/>
    </xf>
    <xf numFmtId="0" fontId="101" fillId="23" borderId="12" xfId="0" applyFont="1" applyFill="1" applyBorder="1" applyAlignment="1">
      <alignment horizontal="center" vertical="center"/>
    </xf>
    <xf numFmtId="0" fontId="105" fillId="3" borderId="18" xfId="0" applyFont="1" applyFill="1" applyBorder="1" applyAlignment="1">
      <alignment horizontal="center" vertical="center" wrapText="1"/>
    </xf>
    <xf numFmtId="0" fontId="16" fillId="38" borderId="8" xfId="0" applyFont="1" applyFill="1" applyBorder="1" applyAlignment="1">
      <alignment horizontal="center" vertical="center"/>
    </xf>
    <xf numFmtId="0" fontId="13" fillId="38" borderId="8" xfId="0" applyFont="1" applyFill="1" applyBorder="1" applyAlignment="1">
      <alignment horizontal="center" vertical="center" wrapText="1"/>
    </xf>
    <xf numFmtId="0" fontId="3" fillId="38" borderId="8" xfId="0" applyFont="1" applyFill="1" applyBorder="1" applyAlignment="1">
      <alignment horizontal="center" vertical="center" wrapText="1"/>
    </xf>
    <xf numFmtId="0" fontId="13" fillId="38" borderId="0" xfId="0" applyFont="1" applyFill="1" applyAlignment="1">
      <alignment vertical="center"/>
    </xf>
    <xf numFmtId="0" fontId="9" fillId="38" borderId="12" xfId="0" applyFont="1" applyFill="1" applyBorder="1" applyAlignment="1">
      <alignment horizontal="center" vertical="center"/>
    </xf>
    <xf numFmtId="0" fontId="106" fillId="38" borderId="8" xfId="0" applyFont="1" applyFill="1" applyBorder="1" applyAlignment="1">
      <alignment horizontal="center" vertical="center" wrapText="1"/>
    </xf>
    <xf numFmtId="3" fontId="13" fillId="38" borderId="8" xfId="1" applyNumberFormat="1" applyFont="1" applyFill="1" applyBorder="1" applyAlignment="1">
      <alignment horizontal="right" vertical="center"/>
    </xf>
    <xf numFmtId="0" fontId="13" fillId="38" borderId="8" xfId="0" applyFont="1" applyFill="1" applyBorder="1" applyAlignment="1">
      <alignment vertical="center"/>
    </xf>
    <xf numFmtId="0" fontId="116" fillId="38" borderId="10" xfId="0" applyFont="1" applyFill="1" applyBorder="1" applyAlignment="1">
      <alignment horizontal="center" vertical="center"/>
    </xf>
    <xf numFmtId="0" fontId="141" fillId="38" borderId="8" xfId="0" applyFont="1" applyFill="1" applyBorder="1" applyAlignment="1">
      <alignment vertical="center"/>
    </xf>
    <xf numFmtId="0" fontId="100" fillId="0" borderId="8" xfId="0" applyFont="1" applyBorder="1" applyAlignment="1">
      <alignment horizontal="center" vertical="center"/>
    </xf>
    <xf numFmtId="0" fontId="16" fillId="0" borderId="8" xfId="0" applyFont="1" applyBorder="1" applyAlignment="1">
      <alignment horizontal="left" vertical="center" wrapText="1"/>
    </xf>
    <xf numFmtId="49" fontId="16" fillId="0" borderId="16" xfId="0" applyNumberFormat="1" applyFont="1" applyBorder="1" applyAlignment="1">
      <alignment horizontal="center" vertical="center"/>
    </xf>
    <xf numFmtId="49" fontId="9" fillId="0" borderId="16" xfId="0" applyNumberFormat="1" applyFont="1" applyBorder="1" applyAlignment="1">
      <alignment horizontal="center" vertical="center"/>
    </xf>
    <xf numFmtId="0" fontId="106" fillId="0" borderId="19" xfId="0" applyFont="1" applyBorder="1" applyAlignment="1">
      <alignment horizontal="center" vertical="center" wrapText="1"/>
    </xf>
    <xf numFmtId="0" fontId="16" fillId="0" borderId="12" xfId="0" applyFont="1" applyBorder="1" applyAlignment="1">
      <alignment horizontal="center" vertical="center"/>
    </xf>
    <xf numFmtId="3" fontId="9" fillId="23" borderId="8" xfId="1" applyNumberFormat="1" applyFont="1" applyFill="1" applyBorder="1" applyAlignment="1">
      <alignment horizontal="right" vertical="center"/>
    </xf>
    <xf numFmtId="0" fontId="133" fillId="23" borderId="8" xfId="0" applyFont="1" applyFill="1" applyBorder="1" applyAlignment="1">
      <alignment horizontal="center" vertical="center" wrapText="1"/>
    </xf>
    <xf numFmtId="49" fontId="13" fillId="23" borderId="16" xfId="0" applyNumberFormat="1" applyFont="1" applyFill="1" applyBorder="1" applyAlignment="1">
      <alignment horizontal="center" vertical="center"/>
    </xf>
    <xf numFmtId="3" fontId="100" fillId="23" borderId="16" xfId="1" applyNumberFormat="1" applyFont="1" applyFill="1" applyBorder="1" applyAlignment="1">
      <alignment horizontal="right" vertical="center"/>
    </xf>
    <xf numFmtId="164" fontId="100" fillId="23" borderId="8" xfId="1" applyNumberFormat="1" applyFont="1" applyFill="1" applyBorder="1" applyAlignment="1">
      <alignment vertical="center"/>
    </xf>
    <xf numFmtId="0" fontId="106" fillId="0" borderId="10" xfId="0" applyFont="1" applyBorder="1" applyAlignment="1">
      <alignment horizontal="center" vertical="center" wrapText="1"/>
    </xf>
    <xf numFmtId="164" fontId="3" fillId="0" borderId="8" xfId="1" applyNumberFormat="1" applyFont="1" applyFill="1" applyBorder="1" applyAlignment="1">
      <alignment vertical="center"/>
    </xf>
    <xf numFmtId="49" fontId="3" fillId="0" borderId="16" xfId="0" applyNumberFormat="1" applyFont="1" applyBorder="1" applyAlignment="1">
      <alignment horizontal="center" vertical="center"/>
    </xf>
    <xf numFmtId="3" fontId="13" fillId="23" borderId="20" xfId="1" applyNumberFormat="1" applyFont="1" applyFill="1" applyBorder="1" applyAlignment="1">
      <alignment horizontal="right" vertical="center"/>
    </xf>
    <xf numFmtId="49" fontId="9" fillId="23" borderId="16" xfId="0" applyNumberFormat="1" applyFont="1" applyFill="1" applyBorder="1" applyAlignment="1">
      <alignment horizontal="center" vertical="center"/>
    </xf>
    <xf numFmtId="164" fontId="104" fillId="23" borderId="8" xfId="1" applyNumberFormat="1" applyFont="1" applyFill="1" applyBorder="1" applyAlignment="1">
      <alignment horizontal="right" vertical="center"/>
    </xf>
    <xf numFmtId="0" fontId="3" fillId="0" borderId="8" xfId="0" quotePrefix="1" applyFont="1" applyBorder="1" applyAlignment="1">
      <alignment horizontal="center" vertical="center" wrapText="1"/>
    </xf>
    <xf numFmtId="0" fontId="104" fillId="0" borderId="8" xfId="0" quotePrefix="1" applyFont="1" applyBorder="1" applyAlignment="1">
      <alignment horizontal="center" vertical="center" wrapText="1"/>
    </xf>
    <xf numFmtId="0" fontId="13" fillId="2" borderId="8" xfId="0" applyFont="1" applyFill="1" applyBorder="1" applyAlignment="1">
      <alignment vertical="center"/>
    </xf>
    <xf numFmtId="0" fontId="101" fillId="0" borderId="8" xfId="0" applyFont="1" applyBorder="1" applyAlignment="1">
      <alignment horizontal="center" vertical="center"/>
    </xf>
    <xf numFmtId="0" fontId="106" fillId="0" borderId="17" xfId="0" applyFont="1" applyBorder="1" applyAlignment="1">
      <alignment horizontal="center" vertical="center" wrapText="1"/>
    </xf>
    <xf numFmtId="43" fontId="97" fillId="0" borderId="0" xfId="0" applyNumberFormat="1" applyFont="1"/>
    <xf numFmtId="43" fontId="128" fillId="0" borderId="0" xfId="0" applyNumberFormat="1" applyFont="1"/>
    <xf numFmtId="49" fontId="12" fillId="5" borderId="16" xfId="0" applyNumberFormat="1" applyFont="1" applyFill="1" applyBorder="1" applyAlignment="1">
      <alignment horizontal="center" vertical="center"/>
    </xf>
    <xf numFmtId="0" fontId="120" fillId="0" borderId="10" xfId="0" applyFont="1" applyBorder="1" applyAlignment="1">
      <alignment horizontal="center" vertical="center" wrapText="1"/>
    </xf>
    <xf numFmtId="164" fontId="13" fillId="0" borderId="8" xfId="0" applyNumberFormat="1" applyFont="1" applyBorder="1" applyAlignment="1">
      <alignment horizontal="right" vertical="center"/>
    </xf>
    <xf numFmtId="0" fontId="104" fillId="5" borderId="8" xfId="0" applyFont="1" applyFill="1" applyBorder="1" applyAlignment="1">
      <alignment horizontal="center" vertical="center"/>
    </xf>
    <xf numFmtId="0" fontId="12" fillId="5" borderId="8" xfId="0" applyFont="1" applyFill="1" applyBorder="1" applyAlignment="1">
      <alignment horizontal="left" vertical="center"/>
    </xf>
    <xf numFmtId="3" fontId="13" fillId="5" borderId="8" xfId="1" applyNumberFormat="1" applyFont="1" applyFill="1" applyBorder="1" applyAlignment="1">
      <alignment horizontal="right" vertical="center"/>
    </xf>
    <xf numFmtId="0" fontId="9" fillId="0" borderId="10" xfId="0" applyFont="1" applyBorder="1" applyAlignment="1">
      <alignment horizontal="center" vertical="center"/>
    </xf>
    <xf numFmtId="0" fontId="9" fillId="0" borderId="16" xfId="0" applyFont="1" applyBorder="1" applyAlignment="1">
      <alignment vertical="center"/>
    </xf>
    <xf numFmtId="0" fontId="104" fillId="32" borderId="8" xfId="0" applyFont="1" applyFill="1" applyBorder="1" applyAlignment="1">
      <alignment horizontal="center" vertical="center"/>
    </xf>
    <xf numFmtId="0" fontId="3" fillId="32" borderId="8" xfId="0" applyFont="1" applyFill="1" applyBorder="1" applyAlignment="1">
      <alignment horizontal="left" vertical="center" wrapText="1"/>
    </xf>
    <xf numFmtId="0" fontId="104" fillId="32" borderId="8" xfId="0" applyFont="1" applyFill="1" applyBorder="1" applyAlignment="1">
      <alignment horizontal="center" vertical="center" wrapText="1"/>
    </xf>
    <xf numFmtId="49" fontId="12" fillId="32" borderId="8" xfId="0" applyNumberFormat="1" applyFont="1" applyFill="1" applyBorder="1" applyAlignment="1">
      <alignment horizontal="center" vertical="center"/>
    </xf>
    <xf numFmtId="3" fontId="106" fillId="0" borderId="8" xfId="1" applyNumberFormat="1" applyFont="1" applyBorder="1" applyAlignment="1">
      <alignment horizontal="right" vertical="center"/>
    </xf>
    <xf numFmtId="0" fontId="93" fillId="23" borderId="0" xfId="0" applyFont="1" applyFill="1" applyAlignment="1">
      <alignment horizontal="center" vertical="center"/>
    </xf>
    <xf numFmtId="3" fontId="16" fillId="23" borderId="0" xfId="1" applyNumberFormat="1" applyFont="1" applyFill="1" applyAlignment="1">
      <alignment horizontal="right" vertical="center"/>
    </xf>
    <xf numFmtId="0" fontId="16" fillId="23" borderId="0" xfId="0" applyFont="1" applyFill="1" applyAlignment="1">
      <alignment vertical="center" wrapText="1"/>
    </xf>
    <xf numFmtId="0" fontId="16" fillId="23" borderId="0" xfId="0" applyFont="1" applyFill="1" applyAlignment="1">
      <alignment horizontal="center" vertical="center" wrapText="1"/>
    </xf>
    <xf numFmtId="0" fontId="16" fillId="23" borderId="0" xfId="0" applyFont="1" applyFill="1" applyAlignment="1">
      <alignment horizontal="left" vertical="center"/>
    </xf>
    <xf numFmtId="164" fontId="16" fillId="23" borderId="0" xfId="1" applyNumberFormat="1" applyFont="1" applyFill="1" applyAlignment="1">
      <alignment vertical="center"/>
    </xf>
    <xf numFmtId="0" fontId="30" fillId="23" borderId="0" xfId="0" applyFont="1" applyFill="1" applyAlignment="1">
      <alignment horizontal="center" vertical="center"/>
    </xf>
    <xf numFmtId="0" fontId="15" fillId="23" borderId="0" xfId="0" applyFont="1" applyFill="1" applyAlignment="1">
      <alignment horizontal="center" vertical="center"/>
    </xf>
    <xf numFmtId="3" fontId="15" fillId="23" borderId="0" xfId="1" applyNumberFormat="1" applyFont="1" applyFill="1" applyAlignment="1">
      <alignment horizontal="right" vertical="center"/>
    </xf>
    <xf numFmtId="0" fontId="15" fillId="23" borderId="0" xfId="0" applyFont="1" applyFill="1" applyAlignment="1">
      <alignment horizontal="center" vertical="center" wrapText="1"/>
    </xf>
    <xf numFmtId="0" fontId="15" fillId="23" borderId="0" xfId="0" applyFont="1" applyFill="1" applyAlignment="1">
      <alignment horizontal="left" vertical="center"/>
    </xf>
    <xf numFmtId="164" fontId="15" fillId="23" borderId="0" xfId="1" applyNumberFormat="1" applyFont="1" applyFill="1" applyAlignment="1">
      <alignment vertical="center"/>
    </xf>
    <xf numFmtId="0" fontId="16" fillId="23" borderId="35" xfId="0" applyFont="1" applyFill="1" applyBorder="1" applyAlignment="1">
      <alignment horizontal="center" vertical="center"/>
    </xf>
    <xf numFmtId="3" fontId="9" fillId="23" borderId="22" xfId="1" applyNumberFormat="1" applyFont="1" applyFill="1" applyBorder="1" applyAlignment="1">
      <alignment horizontal="right" vertical="center"/>
    </xf>
    <xf numFmtId="0" fontId="142" fillId="23" borderId="8" xfId="0" applyFont="1" applyFill="1" applyBorder="1" applyAlignment="1">
      <alignment horizontal="left" vertical="center"/>
    </xf>
    <xf numFmtId="168" fontId="13" fillId="5" borderId="8" xfId="1" applyNumberFormat="1" applyFont="1" applyFill="1" applyBorder="1" applyAlignment="1">
      <alignment horizontal="right" vertical="center"/>
    </xf>
    <xf numFmtId="0" fontId="104" fillId="5" borderId="8" xfId="0" applyFont="1" applyFill="1" applyBorder="1" applyAlignment="1">
      <alignment horizontal="left" vertical="center" wrapText="1"/>
    </xf>
    <xf numFmtId="0" fontId="106" fillId="5" borderId="8" xfId="0" applyFont="1" applyFill="1" applyBorder="1" applyAlignment="1">
      <alignment horizontal="left" vertical="center" wrapText="1"/>
    </xf>
    <xf numFmtId="3" fontId="3" fillId="5" borderId="8" xfId="1" applyNumberFormat="1" applyFont="1" applyFill="1" applyBorder="1" applyAlignment="1">
      <alignment horizontal="right" vertical="center"/>
    </xf>
    <xf numFmtId="168" fontId="3" fillId="5" borderId="8" xfId="1" applyNumberFormat="1" applyFont="1" applyFill="1" applyBorder="1" applyAlignment="1">
      <alignment horizontal="right" vertical="center"/>
    </xf>
    <xf numFmtId="0" fontId="106" fillId="5" borderId="23" xfId="0" applyFont="1" applyFill="1" applyBorder="1" applyAlignment="1">
      <alignment horizontal="center" vertical="center" wrapText="1"/>
    </xf>
    <xf numFmtId="0" fontId="13" fillId="5" borderId="16" xfId="0" applyFont="1" applyFill="1" applyBorder="1" applyAlignment="1">
      <alignment horizontal="center" vertical="center" wrapText="1"/>
    </xf>
    <xf numFmtId="0" fontId="9" fillId="5" borderId="8" xfId="0" applyFont="1" applyFill="1" applyBorder="1" applyAlignment="1">
      <alignment horizontal="left" vertical="center"/>
    </xf>
    <xf numFmtId="49" fontId="9" fillId="5" borderId="16" xfId="0" applyNumberFormat="1" applyFont="1" applyFill="1" applyBorder="1" applyAlignment="1">
      <alignment horizontal="center" vertical="center"/>
    </xf>
    <xf numFmtId="3" fontId="12" fillId="23" borderId="8" xfId="1" applyNumberFormat="1" applyFont="1" applyFill="1" applyBorder="1" applyAlignment="1">
      <alignment horizontal="center" vertical="center" wrapText="1"/>
    </xf>
    <xf numFmtId="0" fontId="117" fillId="23" borderId="8" xfId="0" applyFont="1" applyFill="1" applyBorder="1" applyAlignment="1">
      <alignment horizontal="center" vertical="center" wrapText="1"/>
    </xf>
    <xf numFmtId="0" fontId="140" fillId="23" borderId="8" xfId="0" applyFont="1" applyFill="1" applyBorder="1" applyAlignment="1">
      <alignment horizontal="left" vertical="center"/>
    </xf>
    <xf numFmtId="0" fontId="105" fillId="5" borderId="8" xfId="0" applyFont="1" applyFill="1" applyBorder="1" applyAlignment="1">
      <alignment horizontal="center" vertical="center" wrapText="1"/>
    </xf>
    <xf numFmtId="0" fontId="104" fillId="0" borderId="24" xfId="0" applyFont="1" applyBorder="1" applyAlignment="1">
      <alignment horizontal="center" vertical="center" wrapText="1"/>
    </xf>
    <xf numFmtId="0" fontId="118" fillId="0" borderId="12" xfId="0" applyFont="1" applyBorder="1" applyAlignment="1">
      <alignment horizontal="center" vertical="center" wrapText="1"/>
    </xf>
    <xf numFmtId="0" fontId="117" fillId="23" borderId="18" xfId="0" applyFont="1" applyFill="1" applyBorder="1" applyAlignment="1">
      <alignment horizontal="center" vertical="center"/>
    </xf>
    <xf numFmtId="14" fontId="3" fillId="0" borderId="8" xfId="0" quotePrefix="1" applyNumberFormat="1" applyFont="1" applyBorder="1" applyAlignment="1">
      <alignment horizontal="center" vertical="center" wrapText="1"/>
    </xf>
    <xf numFmtId="0" fontId="12" fillId="33" borderId="8" xfId="0" applyFont="1" applyFill="1" applyBorder="1" applyAlignment="1">
      <alignment horizontal="center" vertical="center" wrapText="1"/>
    </xf>
    <xf numFmtId="0" fontId="100" fillId="5" borderId="16" xfId="0" applyFont="1" applyFill="1" applyBorder="1" applyAlignment="1">
      <alignment horizontal="center" vertical="center" wrapText="1"/>
    </xf>
    <xf numFmtId="0" fontId="120" fillId="23" borderId="8" xfId="0" applyFont="1" applyFill="1" applyBorder="1" applyAlignment="1">
      <alignment horizontal="center" vertical="center" wrapText="1"/>
    </xf>
    <xf numFmtId="0" fontId="31" fillId="23" borderId="0" xfId="0" applyFont="1" applyFill="1" applyAlignment="1">
      <alignment horizontal="center" vertical="center"/>
    </xf>
    <xf numFmtId="3" fontId="9" fillId="23" borderId="0" xfId="1" applyNumberFormat="1" applyFont="1" applyFill="1" applyAlignment="1">
      <alignment horizontal="right" vertical="center"/>
    </xf>
    <xf numFmtId="0" fontId="9" fillId="23" borderId="0" xfId="0" applyFont="1" applyFill="1" applyAlignment="1">
      <alignment vertical="center" wrapText="1"/>
    </xf>
    <xf numFmtId="0" fontId="9" fillId="23" borderId="0" xfId="0" applyFont="1" applyFill="1" applyAlignment="1">
      <alignment horizontal="left" vertical="center"/>
    </xf>
    <xf numFmtId="164" fontId="9" fillId="23" borderId="0" xfId="1" applyNumberFormat="1" applyFont="1" applyFill="1" applyAlignment="1">
      <alignment vertical="center"/>
    </xf>
    <xf numFmtId="0" fontId="116" fillId="23" borderId="17" xfId="0" applyFont="1" applyFill="1" applyBorder="1" applyAlignment="1">
      <alignment horizontal="center" vertical="center" wrapText="1"/>
    </xf>
    <xf numFmtId="164" fontId="9" fillId="23" borderId="8" xfId="0" applyNumberFormat="1" applyFont="1" applyFill="1" applyBorder="1" applyAlignment="1">
      <alignment vertical="center"/>
    </xf>
    <xf numFmtId="0" fontId="16" fillId="23" borderId="25" xfId="0" applyFont="1" applyFill="1" applyBorder="1" applyAlignment="1">
      <alignment horizontal="center" vertical="center"/>
    </xf>
    <xf numFmtId="0" fontId="116" fillId="23" borderId="35" xfId="0" applyFont="1" applyFill="1" applyBorder="1" applyAlignment="1">
      <alignment horizontal="center" vertical="center" wrapText="1"/>
    </xf>
    <xf numFmtId="0" fontId="13" fillId="5" borderId="8" xfId="0" applyFont="1" applyFill="1" applyBorder="1" applyAlignment="1">
      <alignment horizontal="left" vertical="center" wrapText="1"/>
    </xf>
    <xf numFmtId="164" fontId="13" fillId="5" borderId="8" xfId="1" applyNumberFormat="1" applyFont="1" applyFill="1" applyBorder="1" applyAlignment="1">
      <alignment vertical="center"/>
    </xf>
    <xf numFmtId="0" fontId="27" fillId="5" borderId="0" xfId="0" applyFont="1" applyFill="1" applyAlignment="1">
      <alignment horizontal="center" vertical="center"/>
    </xf>
    <xf numFmtId="0" fontId="13" fillId="5" borderId="0" xfId="0" applyFont="1" applyFill="1" applyAlignment="1">
      <alignment horizontal="center" vertical="center"/>
    </xf>
    <xf numFmtId="3" fontId="13" fillId="5" borderId="0" xfId="1" applyNumberFormat="1" applyFont="1" applyFill="1" applyAlignment="1">
      <alignment horizontal="right" vertical="center"/>
    </xf>
    <xf numFmtId="0" fontId="13" fillId="5" borderId="0" xfId="0" applyFont="1" applyFill="1" applyAlignment="1">
      <alignment vertical="center" wrapText="1"/>
    </xf>
    <xf numFmtId="0" fontId="13" fillId="5" borderId="0" xfId="0" applyFont="1" applyFill="1" applyAlignment="1">
      <alignment horizontal="center" vertical="center" wrapText="1"/>
    </xf>
    <xf numFmtId="0" fontId="13" fillId="5" borderId="0" xfId="0" applyFont="1" applyFill="1" applyAlignment="1">
      <alignment horizontal="left" vertical="center"/>
    </xf>
    <xf numFmtId="164" fontId="13" fillId="5" borderId="0" xfId="1" applyNumberFormat="1" applyFont="1" applyFill="1" applyAlignment="1">
      <alignment vertical="center"/>
    </xf>
    <xf numFmtId="168" fontId="15" fillId="0" borderId="8" xfId="1" applyNumberFormat="1" applyFont="1" applyBorder="1" applyAlignment="1">
      <alignment horizontal="right" vertical="center"/>
    </xf>
    <xf numFmtId="0" fontId="117" fillId="23" borderId="8" xfId="0" applyFont="1" applyFill="1" applyBorder="1" applyAlignment="1">
      <alignment horizontal="center" vertical="center"/>
    </xf>
    <xf numFmtId="49" fontId="16" fillId="23" borderId="16" xfId="0" applyNumberFormat="1" applyFont="1" applyFill="1" applyBorder="1" applyAlignment="1">
      <alignment horizontal="center" vertical="center"/>
    </xf>
    <xf numFmtId="0" fontId="104" fillId="3" borderId="18" xfId="0" applyFont="1" applyFill="1" applyBorder="1" applyAlignment="1">
      <alignment horizontal="left" vertical="center" wrapText="1"/>
    </xf>
    <xf numFmtId="0" fontId="31" fillId="5" borderId="8" xfId="0" applyFont="1" applyFill="1" applyBorder="1" applyAlignment="1">
      <alignment horizontal="center" vertical="center"/>
    </xf>
    <xf numFmtId="0" fontId="16" fillId="5" borderId="8" xfId="0" applyFont="1" applyFill="1" applyBorder="1" applyAlignment="1">
      <alignment horizontal="center" vertical="center"/>
    </xf>
    <xf numFmtId="3" fontId="16" fillId="5" borderId="8" xfId="1" applyNumberFormat="1" applyFont="1" applyFill="1" applyBorder="1" applyAlignment="1">
      <alignment horizontal="right" vertical="center"/>
    </xf>
    <xf numFmtId="0" fontId="16" fillId="5" borderId="8" xfId="0" applyFont="1" applyFill="1" applyBorder="1" applyAlignment="1">
      <alignment horizontal="center" vertical="center" wrapText="1"/>
    </xf>
    <xf numFmtId="0" fontId="9" fillId="5" borderId="8" xfId="0" applyFont="1" applyFill="1" applyBorder="1" applyAlignment="1">
      <alignment horizontal="center" vertical="center" wrapText="1"/>
    </xf>
    <xf numFmtId="168" fontId="9" fillId="5" borderId="8" xfId="1" applyNumberFormat="1" applyFont="1" applyFill="1" applyBorder="1" applyAlignment="1">
      <alignment horizontal="left" vertical="center" wrapText="1"/>
    </xf>
    <xf numFmtId="0" fontId="9" fillId="5" borderId="8" xfId="0" applyFont="1" applyFill="1" applyBorder="1" applyAlignment="1">
      <alignment horizontal="center" vertical="center"/>
    </xf>
    <xf numFmtId="0" fontId="123" fillId="5" borderId="8" xfId="0" applyFont="1" applyFill="1" applyBorder="1" applyAlignment="1">
      <alignment horizontal="left" vertical="center"/>
    </xf>
    <xf numFmtId="49" fontId="16" fillId="5" borderId="16" xfId="0" applyNumberFormat="1" applyFont="1" applyFill="1" applyBorder="1" applyAlignment="1">
      <alignment horizontal="center" vertical="center"/>
    </xf>
    <xf numFmtId="0" fontId="9" fillId="5" borderId="0" xfId="0" applyFont="1" applyFill="1" applyAlignment="1">
      <alignment horizontal="center" vertical="center"/>
    </xf>
    <xf numFmtId="0" fontId="9" fillId="5" borderId="0" xfId="0" applyFont="1" applyFill="1" applyAlignment="1">
      <alignment vertical="center"/>
    </xf>
    <xf numFmtId="0" fontId="126" fillId="5" borderId="8" xfId="0" applyFont="1" applyFill="1" applyBorder="1" applyAlignment="1">
      <alignment horizontal="center" vertical="center" wrapText="1"/>
    </xf>
    <xf numFmtId="0" fontId="15" fillId="5" borderId="8" xfId="0" applyFont="1" applyFill="1" applyBorder="1" applyAlignment="1">
      <alignment horizontal="center" vertical="center"/>
    </xf>
    <xf numFmtId="3" fontId="16" fillId="5" borderId="16" xfId="1" applyNumberFormat="1" applyFont="1" applyFill="1" applyBorder="1" applyAlignment="1">
      <alignment horizontal="right" vertical="center"/>
    </xf>
    <xf numFmtId="0" fontId="15" fillId="5" borderId="8" xfId="0" applyFont="1" applyFill="1" applyBorder="1" applyAlignment="1">
      <alignment horizontal="center" vertical="center" wrapText="1"/>
    </xf>
    <xf numFmtId="0" fontId="12" fillId="5" borderId="8" xfId="0" applyFont="1" applyFill="1" applyBorder="1" applyAlignment="1">
      <alignment horizontal="center" vertical="center" wrapText="1"/>
    </xf>
    <xf numFmtId="0" fontId="101" fillId="5" borderId="8" xfId="0" applyFont="1" applyFill="1" applyBorder="1" applyAlignment="1">
      <alignment horizontal="center" vertical="center"/>
    </xf>
    <xf numFmtId="168" fontId="3" fillId="5" borderId="8" xfId="1" applyNumberFormat="1" applyFont="1" applyFill="1" applyBorder="1" applyAlignment="1">
      <alignment horizontal="left" vertical="center" wrapText="1"/>
    </xf>
    <xf numFmtId="164" fontId="3" fillId="5" borderId="8" xfId="0" applyNumberFormat="1" applyFont="1" applyFill="1" applyBorder="1" applyAlignment="1">
      <alignment vertical="center" wrapText="1"/>
    </xf>
    <xf numFmtId="0" fontId="16" fillId="5" borderId="0" xfId="0" applyFont="1" applyFill="1" applyAlignment="1">
      <alignment vertical="center"/>
    </xf>
    <xf numFmtId="0" fontId="116" fillId="5" borderId="18" xfId="0" applyFont="1" applyFill="1" applyBorder="1" applyAlignment="1">
      <alignment horizontal="center" vertical="center"/>
    </xf>
    <xf numFmtId="3" fontId="13" fillId="5" borderId="16" xfId="1" applyNumberFormat="1" applyFont="1" applyFill="1" applyBorder="1" applyAlignment="1">
      <alignment horizontal="right" vertical="center"/>
    </xf>
    <xf numFmtId="0" fontId="16" fillId="5" borderId="8" xfId="0" applyFont="1" applyFill="1" applyBorder="1" applyAlignment="1">
      <alignment horizontal="left" vertical="center"/>
    </xf>
    <xf numFmtId="0" fontId="93" fillId="5" borderId="0" xfId="0" applyFont="1" applyFill="1" applyAlignment="1">
      <alignment horizontal="center" vertical="center"/>
    </xf>
    <xf numFmtId="0" fontId="16" fillId="5" borderId="0" xfId="0" applyFont="1" applyFill="1" applyAlignment="1">
      <alignment horizontal="center" vertical="center"/>
    </xf>
    <xf numFmtId="3" fontId="16" fillId="5" borderId="0" xfId="1" applyNumberFormat="1" applyFont="1" applyFill="1" applyAlignment="1">
      <alignment horizontal="right" vertical="center"/>
    </xf>
    <xf numFmtId="0" fontId="16" fillId="5" borderId="0" xfId="0" applyFont="1" applyFill="1" applyAlignment="1">
      <alignment vertical="center" wrapText="1"/>
    </xf>
    <xf numFmtId="0" fontId="16" fillId="5" borderId="0" xfId="0" applyFont="1" applyFill="1" applyAlignment="1">
      <alignment horizontal="center" vertical="center" wrapText="1"/>
    </xf>
    <xf numFmtId="0" fontId="16" fillId="5" borderId="0" xfId="0" applyFont="1" applyFill="1" applyAlignment="1">
      <alignment horizontal="left" vertical="center"/>
    </xf>
    <xf numFmtId="164" fontId="16" fillId="5" borderId="0" xfId="1" applyNumberFormat="1" applyFont="1" applyFill="1" applyAlignment="1">
      <alignment vertical="center"/>
    </xf>
    <xf numFmtId="0" fontId="74" fillId="5" borderId="8" xfId="0" applyFont="1" applyFill="1" applyBorder="1" applyAlignment="1">
      <alignment horizontal="center" vertical="center"/>
    </xf>
    <xf numFmtId="164" fontId="115" fillId="0" borderId="8" xfId="1" applyNumberFormat="1" applyFont="1" applyBorder="1" applyAlignment="1">
      <alignment vertical="center" wrapText="1"/>
    </xf>
    <xf numFmtId="14" fontId="113" fillId="0" borderId="8" xfId="0" applyNumberFormat="1" applyFont="1" applyBorder="1" applyAlignment="1">
      <alignment horizontal="center" vertical="center" wrapText="1"/>
    </xf>
    <xf numFmtId="165" fontId="114" fillId="0" borderId="8" xfId="1" applyNumberFormat="1" applyFont="1" applyBorder="1" applyAlignment="1">
      <alignment horizontal="center" vertical="center" wrapText="1"/>
    </xf>
    <xf numFmtId="14" fontId="111" fillId="2" borderId="8" xfId="0" applyNumberFormat="1" applyFont="1" applyFill="1" applyBorder="1" applyAlignment="1">
      <alignment horizontal="center" vertical="center" wrapText="1"/>
    </xf>
    <xf numFmtId="165" fontId="111" fillId="0" borderId="8" xfId="1" applyNumberFormat="1" applyFont="1" applyBorder="1" applyAlignment="1">
      <alignment vertical="center" wrapText="1"/>
    </xf>
    <xf numFmtId="49" fontId="24" fillId="0" borderId="8" xfId="1" applyNumberFormat="1" applyFont="1" applyBorder="1" applyAlignment="1">
      <alignment horizontal="center" vertical="center" wrapText="1"/>
    </xf>
    <xf numFmtId="0" fontId="104" fillId="37" borderId="8" xfId="0" applyFont="1" applyFill="1" applyBorder="1" applyAlignment="1">
      <alignment horizontal="center" vertical="center" wrapText="1"/>
    </xf>
    <xf numFmtId="0" fontId="100" fillId="0" borderId="8" xfId="0" applyFont="1" applyBorder="1" applyAlignment="1">
      <alignment horizontal="center" vertical="center" wrapText="1"/>
    </xf>
    <xf numFmtId="0" fontId="135" fillId="0" borderId="8" xfId="0" applyFont="1" applyBorder="1" applyAlignment="1">
      <alignment horizontal="center" vertical="center" wrapText="1"/>
    </xf>
    <xf numFmtId="0" fontId="106" fillId="32" borderId="8" xfId="0" applyFont="1" applyFill="1" applyBorder="1" applyAlignment="1">
      <alignment horizontal="center" vertical="center" wrapText="1"/>
    </xf>
    <xf numFmtId="0" fontId="116" fillId="0" borderId="8" xfId="0" applyFont="1" applyBorder="1" applyAlignment="1">
      <alignment vertical="center" wrapText="1"/>
    </xf>
    <xf numFmtId="0" fontId="133" fillId="0" borderId="8" xfId="0" applyFont="1" applyBorder="1" applyAlignment="1">
      <alignment horizontal="center" vertical="center" wrapText="1"/>
    </xf>
    <xf numFmtId="0" fontId="106" fillId="5" borderId="16" xfId="0" applyFont="1" applyFill="1" applyBorder="1" applyAlignment="1">
      <alignment horizontal="center" vertical="center" wrapText="1"/>
    </xf>
    <xf numFmtId="0" fontId="104" fillId="5" borderId="8" xfId="0" applyFont="1" applyFill="1" applyBorder="1" applyAlignment="1">
      <alignment horizontal="center" vertical="center" wrapText="1"/>
    </xf>
    <xf numFmtId="168" fontId="104" fillId="5" borderId="8" xfId="1" applyNumberFormat="1" applyFont="1" applyFill="1" applyBorder="1" applyAlignment="1">
      <alignment horizontal="right" vertical="center"/>
    </xf>
    <xf numFmtId="0" fontId="104" fillId="5" borderId="51" xfId="0" applyFont="1" applyFill="1" applyBorder="1" applyAlignment="1">
      <alignment horizontal="left" vertical="center" wrapText="1"/>
    </xf>
    <xf numFmtId="0" fontId="104" fillId="5" borderId="16" xfId="0" applyFont="1" applyFill="1" applyBorder="1" applyAlignment="1">
      <alignment horizontal="center" vertical="center" wrapText="1"/>
    </xf>
    <xf numFmtId="3" fontId="104" fillId="5" borderId="8" xfId="1" applyNumberFormat="1" applyFont="1" applyFill="1" applyBorder="1" applyAlignment="1">
      <alignment horizontal="right" vertical="center"/>
    </xf>
    <xf numFmtId="0" fontId="104" fillId="5" borderId="8" xfId="0" applyFont="1" applyFill="1" applyBorder="1" applyAlignment="1">
      <alignment horizontal="left" vertical="center"/>
    </xf>
    <xf numFmtId="49" fontId="3" fillId="5" borderId="16" xfId="0" applyNumberFormat="1" applyFont="1" applyFill="1" applyBorder="1" applyAlignment="1">
      <alignment horizontal="center" vertical="center"/>
    </xf>
    <xf numFmtId="0" fontId="105" fillId="5" borderId="8" xfId="0" applyFont="1" applyFill="1" applyBorder="1" applyAlignment="1">
      <alignment horizontal="center" vertical="center"/>
    </xf>
    <xf numFmtId="14" fontId="13" fillId="5" borderId="8" xfId="0" applyNumberFormat="1" applyFont="1" applyFill="1" applyBorder="1" applyAlignment="1">
      <alignment horizontal="center" vertical="center" wrapText="1"/>
    </xf>
    <xf numFmtId="0" fontId="116" fillId="5" borderId="8" xfId="0" applyFont="1" applyFill="1" applyBorder="1" applyAlignment="1">
      <alignment horizontal="center" vertical="center" wrapText="1"/>
    </xf>
    <xf numFmtId="0" fontId="106" fillId="5" borderId="12" xfId="0" applyFont="1" applyFill="1" applyBorder="1" applyAlignment="1">
      <alignment horizontal="center" vertical="center"/>
    </xf>
    <xf numFmtId="0" fontId="3" fillId="5" borderId="0" xfId="0" applyFont="1" applyFill="1" applyAlignment="1">
      <alignment horizontal="center" vertical="center" wrapText="1"/>
    </xf>
    <xf numFmtId="0" fontId="12" fillId="5" borderId="8" xfId="0" applyFont="1" applyFill="1" applyBorder="1" applyAlignment="1">
      <alignment horizontal="left" vertical="center" wrapText="1"/>
    </xf>
    <xf numFmtId="49" fontId="12" fillId="5" borderId="25" xfId="0" applyNumberFormat="1" applyFont="1" applyFill="1" applyBorder="1" applyAlignment="1">
      <alignment horizontal="center" vertical="center"/>
    </xf>
    <xf numFmtId="0" fontId="74" fillId="0" borderId="18" xfId="0" applyFont="1" applyBorder="1" applyAlignment="1">
      <alignment horizontal="center" vertical="center"/>
    </xf>
    <xf numFmtId="0" fontId="116" fillId="0" borderId="12" xfId="0" applyFont="1" applyBorder="1" applyAlignment="1">
      <alignment vertical="center" wrapText="1"/>
    </xf>
    <xf numFmtId="0" fontId="116" fillId="0" borderId="18" xfId="0" applyFont="1" applyBorder="1" applyAlignment="1">
      <alignment vertical="center" wrapText="1"/>
    </xf>
    <xf numFmtId="0" fontId="106" fillId="0" borderId="16" xfId="0" quotePrefix="1" applyFont="1" applyBorder="1" applyAlignment="1">
      <alignment horizontal="center" vertical="center" wrapText="1"/>
    </xf>
    <xf numFmtId="0" fontId="116" fillId="23" borderId="19" xfId="0" applyFont="1" applyFill="1" applyBorder="1" applyAlignment="1">
      <alignment horizontal="center" vertical="center" wrapText="1"/>
    </xf>
    <xf numFmtId="0" fontId="15" fillId="23" borderId="18" xfId="0" applyFont="1" applyFill="1" applyBorder="1" applyAlignment="1">
      <alignment horizontal="center" vertical="center" wrapText="1"/>
    </xf>
    <xf numFmtId="0" fontId="105" fillId="23" borderId="22" xfId="0" applyFont="1" applyFill="1" applyBorder="1" applyAlignment="1">
      <alignment horizontal="center" vertical="center" wrapText="1"/>
    </xf>
    <xf numFmtId="0" fontId="39" fillId="23" borderId="0" xfId="0" applyFont="1" applyFill="1" applyAlignment="1">
      <alignment horizontal="center" vertical="center"/>
    </xf>
    <xf numFmtId="3" fontId="12" fillId="23" borderId="0" xfId="1" applyNumberFormat="1" applyFont="1" applyFill="1" applyAlignment="1">
      <alignment horizontal="right" vertical="center"/>
    </xf>
    <xf numFmtId="0" fontId="12" fillId="23" borderId="0" xfId="0" applyFont="1" applyFill="1" applyAlignment="1">
      <alignment vertical="center" wrapText="1"/>
    </xf>
    <xf numFmtId="164" fontId="12" fillId="23" borderId="0" xfId="1" applyNumberFormat="1" applyFont="1" applyFill="1" applyAlignment="1">
      <alignment vertical="center"/>
    </xf>
    <xf numFmtId="0" fontId="12" fillId="23" borderId="0" xfId="0" applyFont="1" applyFill="1" applyAlignment="1">
      <alignment vertical="center"/>
    </xf>
    <xf numFmtId="0" fontId="106" fillId="23" borderId="34" xfId="0" applyFont="1" applyFill="1" applyBorder="1" applyAlignment="1">
      <alignment horizontal="center" vertical="center" wrapText="1"/>
    </xf>
    <xf numFmtId="0" fontId="101" fillId="0" borderId="16" xfId="0" applyFont="1" applyBorder="1" applyAlignment="1">
      <alignment horizontal="center" vertical="center" wrapText="1"/>
    </xf>
    <xf numFmtId="49" fontId="15" fillId="0" borderId="16" xfId="0" applyNumberFormat="1" applyFont="1" applyBorder="1" applyAlignment="1">
      <alignment horizontal="center" vertical="center"/>
    </xf>
    <xf numFmtId="168" fontId="16" fillId="0" borderId="8" xfId="1" applyNumberFormat="1" applyFont="1" applyBorder="1" applyAlignment="1">
      <alignment horizontal="right" vertical="center"/>
    </xf>
    <xf numFmtId="0" fontId="101" fillId="0" borderId="8" xfId="0" applyFont="1" applyBorder="1" applyAlignment="1">
      <alignment horizontal="center" vertical="center" wrapText="1"/>
    </xf>
    <xf numFmtId="3" fontId="15" fillId="0" borderId="8" xfId="1" applyNumberFormat="1" applyFont="1" applyFill="1" applyBorder="1" applyAlignment="1">
      <alignment horizontal="right" vertical="center"/>
    </xf>
    <xf numFmtId="168" fontId="15" fillId="0" borderId="8" xfId="1" applyNumberFormat="1" applyFont="1" applyFill="1" applyBorder="1" applyAlignment="1">
      <alignment horizontal="right" vertical="center"/>
    </xf>
    <xf numFmtId="0" fontId="39" fillId="0" borderId="8" xfId="0" applyFont="1" applyBorder="1" applyAlignment="1">
      <alignment horizontal="center" vertical="center"/>
    </xf>
    <xf numFmtId="0" fontId="9" fillId="0" borderId="12" xfId="0" applyFont="1" applyBorder="1" applyAlignment="1">
      <alignment horizontal="center" vertical="center" wrapText="1"/>
    </xf>
    <xf numFmtId="0" fontId="143" fillId="0" borderId="8" xfId="0" applyFont="1" applyBorder="1" applyAlignment="1">
      <alignment horizontal="center" vertical="center" wrapText="1"/>
    </xf>
    <xf numFmtId="0" fontId="27" fillId="5" borderId="12" xfId="0" applyFont="1" applyFill="1" applyBorder="1" applyAlignment="1">
      <alignment vertical="center"/>
    </xf>
    <xf numFmtId="0" fontId="27" fillId="5" borderId="22" xfId="0" applyFont="1" applyFill="1" applyBorder="1" applyAlignment="1">
      <alignment vertical="center"/>
    </xf>
    <xf numFmtId="0" fontId="27" fillId="5" borderId="18" xfId="0" applyFont="1" applyFill="1" applyBorder="1" applyAlignment="1">
      <alignment vertical="center"/>
    </xf>
    <xf numFmtId="3" fontId="3" fillId="0" borderId="18" xfId="1" applyNumberFormat="1" applyFont="1" applyFill="1" applyBorder="1" applyAlignment="1">
      <alignment horizontal="center" vertical="center"/>
    </xf>
    <xf numFmtId="0" fontId="104" fillId="0" borderId="23" xfId="0" applyFont="1" applyBorder="1" applyAlignment="1">
      <alignment horizontal="center" vertical="center" wrapText="1"/>
    </xf>
    <xf numFmtId="164" fontId="104" fillId="0" borderId="8" xfId="1" applyNumberFormat="1" applyFont="1" applyFill="1" applyBorder="1" applyAlignment="1">
      <alignment horizontal="right" vertical="center"/>
    </xf>
    <xf numFmtId="0" fontId="103" fillId="0" borderId="8" xfId="0" applyFont="1" applyBorder="1" applyAlignment="1">
      <alignment horizontal="left" vertical="center"/>
    </xf>
    <xf numFmtId="168" fontId="13" fillId="0" borderId="17" xfId="1" applyNumberFormat="1" applyFont="1" applyBorder="1" applyAlignment="1">
      <alignment horizontal="right" vertical="center"/>
    </xf>
    <xf numFmtId="0" fontId="9" fillId="0" borderId="16" xfId="0" applyFont="1" applyBorder="1" applyAlignment="1">
      <alignment horizontal="center" vertical="center"/>
    </xf>
    <xf numFmtId="168" fontId="3" fillId="0" borderId="8" xfId="1" applyNumberFormat="1" applyFont="1" applyBorder="1" applyAlignment="1">
      <alignment horizontal="left" vertical="center" wrapText="1"/>
    </xf>
    <xf numFmtId="168" fontId="9" fillId="0" borderId="12" xfId="1" applyNumberFormat="1" applyFont="1" applyBorder="1" applyAlignment="1">
      <alignment horizontal="left" vertical="center" wrapText="1"/>
    </xf>
    <xf numFmtId="16" fontId="13" fillId="0" borderId="8" xfId="0" applyNumberFormat="1" applyFont="1" applyBorder="1" applyAlignment="1">
      <alignment horizontal="center" vertical="center" wrapText="1"/>
    </xf>
    <xf numFmtId="0" fontId="102" fillId="0" borderId="8" xfId="0" applyFont="1" applyBorder="1" applyAlignment="1">
      <alignment horizontal="left" vertical="center" wrapText="1"/>
    </xf>
    <xf numFmtId="0" fontId="116" fillId="5" borderId="22" xfId="0" applyFont="1" applyFill="1" applyBorder="1" applyAlignment="1">
      <alignment vertical="center" wrapText="1"/>
    </xf>
    <xf numFmtId="3" fontId="3" fillId="5" borderId="8" xfId="1" applyNumberFormat="1" applyFont="1" applyFill="1" applyBorder="1" applyAlignment="1">
      <alignment horizontal="center" vertical="center"/>
    </xf>
    <xf numFmtId="3" fontId="3" fillId="0" borderId="22" xfId="1" applyNumberFormat="1" applyFont="1" applyFill="1" applyBorder="1" applyAlignment="1">
      <alignment horizontal="right" vertical="center"/>
    </xf>
    <xf numFmtId="0" fontId="100" fillId="0" borderId="8" xfId="0" applyFont="1" applyBorder="1" applyAlignment="1">
      <alignment horizontal="left" vertical="center" wrapText="1"/>
    </xf>
    <xf numFmtId="3" fontId="13" fillId="0" borderId="8" xfId="1" applyNumberFormat="1" applyFont="1" applyBorder="1" applyAlignment="1">
      <alignment horizontal="center" vertical="center"/>
    </xf>
    <xf numFmtId="164" fontId="3" fillId="0" borderId="8" xfId="0" applyNumberFormat="1" applyFont="1" applyBorder="1" applyAlignment="1">
      <alignment horizontal="right" vertical="center"/>
    </xf>
    <xf numFmtId="164" fontId="13" fillId="0" borderId="8" xfId="1" applyNumberFormat="1" applyFont="1" applyFill="1" applyBorder="1" applyAlignment="1">
      <alignment vertical="center"/>
    </xf>
    <xf numFmtId="49" fontId="13" fillId="0" borderId="16" xfId="0" applyNumberFormat="1" applyFont="1" applyBorder="1" applyAlignment="1">
      <alignment horizontal="center" vertical="center"/>
    </xf>
    <xf numFmtId="0" fontId="27" fillId="0" borderId="0" xfId="0" applyFont="1" applyAlignment="1">
      <alignment horizontal="center" vertical="center"/>
    </xf>
    <xf numFmtId="0" fontId="13" fillId="0" borderId="0" xfId="0" applyFont="1" applyAlignment="1">
      <alignment horizontal="center" vertical="center"/>
    </xf>
    <xf numFmtId="3" fontId="13" fillId="0" borderId="0" xfId="1" applyNumberFormat="1" applyFont="1" applyFill="1" applyAlignment="1">
      <alignment horizontal="right" vertical="center"/>
    </xf>
    <xf numFmtId="0" fontId="13" fillId="0" borderId="0" xfId="0" applyFont="1" applyAlignment="1">
      <alignment horizontal="left" vertical="center"/>
    </xf>
    <xf numFmtId="164" fontId="13" fillId="0" borderId="0" xfId="1" applyNumberFormat="1" applyFont="1" applyFill="1" applyAlignment="1">
      <alignment vertical="center"/>
    </xf>
    <xf numFmtId="14" fontId="3" fillId="0" borderId="8" xfId="0" applyNumberFormat="1" applyFont="1" applyBorder="1" applyAlignment="1">
      <alignment horizontal="center" vertical="center" wrapText="1"/>
    </xf>
    <xf numFmtId="14" fontId="106" fillId="0" borderId="8" xfId="0" applyNumberFormat="1" applyFont="1" applyBorder="1" applyAlignment="1">
      <alignment horizontal="center" vertical="center" wrapText="1"/>
    </xf>
    <xf numFmtId="0" fontId="27" fillId="5" borderId="12" xfId="0" applyFont="1" applyFill="1" applyBorder="1" applyAlignment="1">
      <alignment horizontal="center" vertical="center"/>
    </xf>
    <xf numFmtId="0" fontId="27" fillId="5" borderId="22" xfId="0" applyFont="1" applyFill="1" applyBorder="1" applyAlignment="1">
      <alignment horizontal="center" vertical="center"/>
    </xf>
    <xf numFmtId="0" fontId="27" fillId="5" borderId="18" xfId="0" applyFont="1" applyFill="1" applyBorder="1" applyAlignment="1">
      <alignment horizontal="center" vertical="center"/>
    </xf>
    <xf numFmtId="0" fontId="104" fillId="23" borderId="51" xfId="0" applyFont="1" applyFill="1" applyBorder="1" applyAlignment="1">
      <alignment horizontal="left" vertical="center" wrapText="1"/>
    </xf>
    <xf numFmtId="3" fontId="106" fillId="23" borderId="12" xfId="1" applyNumberFormat="1" applyFont="1" applyFill="1" applyBorder="1" applyAlignment="1">
      <alignment horizontal="right" vertical="center"/>
    </xf>
    <xf numFmtId="0" fontId="13" fillId="5" borderId="12" xfId="0" applyFont="1" applyFill="1" applyBorder="1" applyAlignment="1">
      <alignment horizontal="center" vertical="center"/>
    </xf>
    <xf numFmtId="3" fontId="13" fillId="5" borderId="12" xfId="1" applyNumberFormat="1" applyFont="1" applyFill="1" applyBorder="1" applyAlignment="1">
      <alignment horizontal="right" vertical="center"/>
    </xf>
    <xf numFmtId="0" fontId="13" fillId="5" borderId="12" xfId="0" applyFont="1" applyFill="1" applyBorder="1" applyAlignment="1">
      <alignment horizontal="center" vertical="center" wrapText="1"/>
    </xf>
    <xf numFmtId="0" fontId="106" fillId="5" borderId="51" xfId="0" applyFont="1" applyFill="1" applyBorder="1" applyAlignment="1">
      <alignment horizontal="left" vertical="center" wrapText="1"/>
    </xf>
    <xf numFmtId="0" fontId="3" fillId="5" borderId="16" xfId="0" applyFont="1" applyFill="1" applyBorder="1" applyAlignment="1">
      <alignment horizontal="center" vertical="center" wrapText="1"/>
    </xf>
    <xf numFmtId="0" fontId="106" fillId="5" borderId="10" xfId="0" applyFont="1" applyFill="1" applyBorder="1" applyAlignment="1">
      <alignment horizontal="center" vertical="center" wrapText="1"/>
    </xf>
    <xf numFmtId="0" fontId="15" fillId="5" borderId="8" xfId="0" applyFont="1" applyFill="1" applyBorder="1" applyAlignment="1">
      <alignment horizontal="left" vertical="center" wrapText="1"/>
    </xf>
    <xf numFmtId="49" fontId="12" fillId="5" borderId="8" xfId="0" applyNumberFormat="1" applyFont="1" applyFill="1" applyBorder="1" applyAlignment="1">
      <alignment horizontal="center" vertical="center"/>
    </xf>
    <xf numFmtId="0" fontId="28" fillId="32" borderId="10" xfId="0" applyFont="1" applyFill="1" applyBorder="1" applyAlignment="1">
      <alignment horizontal="center" vertical="center"/>
    </xf>
    <xf numFmtId="49" fontId="12" fillId="32" borderId="16" xfId="0" applyNumberFormat="1" applyFont="1" applyFill="1" applyBorder="1" applyAlignment="1">
      <alignment horizontal="center" vertical="center"/>
    </xf>
    <xf numFmtId="49" fontId="9" fillId="0" borderId="8" xfId="0" applyNumberFormat="1" applyFont="1" applyBorder="1" applyAlignment="1">
      <alignment horizontal="center" vertical="center"/>
    </xf>
    <xf numFmtId="0" fontId="13" fillId="0" borderId="8" xfId="0" quotePrefix="1" applyFont="1" applyBorder="1" applyAlignment="1">
      <alignment horizontal="center" vertical="center" wrapText="1"/>
    </xf>
    <xf numFmtId="0" fontId="101" fillId="5" borderId="8" xfId="0" applyFont="1" applyFill="1" applyBorder="1" applyAlignment="1">
      <alignment horizontal="left" vertical="center" wrapText="1"/>
    </xf>
    <xf numFmtId="0" fontId="105" fillId="32" borderId="8" xfId="0" applyFont="1" applyFill="1" applyBorder="1" applyAlignment="1">
      <alignment horizontal="center" vertical="center" wrapText="1"/>
    </xf>
    <xf numFmtId="16" fontId="3" fillId="0" borderId="8" xfId="0" quotePrefix="1" applyNumberFormat="1" applyFont="1" applyBorder="1" applyAlignment="1">
      <alignment horizontal="center" vertical="center" wrapText="1"/>
    </xf>
    <xf numFmtId="0" fontId="117" fillId="0" borderId="12" xfId="0" applyFont="1" applyBorder="1" applyAlignment="1">
      <alignment vertical="center" wrapText="1"/>
    </xf>
    <xf numFmtId="0" fontId="104" fillId="0" borderId="16" xfId="0" quotePrefix="1" applyFont="1" applyBorder="1" applyAlignment="1">
      <alignment horizontal="center" vertical="center" wrapText="1"/>
    </xf>
    <xf numFmtId="168" fontId="3" fillId="0" borderId="12" xfId="1" applyNumberFormat="1" applyFont="1" applyBorder="1" applyAlignment="1">
      <alignment horizontal="left" vertical="center" wrapText="1"/>
    </xf>
    <xf numFmtId="0" fontId="16" fillId="5" borderId="12" xfId="0" applyFont="1" applyFill="1" applyBorder="1" applyAlignment="1">
      <alignment horizontal="center" vertical="center" wrapText="1"/>
    </xf>
    <xf numFmtId="0" fontId="16" fillId="5" borderId="12" xfId="0" applyFont="1" applyFill="1" applyBorder="1" applyAlignment="1">
      <alignment horizontal="center" vertical="center"/>
    </xf>
    <xf numFmtId="0" fontId="100" fillId="5" borderId="8" xfId="0" applyFont="1" applyFill="1" applyBorder="1" applyAlignment="1">
      <alignment horizontal="center" vertical="center"/>
    </xf>
    <xf numFmtId="168" fontId="16" fillId="5" borderId="8" xfId="1" applyNumberFormat="1" applyFont="1" applyFill="1" applyBorder="1" applyAlignment="1">
      <alignment horizontal="right" vertical="center"/>
    </xf>
    <xf numFmtId="0" fontId="15" fillId="5" borderId="12" xfId="0" applyFont="1" applyFill="1" applyBorder="1" applyAlignment="1">
      <alignment horizontal="center" vertical="center" wrapText="1"/>
    </xf>
    <xf numFmtId="0" fontId="15" fillId="5" borderId="12" xfId="0" applyFont="1" applyFill="1" applyBorder="1" applyAlignment="1">
      <alignment horizontal="center" vertical="center"/>
    </xf>
    <xf numFmtId="168" fontId="15" fillId="5" borderId="8" xfId="1" applyNumberFormat="1" applyFont="1" applyFill="1" applyBorder="1" applyAlignment="1">
      <alignment horizontal="right" vertical="center"/>
    </xf>
    <xf numFmtId="0" fontId="105" fillId="32" borderId="12" xfId="0" applyFont="1" applyFill="1" applyBorder="1" applyAlignment="1">
      <alignment horizontal="center" vertical="center" wrapText="1"/>
    </xf>
    <xf numFmtId="164" fontId="5" fillId="0" borderId="1" xfId="1" applyNumberFormat="1" applyFont="1" applyBorder="1" applyAlignment="1">
      <alignment horizontal="left" vertical="center"/>
    </xf>
    <xf numFmtId="0" fontId="62" fillId="0" borderId="5" xfId="0" applyFont="1" applyBorder="1" applyAlignment="1">
      <alignment horizontal="center" vertical="center"/>
    </xf>
    <xf numFmtId="0" fontId="66" fillId="25" borderId="9" xfId="0" applyFont="1" applyFill="1" applyBorder="1" applyAlignment="1">
      <alignment horizontal="center" vertical="center"/>
    </xf>
    <xf numFmtId="0" fontId="66" fillId="25" borderId="38" xfId="0" applyFont="1" applyFill="1" applyBorder="1" applyAlignment="1">
      <alignment horizontal="center" vertical="center"/>
    </xf>
    <xf numFmtId="0" fontId="66" fillId="25" borderId="11" xfId="0" applyFont="1" applyFill="1" applyBorder="1" applyAlignment="1">
      <alignment horizontal="center" vertical="center"/>
    </xf>
    <xf numFmtId="0" fontId="28" fillId="0" borderId="5" xfId="0" applyFont="1" applyBorder="1" applyAlignment="1">
      <alignment horizontal="center" vertical="center"/>
    </xf>
    <xf numFmtId="0" fontId="54" fillId="0" borderId="5" xfId="0" applyFont="1" applyBorder="1" applyAlignment="1">
      <alignment horizontal="center" vertical="center"/>
    </xf>
    <xf numFmtId="0" fontId="59" fillId="2" borderId="37" xfId="0" applyFont="1" applyFill="1" applyBorder="1" applyAlignment="1">
      <alignment horizontal="center" vertical="center" wrapText="1"/>
    </xf>
    <xf numFmtId="0" fontId="59" fillId="2" borderId="0" xfId="0" applyFont="1" applyFill="1" applyAlignment="1">
      <alignment horizontal="center" vertical="center" wrapText="1"/>
    </xf>
    <xf numFmtId="0" fontId="59" fillId="2" borderId="15" xfId="0" applyFont="1" applyFill="1" applyBorder="1" applyAlignment="1">
      <alignment horizontal="center" vertical="center" wrapText="1"/>
    </xf>
    <xf numFmtId="0" fontId="59" fillId="2" borderId="36" xfId="0" applyFont="1" applyFill="1" applyBorder="1" applyAlignment="1">
      <alignment horizontal="center" vertical="center" wrapText="1"/>
    </xf>
    <xf numFmtId="0" fontId="59" fillId="2" borderId="1" xfId="0" applyFont="1" applyFill="1" applyBorder="1" applyAlignment="1">
      <alignment horizontal="center" vertical="center" wrapText="1"/>
    </xf>
    <xf numFmtId="0" fontId="59" fillId="2" borderId="13" xfId="0" applyFont="1" applyFill="1" applyBorder="1" applyAlignment="1">
      <alignment horizontal="center" vertical="center" wrapText="1"/>
    </xf>
    <xf numFmtId="0" fontId="7" fillId="0" borderId="2" xfId="0" applyFont="1" applyBorder="1" applyAlignment="1">
      <alignment horizontal="center" vertical="center"/>
    </xf>
    <xf numFmtId="0" fontId="52" fillId="0" borderId="0" xfId="0" applyFont="1" applyAlignment="1">
      <alignment horizontal="center" vertical="center" wrapText="1"/>
    </xf>
    <xf numFmtId="165" fontId="20" fillId="0" borderId="5" xfId="1" applyNumberFormat="1" applyFont="1" applyBorder="1" applyAlignment="1">
      <alignment horizontal="center" vertical="center"/>
    </xf>
    <xf numFmtId="0" fontId="43" fillId="0" borderId="0" xfId="0" applyFont="1" applyAlignment="1">
      <alignment horizontal="center" vertical="center" wrapText="1"/>
    </xf>
    <xf numFmtId="0" fontId="43" fillId="0" borderId="0" xfId="0" applyFont="1" applyAlignment="1">
      <alignment horizontal="center" vertical="center"/>
    </xf>
    <xf numFmtId="3" fontId="5" fillId="13" borderId="7" xfId="0" applyNumberFormat="1" applyFont="1" applyFill="1" applyBorder="1" applyAlignment="1">
      <alignment horizontal="center" vertical="center" wrapText="1"/>
    </xf>
    <xf numFmtId="3" fontId="5" fillId="13" borderId="14" xfId="0" applyNumberFormat="1" applyFont="1" applyFill="1" applyBorder="1" applyAlignment="1">
      <alignment horizontal="center" vertical="center" wrapText="1"/>
    </xf>
    <xf numFmtId="3" fontId="5" fillId="13" borderId="6" xfId="0" applyNumberFormat="1" applyFont="1" applyFill="1" applyBorder="1" applyAlignment="1">
      <alignment horizontal="center" vertical="center" wrapText="1"/>
    </xf>
    <xf numFmtId="0" fontId="5" fillId="0" borderId="29" xfId="0" applyFont="1" applyBorder="1" applyAlignment="1">
      <alignment horizontal="center" vertical="center" wrapText="1"/>
    </xf>
    <xf numFmtId="0" fontId="5" fillId="0" borderId="0" xfId="0" applyFont="1" applyAlignment="1">
      <alignment horizontal="center" vertical="center" wrapText="1"/>
    </xf>
    <xf numFmtId="0" fontId="5" fillId="0" borderId="0" xfId="0" applyFont="1" applyAlignment="1">
      <alignment horizontal="center" vertical="center"/>
    </xf>
    <xf numFmtId="0" fontId="5" fillId="0" borderId="28" xfId="0" applyFont="1" applyBorder="1" applyAlignment="1">
      <alignment horizontal="center" vertical="center"/>
    </xf>
    <xf numFmtId="0" fontId="5" fillId="0" borderId="29" xfId="0" applyFont="1" applyBorder="1" applyAlignment="1">
      <alignment horizontal="center" vertical="center"/>
    </xf>
    <xf numFmtId="0" fontId="5" fillId="0" borderId="30" xfId="0" applyFont="1" applyBorder="1" applyAlignment="1">
      <alignment horizontal="center" vertical="center"/>
    </xf>
    <xf numFmtId="0" fontId="5" fillId="0" borderId="31" xfId="0" applyFont="1" applyBorder="1" applyAlignment="1">
      <alignment horizontal="center" vertical="center"/>
    </xf>
    <xf numFmtId="0" fontId="5" fillId="0" borderId="32" xfId="0" applyFont="1" applyBorder="1" applyAlignment="1">
      <alignment horizontal="center" vertical="center"/>
    </xf>
    <xf numFmtId="0" fontId="5" fillId="0" borderId="33" xfId="0" applyFont="1" applyBorder="1" applyAlignment="1">
      <alignment horizontal="center" vertical="center"/>
    </xf>
    <xf numFmtId="0" fontId="12" fillId="19" borderId="12" xfId="0" applyFont="1" applyFill="1" applyBorder="1" applyAlignment="1">
      <alignment horizontal="center" vertical="center" wrapText="1"/>
    </xf>
    <xf numFmtId="0" fontId="12" fillId="19" borderId="22" xfId="0" applyFont="1" applyFill="1" applyBorder="1" applyAlignment="1">
      <alignment horizontal="center" vertical="center" wrapText="1"/>
    </xf>
    <xf numFmtId="0" fontId="12" fillId="19" borderId="18" xfId="0" applyFont="1" applyFill="1" applyBorder="1" applyAlignment="1">
      <alignment horizontal="center" vertical="center" wrapText="1"/>
    </xf>
    <xf numFmtId="164" fontId="5" fillId="0" borderId="1" xfId="1" applyNumberFormat="1" applyFont="1" applyFill="1" applyBorder="1" applyAlignment="1">
      <alignment horizontal="left" vertical="center"/>
    </xf>
    <xf numFmtId="165" fontId="20" fillId="0" borderId="5" xfId="1" applyNumberFormat="1" applyFont="1" applyFill="1" applyBorder="1" applyAlignment="1">
      <alignment horizontal="center" vertical="center"/>
    </xf>
    <xf numFmtId="0" fontId="5" fillId="2" borderId="26" xfId="0" applyFont="1" applyFill="1" applyBorder="1" applyAlignment="1">
      <alignment horizontal="center" vertical="center" wrapText="1"/>
    </xf>
    <xf numFmtId="0" fontId="5" fillId="2" borderId="27" xfId="0" applyFont="1" applyFill="1" applyBorder="1" applyAlignment="1">
      <alignment horizontal="center" vertical="center" wrapText="1"/>
    </xf>
    <xf numFmtId="0" fontId="5" fillId="2" borderId="27" xfId="0" applyFont="1" applyFill="1" applyBorder="1" applyAlignment="1">
      <alignment horizontal="center" vertical="center"/>
    </xf>
    <xf numFmtId="0" fontId="5" fillId="2" borderId="28" xfId="0" applyFont="1" applyFill="1" applyBorder="1" applyAlignment="1">
      <alignment horizontal="center" vertical="center"/>
    </xf>
    <xf numFmtId="0" fontId="5" fillId="2" borderId="29" xfId="0" applyFont="1" applyFill="1" applyBorder="1" applyAlignment="1">
      <alignment horizontal="center" vertical="center"/>
    </xf>
    <xf numFmtId="0" fontId="5" fillId="2" borderId="0" xfId="0" applyFont="1" applyFill="1" applyAlignment="1">
      <alignment horizontal="center" vertical="center"/>
    </xf>
    <xf numFmtId="0" fontId="5" fillId="2" borderId="30" xfId="0" applyFont="1" applyFill="1" applyBorder="1" applyAlignment="1">
      <alignment horizontal="center" vertical="center"/>
    </xf>
    <xf numFmtId="0" fontId="5" fillId="2" borderId="31" xfId="0" applyFont="1" applyFill="1" applyBorder="1" applyAlignment="1">
      <alignment horizontal="center" vertical="center"/>
    </xf>
    <xf numFmtId="0" fontId="5" fillId="2" borderId="32" xfId="0" applyFont="1" applyFill="1" applyBorder="1" applyAlignment="1">
      <alignment horizontal="center" vertical="center"/>
    </xf>
    <xf numFmtId="0" fontId="5" fillId="2" borderId="33" xfId="0" applyFont="1" applyFill="1" applyBorder="1" applyAlignment="1">
      <alignment horizontal="center" vertical="center"/>
    </xf>
    <xf numFmtId="0" fontId="18" fillId="0" borderId="2" xfId="0" applyFont="1" applyBorder="1" applyAlignment="1">
      <alignment horizontal="center" vertical="center"/>
    </xf>
    <xf numFmtId="0" fontId="18" fillId="0" borderId="3" xfId="0" applyFont="1" applyBorder="1" applyAlignment="1">
      <alignment horizontal="center" vertical="center"/>
    </xf>
    <xf numFmtId="0" fontId="18" fillId="0" borderId="4" xfId="0" applyFont="1" applyBorder="1" applyAlignment="1">
      <alignment horizontal="center" vertical="center"/>
    </xf>
    <xf numFmtId="0" fontId="6" fillId="0" borderId="2" xfId="0" applyFont="1" applyBorder="1" applyAlignment="1">
      <alignment horizontal="center" vertical="center"/>
    </xf>
    <xf numFmtId="0" fontId="6" fillId="0" borderId="3" xfId="0" applyFont="1" applyBorder="1" applyAlignment="1">
      <alignment horizontal="center" vertical="center"/>
    </xf>
    <xf numFmtId="0" fontId="6" fillId="0" borderId="4" xfId="0" applyFont="1" applyBorder="1" applyAlignment="1">
      <alignment horizontal="center" vertical="center"/>
    </xf>
    <xf numFmtId="165" fontId="8" fillId="0" borderId="5" xfId="1" applyNumberFormat="1" applyFont="1" applyFill="1" applyBorder="1" applyAlignment="1">
      <alignment horizontal="center" vertical="center"/>
    </xf>
    <xf numFmtId="0" fontId="3" fillId="4" borderId="7" xfId="0" quotePrefix="1" applyFont="1" applyFill="1" applyBorder="1" applyAlignment="1">
      <alignment horizontal="left" vertical="center" wrapText="1"/>
    </xf>
    <xf numFmtId="0" fontId="3" fillId="4" borderId="6" xfId="0" quotePrefix="1" applyFont="1" applyFill="1" applyBorder="1" applyAlignment="1">
      <alignment horizontal="left" vertical="center"/>
    </xf>
    <xf numFmtId="165" fontId="8" fillId="0" borderId="2" xfId="1" applyNumberFormat="1" applyFont="1" applyFill="1" applyBorder="1" applyAlignment="1">
      <alignment horizontal="center" vertical="center"/>
    </xf>
    <xf numFmtId="165" fontId="8" fillId="0" borderId="4" xfId="1" applyNumberFormat="1" applyFont="1" applyFill="1" applyBorder="1" applyAlignment="1">
      <alignment horizontal="center" vertical="center"/>
    </xf>
    <xf numFmtId="0" fontId="5" fillId="0" borderId="26" xfId="0" applyFont="1" applyBorder="1" applyAlignment="1">
      <alignment horizontal="center" vertical="center" wrapText="1"/>
    </xf>
    <xf numFmtId="0" fontId="5" fillId="0" borderId="27" xfId="0" applyFont="1" applyBorder="1" applyAlignment="1">
      <alignment horizontal="center" vertical="center" wrapText="1"/>
    </xf>
    <xf numFmtId="0" fontId="5" fillId="0" borderId="27" xfId="0" applyFont="1" applyBorder="1" applyAlignment="1">
      <alignment horizontal="center" vertical="center"/>
    </xf>
    <xf numFmtId="0" fontId="5" fillId="0" borderId="8" xfId="0" applyFont="1" applyBorder="1" applyAlignment="1">
      <alignment horizontal="center" vertical="center"/>
    </xf>
    <xf numFmtId="0" fontId="54" fillId="25" borderId="9" xfId="0" applyFont="1" applyFill="1" applyBorder="1" applyAlignment="1">
      <alignment horizontal="center" vertical="center"/>
    </xf>
    <xf numFmtId="0" fontId="54" fillId="25" borderId="38" xfId="0" applyFont="1" applyFill="1" applyBorder="1" applyAlignment="1">
      <alignment horizontal="center" vertical="center"/>
    </xf>
    <xf numFmtId="0" fontId="54" fillId="25" borderId="11" xfId="0" applyFont="1" applyFill="1" applyBorder="1" applyAlignment="1">
      <alignment horizontal="center" vertical="center"/>
    </xf>
    <xf numFmtId="0" fontId="61" fillId="25" borderId="9" xfId="0" applyFont="1" applyFill="1" applyBorder="1" applyAlignment="1">
      <alignment horizontal="center" vertical="center"/>
    </xf>
    <xf numFmtId="0" fontId="61" fillId="25" borderId="38" xfId="0" applyFont="1" applyFill="1" applyBorder="1" applyAlignment="1">
      <alignment horizontal="center" vertical="center"/>
    </xf>
    <xf numFmtId="0" fontId="61" fillId="25" borderId="11" xfId="0" applyFont="1" applyFill="1" applyBorder="1" applyAlignment="1">
      <alignment horizontal="center" vertical="center"/>
    </xf>
    <xf numFmtId="0" fontId="53" fillId="2" borderId="37" xfId="0" applyFont="1" applyFill="1" applyBorder="1" applyAlignment="1">
      <alignment horizontal="center" vertical="center" wrapText="1"/>
    </xf>
    <xf numFmtId="0" fontId="53" fillId="2" borderId="0" xfId="0" applyFont="1" applyFill="1" applyAlignment="1">
      <alignment horizontal="center" vertical="center" wrapText="1"/>
    </xf>
    <xf numFmtId="0" fontId="53" fillId="2" borderId="15" xfId="0" applyFont="1" applyFill="1" applyBorder="1" applyAlignment="1">
      <alignment horizontal="center" vertical="center" wrapText="1"/>
    </xf>
    <xf numFmtId="0" fontId="53" fillId="2" borderId="36" xfId="0" applyFont="1" applyFill="1" applyBorder="1" applyAlignment="1">
      <alignment horizontal="center" vertical="center" wrapText="1"/>
    </xf>
    <xf numFmtId="0" fontId="53" fillId="2" borderId="1" xfId="0" applyFont="1" applyFill="1" applyBorder="1" applyAlignment="1">
      <alignment horizontal="center" vertical="center" wrapText="1"/>
    </xf>
    <xf numFmtId="0" fontId="53" fillId="2" borderId="13" xfId="0" applyFont="1" applyFill="1" applyBorder="1" applyAlignment="1">
      <alignment horizontal="center" vertical="center" wrapText="1"/>
    </xf>
    <xf numFmtId="3" fontId="28" fillId="0" borderId="5" xfId="0" applyNumberFormat="1" applyFont="1" applyBorder="1" applyAlignment="1">
      <alignment horizontal="center" vertical="center"/>
    </xf>
    <xf numFmtId="14" fontId="18" fillId="0" borderId="5" xfId="0" applyNumberFormat="1" applyFont="1" applyBorder="1" applyAlignment="1">
      <alignment horizontal="center" vertical="center" wrapText="1"/>
    </xf>
    <xf numFmtId="0" fontId="7" fillId="0" borderId="5" xfId="0" applyFont="1" applyBorder="1" applyAlignment="1">
      <alignment horizontal="center" vertical="center"/>
    </xf>
    <xf numFmtId="0" fontId="3" fillId="0" borderId="2" xfId="0" applyFont="1" applyBorder="1" applyAlignment="1">
      <alignment horizontal="center" vertical="center"/>
    </xf>
    <xf numFmtId="0" fontId="3" fillId="0" borderId="3" xfId="0" applyFont="1" applyBorder="1" applyAlignment="1">
      <alignment horizontal="center" vertical="center"/>
    </xf>
    <xf numFmtId="0" fontId="3" fillId="0" borderId="4" xfId="0" applyFont="1" applyBorder="1" applyAlignment="1">
      <alignment horizontal="center" vertical="center"/>
    </xf>
    <xf numFmtId="0" fontId="51" fillId="25" borderId="9" xfId="0" applyFont="1" applyFill="1" applyBorder="1" applyAlignment="1">
      <alignment horizontal="center" vertical="center"/>
    </xf>
    <xf numFmtId="0" fontId="51" fillId="25" borderId="38" xfId="0" applyFont="1" applyFill="1" applyBorder="1" applyAlignment="1">
      <alignment horizontal="center" vertical="center"/>
    </xf>
    <xf numFmtId="0" fontId="51" fillId="25" borderId="11" xfId="0" applyFont="1" applyFill="1" applyBorder="1" applyAlignment="1">
      <alignment horizontal="center" vertical="center"/>
    </xf>
    <xf numFmtId="0" fontId="58" fillId="0" borderId="38" xfId="0" applyFont="1" applyBorder="1" applyAlignment="1">
      <alignment horizontal="center"/>
    </xf>
    <xf numFmtId="0" fontId="58" fillId="0" borderId="11" xfId="0" applyFont="1" applyBorder="1" applyAlignment="1">
      <alignment horizontal="center"/>
    </xf>
    <xf numFmtId="0" fontId="8" fillId="0" borderId="12" xfId="0" applyFont="1" applyBorder="1" applyAlignment="1">
      <alignment horizontal="center" vertical="center"/>
    </xf>
    <xf numFmtId="0" fontId="58" fillId="0" borderId="38" xfId="0" applyFont="1" applyBorder="1" applyAlignment="1">
      <alignment horizontal="center" vertical="center"/>
    </xf>
    <xf numFmtId="0" fontId="58" fillId="0" borderId="11" xfId="0" applyFont="1" applyBorder="1" applyAlignment="1">
      <alignment horizontal="center" vertical="center"/>
    </xf>
    <xf numFmtId="164" fontId="5" fillId="0" borderId="0" xfId="1" applyNumberFormat="1" applyFont="1" applyBorder="1" applyAlignment="1">
      <alignment horizontal="left" vertical="center"/>
    </xf>
    <xf numFmtId="0" fontId="58" fillId="0" borderId="8" xfId="0" applyFont="1" applyBorder="1" applyAlignment="1">
      <alignment horizontal="center" vertical="center"/>
    </xf>
    <xf numFmtId="0" fontId="8" fillId="0" borderId="8" xfId="0" applyFont="1" applyBorder="1" applyAlignment="1">
      <alignment horizontal="center" vertical="center"/>
    </xf>
    <xf numFmtId="0" fontId="67" fillId="0" borderId="5" xfId="0" applyFont="1" applyBorder="1" applyAlignment="1">
      <alignment horizontal="center" vertical="center"/>
    </xf>
    <xf numFmtId="0" fontId="50" fillId="0" borderId="38" xfId="0" applyFont="1" applyBorder="1" applyAlignment="1">
      <alignment horizontal="center" vertical="center" wrapText="1"/>
    </xf>
    <xf numFmtId="0" fontId="50" fillId="0" borderId="38" xfId="0" applyFont="1" applyBorder="1" applyAlignment="1">
      <alignment horizontal="center" vertical="center"/>
    </xf>
    <xf numFmtId="0" fontId="50" fillId="0" borderId="11" xfId="0" applyFont="1" applyBorder="1" applyAlignment="1">
      <alignment horizontal="center" vertical="center"/>
    </xf>
    <xf numFmtId="0" fontId="78" fillId="0" borderId="38" xfId="0" applyFont="1" applyBorder="1" applyAlignment="1">
      <alignment horizontal="center" vertical="center" wrapText="1"/>
    </xf>
    <xf numFmtId="0" fontId="78" fillId="0" borderId="38" xfId="0" applyFont="1" applyBorder="1" applyAlignment="1">
      <alignment horizontal="center" vertical="center"/>
    </xf>
    <xf numFmtId="0" fontId="78" fillId="0" borderId="11" xfId="0" applyFont="1" applyBorder="1" applyAlignment="1">
      <alignment horizontal="center" vertical="center"/>
    </xf>
    <xf numFmtId="0" fontId="28" fillId="0" borderId="8" xfId="0" applyFont="1" applyBorder="1" applyAlignment="1">
      <alignment horizontal="center" vertical="center"/>
    </xf>
    <xf numFmtId="17" fontId="98" fillId="0" borderId="5" xfId="0" applyNumberFormat="1" applyFont="1" applyBorder="1" applyAlignment="1">
      <alignment horizontal="center"/>
    </xf>
    <xf numFmtId="0" fontId="107" fillId="0" borderId="8" xfId="0" applyFont="1" applyBorder="1" applyAlignment="1">
      <alignment horizontal="center" vertical="center" wrapText="1"/>
    </xf>
    <xf numFmtId="0" fontId="107" fillId="0" borderId="8" xfId="0" applyFont="1" applyBorder="1" applyAlignment="1">
      <alignment horizontal="center" vertical="center"/>
    </xf>
    <xf numFmtId="0" fontId="50" fillId="0" borderId="8" xfId="0" applyFont="1" applyBorder="1" applyAlignment="1">
      <alignment horizontal="center" vertical="center"/>
    </xf>
    <xf numFmtId="0" fontId="112" fillId="0" borderId="8" xfId="0" applyFont="1" applyBorder="1" applyAlignment="1">
      <alignment horizontal="center" vertical="center"/>
    </xf>
    <xf numFmtId="0" fontId="13" fillId="36" borderId="8" xfId="0" applyFont="1" applyFill="1" applyBorder="1" applyAlignment="1">
      <alignment horizontal="center" vertical="center"/>
    </xf>
    <xf numFmtId="0" fontId="126" fillId="23" borderId="8" xfId="0" applyFont="1" applyFill="1" applyBorder="1" applyAlignment="1">
      <alignment horizontal="center" vertical="center" wrapText="1"/>
    </xf>
    <xf numFmtId="0" fontId="116" fillId="23" borderId="8" xfId="0" applyFont="1" applyFill="1" applyBorder="1" applyAlignment="1">
      <alignment horizontal="center" vertical="center" wrapText="1"/>
    </xf>
    <xf numFmtId="0" fontId="116" fillId="23" borderId="12" xfId="0" applyFont="1" applyFill="1" applyBorder="1" applyAlignment="1">
      <alignment horizontal="center" vertical="center" wrapText="1"/>
    </xf>
    <xf numFmtId="0" fontId="116" fillId="23" borderId="22" xfId="0" applyFont="1" applyFill="1" applyBorder="1" applyAlignment="1">
      <alignment horizontal="center" vertical="center" wrapText="1"/>
    </xf>
    <xf numFmtId="0" fontId="116" fillId="23" borderId="18" xfId="0" applyFont="1" applyFill="1" applyBorder="1" applyAlignment="1">
      <alignment horizontal="center" vertical="center" wrapText="1"/>
    </xf>
    <xf numFmtId="0" fontId="116" fillId="23" borderId="12" xfId="0" applyFont="1" applyFill="1" applyBorder="1" applyAlignment="1">
      <alignment horizontal="center" vertical="center"/>
    </xf>
    <xf numFmtId="0" fontId="116" fillId="23" borderId="22" xfId="0" applyFont="1" applyFill="1" applyBorder="1" applyAlignment="1">
      <alignment horizontal="center" vertical="center"/>
    </xf>
    <xf numFmtId="0" fontId="116" fillId="23" borderId="18" xfId="0" applyFont="1" applyFill="1" applyBorder="1" applyAlignment="1">
      <alignment horizontal="center" vertical="center"/>
    </xf>
    <xf numFmtId="0" fontId="28" fillId="23" borderId="12" xfId="0" applyFont="1" applyFill="1" applyBorder="1" applyAlignment="1">
      <alignment horizontal="center" vertical="center"/>
    </xf>
    <xf numFmtId="0" fontId="28" fillId="23" borderId="22" xfId="0" applyFont="1" applyFill="1" applyBorder="1" applyAlignment="1">
      <alignment horizontal="center" vertical="center"/>
    </xf>
    <xf numFmtId="0" fontId="28" fillId="23" borderId="18" xfId="0" applyFont="1" applyFill="1" applyBorder="1" applyAlignment="1">
      <alignment horizontal="center" vertical="center"/>
    </xf>
    <xf numFmtId="0" fontId="28" fillId="23" borderId="8" xfId="0" applyFont="1" applyFill="1" applyBorder="1" applyAlignment="1">
      <alignment horizontal="center" vertical="center"/>
    </xf>
    <xf numFmtId="0" fontId="107" fillId="0" borderId="0" xfId="0" applyFont="1" applyAlignment="1">
      <alignment horizontal="center" vertical="center" wrapText="1"/>
    </xf>
    <xf numFmtId="0" fontId="107" fillId="0" borderId="0" xfId="0" applyFont="1" applyAlignment="1">
      <alignment horizontal="center" vertical="center"/>
    </xf>
    <xf numFmtId="0" fontId="50" fillId="0" borderId="0" xfId="0" applyFont="1" applyAlignment="1">
      <alignment horizontal="center" vertical="center"/>
    </xf>
    <xf numFmtId="0" fontId="112" fillId="0" borderId="17" xfId="0" applyFont="1" applyBorder="1" applyAlignment="1">
      <alignment horizontal="center" vertical="center"/>
    </xf>
    <xf numFmtId="0" fontId="112" fillId="0" borderId="10" xfId="0" applyFont="1" applyBorder="1" applyAlignment="1">
      <alignment horizontal="center" vertical="center"/>
    </xf>
    <xf numFmtId="0" fontId="27" fillId="23" borderId="8" xfId="0" applyFont="1" applyFill="1" applyBorder="1" applyAlignment="1">
      <alignment horizontal="center" vertical="center"/>
    </xf>
    <xf numFmtId="0" fontId="116" fillId="23" borderId="8" xfId="0" applyFont="1" applyFill="1" applyBorder="1" applyAlignment="1">
      <alignment horizontal="center" vertical="center"/>
    </xf>
    <xf numFmtId="0" fontId="116" fillId="23" borderId="24" xfId="0" applyFont="1" applyFill="1" applyBorder="1" applyAlignment="1">
      <alignment horizontal="center" vertical="center" wrapText="1"/>
    </xf>
    <xf numFmtId="0" fontId="116" fillId="23" borderId="0" xfId="0" applyFont="1" applyFill="1" applyAlignment="1">
      <alignment horizontal="center" vertical="center" wrapText="1"/>
    </xf>
    <xf numFmtId="0" fontId="116" fillId="23" borderId="34" xfId="0" applyFont="1" applyFill="1" applyBorder="1" applyAlignment="1">
      <alignment horizontal="center" vertical="center" wrapText="1"/>
    </xf>
    <xf numFmtId="0" fontId="27" fillId="23" borderId="12" xfId="0" applyFont="1" applyFill="1" applyBorder="1" applyAlignment="1">
      <alignment horizontal="center" vertical="center"/>
    </xf>
    <xf numFmtId="0" fontId="27" fillId="23" borderId="18" xfId="0" applyFont="1" applyFill="1" applyBorder="1" applyAlignment="1">
      <alignment horizontal="center" vertical="center"/>
    </xf>
    <xf numFmtId="0" fontId="27" fillId="23" borderId="22" xfId="0" applyFont="1" applyFill="1" applyBorder="1" applyAlignment="1">
      <alignment horizontal="center" vertical="center"/>
    </xf>
    <xf numFmtId="0" fontId="126" fillId="23" borderId="12" xfId="0" applyFont="1" applyFill="1" applyBorder="1" applyAlignment="1">
      <alignment horizontal="center" vertical="center" wrapText="1"/>
    </xf>
    <xf numFmtId="0" fontId="126" fillId="23" borderId="22" xfId="0" applyFont="1" applyFill="1" applyBorder="1" applyAlignment="1">
      <alignment horizontal="center" vertical="center" wrapText="1"/>
    </xf>
    <xf numFmtId="0" fontId="126" fillId="23" borderId="18" xfId="0" applyFont="1" applyFill="1" applyBorder="1" applyAlignment="1">
      <alignment horizontal="center" vertical="center" wrapText="1"/>
    </xf>
    <xf numFmtId="0" fontId="126" fillId="23" borderId="12" xfId="0" applyFont="1" applyFill="1" applyBorder="1" applyAlignment="1">
      <alignment horizontal="center" vertical="center"/>
    </xf>
    <xf numFmtId="0" fontId="126" fillId="23" borderId="22" xfId="0" applyFont="1" applyFill="1" applyBorder="1" applyAlignment="1">
      <alignment horizontal="center" vertical="center"/>
    </xf>
    <xf numFmtId="0" fontId="126" fillId="23" borderId="18" xfId="0" applyFont="1" applyFill="1" applyBorder="1" applyAlignment="1">
      <alignment horizontal="center" vertical="center"/>
    </xf>
    <xf numFmtId="0" fontId="27" fillId="23" borderId="17" xfId="0" applyFont="1" applyFill="1" applyBorder="1" applyAlignment="1">
      <alignment horizontal="center" vertical="center"/>
    </xf>
    <xf numFmtId="0" fontId="27" fillId="23" borderId="19" xfId="0" applyFont="1" applyFill="1" applyBorder="1" applyAlignment="1">
      <alignment horizontal="center" vertical="center"/>
    </xf>
    <xf numFmtId="0" fontId="51" fillId="0" borderId="0" xfId="0" applyFont="1" applyAlignment="1">
      <alignment horizontal="center" vertical="center" wrapText="1"/>
    </xf>
    <xf numFmtId="0" fontId="8" fillId="0" borderId="17" xfId="0" applyFont="1" applyBorder="1" applyAlignment="1">
      <alignment horizontal="center" vertical="center"/>
    </xf>
    <xf numFmtId="165" fontId="24" fillId="0" borderId="12" xfId="1" applyNumberFormat="1" applyFont="1" applyBorder="1" applyAlignment="1">
      <alignment horizontal="center" vertical="center" wrapText="1"/>
    </xf>
    <xf numFmtId="165" fontId="24" fillId="0" borderId="8" xfId="1" applyNumberFormat="1" applyFont="1" applyBorder="1" applyAlignment="1">
      <alignment horizontal="center" vertical="center" wrapText="1"/>
    </xf>
    <xf numFmtId="0" fontId="28" fillId="23" borderId="21" xfId="0" applyFont="1" applyFill="1" applyBorder="1" applyAlignment="1">
      <alignment horizontal="center" vertical="center"/>
    </xf>
    <xf numFmtId="0" fontId="28" fillId="23" borderId="20" xfId="0" applyFont="1" applyFill="1" applyBorder="1" applyAlignment="1">
      <alignment horizontal="center" vertical="center"/>
    </xf>
    <xf numFmtId="0" fontId="27" fillId="23" borderId="10" xfId="0" applyFont="1" applyFill="1" applyBorder="1" applyAlignment="1">
      <alignment horizontal="center" vertical="center"/>
    </xf>
    <xf numFmtId="0" fontId="27" fillId="23" borderId="22" xfId="0" applyFont="1" applyFill="1" applyBorder="1" applyAlignment="1">
      <alignment horizontal="center" vertical="center" wrapText="1"/>
    </xf>
    <xf numFmtId="0" fontId="27" fillId="23" borderId="18" xfId="0" applyFont="1" applyFill="1" applyBorder="1" applyAlignment="1">
      <alignment horizontal="center" vertical="center" wrapText="1"/>
    </xf>
    <xf numFmtId="0" fontId="51" fillId="0" borderId="0" xfId="0" applyFont="1" applyAlignment="1">
      <alignment horizontal="center" vertical="center"/>
    </xf>
    <xf numFmtId="168" fontId="50" fillId="0" borderId="0" xfId="0" applyNumberFormat="1" applyFont="1" applyAlignment="1">
      <alignment horizontal="right" vertical="center"/>
    </xf>
    <xf numFmtId="0" fontId="50" fillId="0" borderId="0" xfId="0" applyFont="1" applyAlignment="1">
      <alignment vertical="center"/>
    </xf>
    <xf numFmtId="165" fontId="24" fillId="0" borderId="8" xfId="1" applyNumberFormat="1" applyFont="1" applyBorder="1" applyAlignment="1">
      <alignment vertical="center" wrapText="1"/>
    </xf>
    <xf numFmtId="0" fontId="27" fillId="23" borderId="12" xfId="0" applyFont="1" applyFill="1" applyBorder="1" applyAlignment="1">
      <alignment horizontal="center" vertical="center" wrapText="1"/>
    </xf>
    <xf numFmtId="0" fontId="8" fillId="0" borderId="10" xfId="0" applyFont="1" applyBorder="1" applyAlignment="1">
      <alignment horizontal="center" vertical="center"/>
    </xf>
    <xf numFmtId="0" fontId="8" fillId="0" borderId="23" xfId="0" applyFont="1" applyBorder="1" applyAlignment="1">
      <alignment horizontal="center" vertical="center"/>
    </xf>
    <xf numFmtId="0" fontId="8" fillId="0" borderId="16" xfId="0" applyFont="1" applyBorder="1" applyAlignment="1">
      <alignment horizontal="center" vertical="center"/>
    </xf>
    <xf numFmtId="0" fontId="9" fillId="23" borderId="12" xfId="0" applyFont="1" applyFill="1" applyBorder="1" applyAlignment="1">
      <alignment horizontal="left" vertical="center" wrapText="1"/>
    </xf>
    <xf numFmtId="0" fontId="9" fillId="23" borderId="22" xfId="0" applyFont="1" applyFill="1" applyBorder="1" applyAlignment="1">
      <alignment horizontal="left" vertical="center" wrapText="1"/>
    </xf>
    <xf numFmtId="0" fontId="9" fillId="23" borderId="18" xfId="0" applyFont="1" applyFill="1" applyBorder="1" applyAlignment="1">
      <alignment horizontal="left" vertical="center" wrapText="1"/>
    </xf>
    <xf numFmtId="0" fontId="27" fillId="23" borderId="43" xfId="0" applyFont="1" applyFill="1" applyBorder="1" applyAlignment="1">
      <alignment horizontal="center" vertical="center" wrapText="1"/>
    </xf>
    <xf numFmtId="0" fontId="27" fillId="23" borderId="15" xfId="0" applyFont="1" applyFill="1" applyBorder="1" applyAlignment="1">
      <alignment horizontal="center" vertical="center" wrapText="1"/>
    </xf>
    <xf numFmtId="0" fontId="27" fillId="23" borderId="50" xfId="0" applyFont="1" applyFill="1" applyBorder="1" applyAlignment="1">
      <alignment horizontal="center" vertical="center" wrapText="1"/>
    </xf>
    <xf numFmtId="0" fontId="13" fillId="23" borderId="12" xfId="0" applyFont="1" applyFill="1" applyBorder="1" applyAlignment="1">
      <alignment horizontal="center" vertical="center"/>
    </xf>
    <xf numFmtId="0" fontId="13" fillId="23" borderId="22" xfId="0" applyFont="1" applyFill="1" applyBorder="1" applyAlignment="1">
      <alignment horizontal="center" vertical="center"/>
    </xf>
    <xf numFmtId="0" fontId="13" fillId="23" borderId="18" xfId="0" applyFont="1" applyFill="1" applyBorder="1" applyAlignment="1">
      <alignment horizontal="center" vertical="center"/>
    </xf>
    <xf numFmtId="0" fontId="27" fillId="23" borderId="17" xfId="0" applyFont="1" applyFill="1" applyBorder="1" applyAlignment="1">
      <alignment horizontal="center" vertical="center" wrapText="1"/>
    </xf>
    <xf numFmtId="0" fontId="27" fillId="23" borderId="19" xfId="0" applyFont="1" applyFill="1" applyBorder="1" applyAlignment="1">
      <alignment horizontal="center" vertical="center" wrapText="1"/>
    </xf>
    <xf numFmtId="0" fontId="27" fillId="23" borderId="35" xfId="0" applyFont="1" applyFill="1" applyBorder="1" applyAlignment="1">
      <alignment horizontal="center" vertical="center" wrapText="1"/>
    </xf>
    <xf numFmtId="0" fontId="51" fillId="0" borderId="38" xfId="0" applyFont="1" applyBorder="1" applyAlignment="1">
      <alignment horizontal="center" vertical="center"/>
    </xf>
    <xf numFmtId="0" fontId="28" fillId="23" borderId="7" xfId="0" applyFont="1" applyFill="1" applyBorder="1" applyAlignment="1">
      <alignment horizontal="center" vertical="center" wrapText="1"/>
    </xf>
    <xf numFmtId="0" fontId="28" fillId="23" borderId="6" xfId="0" applyFont="1" applyFill="1" applyBorder="1" applyAlignment="1">
      <alignment horizontal="center" vertical="center" wrapText="1"/>
    </xf>
    <xf numFmtId="0" fontId="28" fillId="23" borderId="12" xfId="0" applyFont="1" applyFill="1" applyBorder="1" applyAlignment="1">
      <alignment horizontal="center" vertical="center" wrapText="1"/>
    </xf>
    <xf numFmtId="0" fontId="28" fillId="23" borderId="22" xfId="0" applyFont="1" applyFill="1" applyBorder="1" applyAlignment="1">
      <alignment horizontal="center" vertical="center" wrapText="1"/>
    </xf>
    <xf numFmtId="0" fontId="28" fillId="23" borderId="18" xfId="0" applyFont="1" applyFill="1" applyBorder="1" applyAlignment="1">
      <alignment horizontal="center" vertical="center" wrapText="1"/>
    </xf>
    <xf numFmtId="0" fontId="27" fillId="0" borderId="8" xfId="0" applyFont="1" applyBorder="1" applyAlignment="1">
      <alignment horizontal="center" vertical="center" wrapText="1"/>
    </xf>
    <xf numFmtId="0" fontId="3" fillId="23" borderId="12" xfId="0" applyFont="1" applyFill="1" applyBorder="1" applyAlignment="1">
      <alignment horizontal="center" vertical="center"/>
    </xf>
    <xf numFmtId="0" fontId="3" fillId="23" borderId="22" xfId="0" applyFont="1" applyFill="1" applyBorder="1" applyAlignment="1">
      <alignment horizontal="center" vertical="center"/>
    </xf>
    <xf numFmtId="0" fontId="3" fillId="23" borderId="18" xfId="0" applyFont="1" applyFill="1" applyBorder="1" applyAlignment="1">
      <alignment horizontal="center" vertical="center"/>
    </xf>
    <xf numFmtId="0" fontId="13" fillId="0" borderId="22" xfId="0" applyFont="1" applyBorder="1" applyAlignment="1">
      <alignment horizontal="center" vertical="center"/>
    </xf>
    <xf numFmtId="0" fontId="13" fillId="0" borderId="18" xfId="0" applyFont="1" applyBorder="1" applyAlignment="1">
      <alignment horizontal="center" vertical="center"/>
    </xf>
    <xf numFmtId="0" fontId="27" fillId="0" borderId="12" xfId="0" applyFont="1" applyBorder="1" applyAlignment="1">
      <alignment horizontal="center" vertical="center" wrapText="1"/>
    </xf>
    <xf numFmtId="0" fontId="27" fillId="0" borderId="22" xfId="0" applyFont="1" applyBorder="1" applyAlignment="1">
      <alignment horizontal="center" vertical="center" wrapText="1"/>
    </xf>
    <xf numFmtId="0" fontId="27" fillId="0" borderId="18" xfId="0" applyFont="1" applyBorder="1" applyAlignment="1">
      <alignment horizontal="center" vertical="center" wrapText="1"/>
    </xf>
    <xf numFmtId="0" fontId="28" fillId="0" borderId="12" xfId="0" applyFont="1" applyBorder="1" applyAlignment="1">
      <alignment horizontal="center" vertical="center" wrapText="1"/>
    </xf>
    <xf numFmtId="0" fontId="28" fillId="0" borderId="22" xfId="0" applyFont="1" applyBorder="1" applyAlignment="1">
      <alignment horizontal="center" vertical="center" wrapText="1"/>
    </xf>
    <xf numFmtId="0" fontId="27" fillId="23" borderId="8" xfId="0" applyFont="1" applyFill="1" applyBorder="1" applyAlignment="1">
      <alignment horizontal="center" vertical="center" wrapText="1"/>
    </xf>
    <xf numFmtId="0" fontId="28" fillId="23" borderId="8" xfId="0" applyFont="1" applyFill="1" applyBorder="1" applyAlignment="1">
      <alignment horizontal="center" vertical="center" wrapText="1"/>
    </xf>
    <xf numFmtId="0" fontId="9" fillId="23" borderId="12" xfId="0" applyFont="1" applyFill="1" applyBorder="1" applyAlignment="1">
      <alignment horizontal="center" vertical="center" wrapText="1"/>
    </xf>
    <xf numFmtId="0" fontId="9" fillId="23" borderId="18" xfId="0" applyFont="1" applyFill="1" applyBorder="1" applyAlignment="1">
      <alignment horizontal="center" vertical="center" wrapText="1"/>
    </xf>
    <xf numFmtId="0" fontId="89" fillId="0" borderId="38" xfId="0" applyFont="1" applyBorder="1" applyAlignment="1">
      <alignment horizontal="center" vertical="center" wrapText="1"/>
    </xf>
    <xf numFmtId="0" fontId="51" fillId="0" borderId="11" xfId="0" applyFont="1" applyBorder="1" applyAlignment="1">
      <alignment horizontal="center" vertical="center"/>
    </xf>
    <xf numFmtId="0" fontId="28" fillId="23" borderId="35" xfId="0" applyFont="1" applyFill="1" applyBorder="1" applyAlignment="1">
      <alignment horizontal="center" vertical="center"/>
    </xf>
    <xf numFmtId="0" fontId="28" fillId="23" borderId="19" xfId="0" applyFont="1" applyFill="1" applyBorder="1" applyAlignment="1">
      <alignment horizontal="center" vertical="center"/>
    </xf>
    <xf numFmtId="3" fontId="3" fillId="23" borderId="12" xfId="1" applyNumberFormat="1" applyFont="1" applyFill="1" applyBorder="1" applyAlignment="1">
      <alignment horizontal="center" vertical="center"/>
    </xf>
    <xf numFmtId="3" fontId="3" fillId="23" borderId="22" xfId="1" applyNumberFormat="1" applyFont="1" applyFill="1" applyBorder="1" applyAlignment="1">
      <alignment horizontal="center" vertical="center"/>
    </xf>
    <xf numFmtId="3" fontId="3" fillId="23" borderId="18" xfId="1" applyNumberFormat="1" applyFont="1" applyFill="1" applyBorder="1" applyAlignment="1">
      <alignment horizontal="center" vertical="center"/>
    </xf>
    <xf numFmtId="0" fontId="116" fillId="24" borderId="22" xfId="0" applyFont="1" applyFill="1" applyBorder="1" applyAlignment="1">
      <alignment horizontal="center" vertical="center" wrapText="1"/>
    </xf>
    <xf numFmtId="0" fontId="116" fillId="24" borderId="12" xfId="0" applyFont="1" applyFill="1" applyBorder="1" applyAlignment="1">
      <alignment horizontal="center" vertical="center" wrapText="1"/>
    </xf>
    <xf numFmtId="0" fontId="117" fillId="23" borderId="12" xfId="0" applyFont="1" applyFill="1" applyBorder="1" applyAlignment="1">
      <alignment horizontal="center" vertical="center"/>
    </xf>
    <xf numFmtId="0" fontId="117" fillId="23" borderId="22" xfId="0" applyFont="1" applyFill="1" applyBorder="1" applyAlignment="1">
      <alignment horizontal="center" vertical="center"/>
    </xf>
    <xf numFmtId="0" fontId="117" fillId="23" borderId="18" xfId="0" applyFont="1" applyFill="1" applyBorder="1" applyAlignment="1">
      <alignment horizontal="center" vertical="center"/>
    </xf>
    <xf numFmtId="0" fontId="28" fillId="24" borderId="12" xfId="0" applyFont="1" applyFill="1" applyBorder="1" applyAlignment="1">
      <alignment horizontal="center" vertical="center"/>
    </xf>
    <xf numFmtId="0" fontId="28" fillId="24" borderId="22" xfId="0" applyFont="1" applyFill="1" applyBorder="1" applyAlignment="1">
      <alignment horizontal="center" vertical="center"/>
    </xf>
    <xf numFmtId="0" fontId="28" fillId="24" borderId="18" xfId="0" applyFont="1" applyFill="1" applyBorder="1" applyAlignment="1">
      <alignment horizontal="center" vertical="center"/>
    </xf>
    <xf numFmtId="0" fontId="116" fillId="24" borderId="12" xfId="0" applyFont="1" applyFill="1" applyBorder="1" applyAlignment="1">
      <alignment horizontal="center" vertical="center"/>
    </xf>
    <xf numFmtId="0" fontId="116" fillId="24" borderId="22" xfId="0" applyFont="1" applyFill="1" applyBorder="1" applyAlignment="1">
      <alignment horizontal="center" vertical="center"/>
    </xf>
    <xf numFmtId="0" fontId="116" fillId="24" borderId="18" xfId="0" applyFont="1" applyFill="1" applyBorder="1" applyAlignment="1">
      <alignment horizontal="center" vertical="center"/>
    </xf>
    <xf numFmtId="0" fontId="93" fillId="23" borderId="12" xfId="0" applyFont="1" applyFill="1" applyBorder="1" applyAlignment="1">
      <alignment horizontal="center" vertical="center"/>
    </xf>
    <xf numFmtId="0" fontId="93" fillId="23" borderId="22" xfId="0" applyFont="1" applyFill="1" applyBorder="1" applyAlignment="1">
      <alignment horizontal="center" vertical="center"/>
    </xf>
    <xf numFmtId="0" fontId="93" fillId="23" borderId="18" xfId="0" applyFont="1" applyFill="1" applyBorder="1" applyAlignment="1">
      <alignment horizontal="center" vertical="center"/>
    </xf>
    <xf numFmtId="0" fontId="117" fillId="23" borderId="25" xfId="0" applyFont="1" applyFill="1" applyBorder="1" applyAlignment="1">
      <alignment horizontal="center" vertical="center"/>
    </xf>
    <xf numFmtId="0" fontId="117" fillId="23" borderId="21" xfId="0" applyFont="1" applyFill="1" applyBorder="1" applyAlignment="1">
      <alignment horizontal="center" vertical="center"/>
    </xf>
    <xf numFmtId="0" fontId="117" fillId="23" borderId="20" xfId="0" applyFont="1" applyFill="1" applyBorder="1" applyAlignment="1">
      <alignment horizontal="center" vertical="center"/>
    </xf>
    <xf numFmtId="0" fontId="120" fillId="23" borderId="12" xfId="0" applyFont="1" applyFill="1" applyBorder="1" applyAlignment="1">
      <alignment horizontal="center" vertical="center"/>
    </xf>
    <xf numFmtId="0" fontId="120" fillId="23" borderId="18" xfId="0" applyFont="1" applyFill="1" applyBorder="1" applyAlignment="1">
      <alignment horizontal="center" vertical="center"/>
    </xf>
    <xf numFmtId="0" fontId="120" fillId="23" borderId="22" xfId="0" applyFont="1" applyFill="1" applyBorder="1" applyAlignment="1">
      <alignment horizontal="center" vertical="center"/>
    </xf>
    <xf numFmtId="0" fontId="28" fillId="23" borderId="17" xfId="0" applyFont="1" applyFill="1" applyBorder="1" applyAlignment="1">
      <alignment horizontal="center" vertical="center"/>
    </xf>
    <xf numFmtId="0" fontId="9" fillId="0" borderId="12" xfId="0" applyFont="1" applyBorder="1" applyAlignment="1">
      <alignment horizontal="center" vertical="center" wrapText="1"/>
    </xf>
    <xf numFmtId="0" fontId="9" fillId="0" borderId="22" xfId="0" applyFont="1" applyBorder="1" applyAlignment="1">
      <alignment horizontal="center" vertical="center" wrapText="1"/>
    </xf>
    <xf numFmtId="0" fontId="9" fillId="0" borderId="18" xfId="0" applyFont="1" applyBorder="1" applyAlignment="1">
      <alignment horizontal="center" vertical="center" wrapText="1"/>
    </xf>
    <xf numFmtId="0" fontId="27" fillId="0" borderId="22" xfId="0" applyFont="1" applyBorder="1" applyAlignment="1">
      <alignment horizontal="center" vertical="center"/>
    </xf>
    <xf numFmtId="0" fontId="27" fillId="0" borderId="18" xfId="0" applyFont="1" applyBorder="1" applyAlignment="1">
      <alignment horizontal="center" vertical="center"/>
    </xf>
  </cellXfs>
  <cellStyles count="5">
    <cellStyle name="20% - Accent6" xfId="3" builtinId="50"/>
    <cellStyle name="Comma" xfId="1" builtinId="3"/>
    <cellStyle name="Comma 3" xfId="2" xr:uid="{00000000-0005-0000-0000-000002000000}"/>
    <cellStyle name="Normal" xfId="0" builtinId="0"/>
    <cellStyle name="Percent" xfId="4" builtinId="5"/>
  </cellStyles>
  <dxfs count="890">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colors>
    <mruColors>
      <color rgb="FFE0F0DB"/>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worksheet" Target="worksheets/sheet47.xml"/><Relationship Id="rId50" Type="http://schemas.openxmlformats.org/officeDocument/2006/relationships/worksheet" Target="worksheets/sheet50.xml"/><Relationship Id="rId55" Type="http://schemas.openxmlformats.org/officeDocument/2006/relationships/worksheet" Target="worksheets/sheet55.xml"/><Relationship Id="rId63" Type="http://schemas.openxmlformats.org/officeDocument/2006/relationships/customXml" Target="../customXml/item1.xml"/><Relationship Id="rId68" Type="http://schemas.microsoft.com/office/2017/06/relationships/rdRichValueTypes" Target="richData/rdRichValueType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worksheet" Target="worksheets/sheet53.xml"/><Relationship Id="rId58" Type="http://schemas.openxmlformats.org/officeDocument/2006/relationships/theme" Target="theme/theme1.xml"/><Relationship Id="rId66" Type="http://schemas.microsoft.com/office/2017/06/relationships/rdRichValueStructure" Target="richData/rdrichvaluestructure.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61" Type="http://schemas.openxmlformats.org/officeDocument/2006/relationships/sheetMetadata" Target="metadata.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sharedStrings" Target="sharedStrings.xml"/><Relationship Id="rId65"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worksheet" Target="worksheets/sheet56.xml"/><Relationship Id="rId64" Type="http://schemas.openxmlformats.org/officeDocument/2006/relationships/customXml" Target="../customXml/item2.xml"/><Relationship Id="rId69" Type="http://schemas.microsoft.com/office/2017/06/relationships/rdRichValue" Target="richData/rdrichvalue.xml"/><Relationship Id="rId8" Type="http://schemas.openxmlformats.org/officeDocument/2006/relationships/worksheet" Target="worksheets/sheet8.xml"/><Relationship Id="rId51" Type="http://schemas.openxmlformats.org/officeDocument/2006/relationships/worksheet" Target="worksheets/sheet5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styles" Target="styles.xml"/><Relationship Id="rId67" Type="http://schemas.microsoft.com/office/2017/10/relationships/person" Target="persons/person.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62" Type="http://schemas.openxmlformats.org/officeDocument/2006/relationships/calcChain" Target="calcChain.xml"/></Relationships>
</file>

<file path=xl/namedSheetViews/namedSheetView1.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2D54B132-FB79-439E-A1E6-D42C204594F8}">
    <nsvFilter filterId="{00000000-0009-0000-0000-000001000000}" ref="A5:P50" tableId="0"/>
  </namedSheetView>
</namedSheetViews>
</file>

<file path=xl/namedSheetViews/namedSheetView2.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C1C932F4-915D-4C1A-AAD2-29B943A03FA2}">
    <nsvFilter filterId="{00000000-0009-0000-0000-000001000000}" ref="A4:Q4" tableId="0"/>
  </namedSheetView>
</namedSheetViews>
</file>

<file path=xl/namedSheetViews/namedSheetView3.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ECA30A6D-3B9B-4A9A-9E08-5AE7FE33FC37}">
    <nsvFilter filterId="{00000000-0009-0000-0000-000001000000}" ref="A4:Q36" tableId="0"/>
  </namedSheetView>
</namedSheetViews>
</file>

<file path=xl/namedSheetViews/namedSheetView4.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C49CB236-0C91-4289-8A9B-C01870DD41D7}">
    <nsvFilter filterId="{00000000-0009-0000-0000-000001000000}" ref="A4:Q51" tableId="0"/>
  </namedSheetView>
</namedSheetViews>
</file>

<file path=xl/namedSheetViews/namedSheetView5.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5DB0DAB8-9C47-42C7-9ED5-F7EB06B11E38}">
    <nsvFilter filterId="{00000000-0009-0000-0000-000003000000}" ref="A4:O65" tableId="0"/>
  </namedSheetView>
</namedSheetViews>
</file>

<file path=xl/namedSheetViews/namedSheetView6.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279240C2-45B6-431A-9E2D-126BCD8FE165}">
    <nsvFilter filterId="{00000000-0009-0000-0000-000001000000}" ref="A4:Q57" tableId="0"/>
  </namedSheetView>
</namedSheetViews>
</file>

<file path=xl/namedSheetViews/namedSheetView7.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BEFB7C35-B197-4C7C-9360-BC0F6A20E768}">
    <nsvFilter filterId="{00000000-0009-0000-0000-000002000000}" ref="A4:O76" tableId="0"/>
  </namedSheetView>
</namedSheetViews>
</file>

<file path=xl/namedSheetViews/namedSheetView8.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6AC6B7EA-3A6D-4460-9300-EE250C329529}">
    <nsvFilter filterId="{00000000-0009-0000-0000-000001000000}" ref="A4:O56" tableId="0"/>
  </namedSheetView>
</namedSheetViews>
</file>

<file path=xl/namedSheetViews/namedSheetView9.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29E461DB-EB9F-4E8C-8C5B-0B3BC99660EB}">
    <nsvFilter filterId="{00000000-0009-0000-0000-000004000000}" ref="A4:O71" tableId="0"/>
  </namedSheetView>
</namedSheetViews>
</file>

<file path=xl/namedSheetViews/namedSheetView10.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90135BC5-35DF-4E94-BC31-921361B3F2CA}">
    <nsvFilter filterId="{00000000-0009-0000-0000-000005000000}" ref="A4:P76" tableId="0"/>
  </namedSheetView>
</namedSheetViews>
</file>

<file path=xl/namedSheetViews/namedSheetView11.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0C4FB0A8-0263-432F-B5D4-0BA98459231F}">
    <nsvFilter filterId="{00000000-0009-0000-0000-000007000000}" ref="A4:Q77" tableId="0"/>
  </namedSheetView>
</namedSheetViews>
</file>

<file path=xl/namedSheetViews/namedSheetView12.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A7A9ACD5-DDF9-487B-9380-6B67DC8697E6}">
    <nsvFilter filterId="{00000000-0009-0000-0000-000008000000}" ref="A4:Q68" tableId="0"/>
  </namedSheetView>
</namedSheetViews>
</file>

<file path=xl/namedSheetViews/namedSheetView13.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B2375378-8ECF-4297-8111-8B3FDB71EB56}">
    <nsvFilter filterId="{00000000-0009-0000-0000-000001000000}" ref="A4:O72" tableId="0"/>
  </namedSheetView>
</namedSheetViews>
</file>

<file path=xl/namedSheetViews/namedSheetView14.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54303B5A-05BF-4267-BA46-E91BDF081415}">
    <nsvFilter filterId="{00000000-0009-0000-0000-000001000000}" ref="A5:P5" tableId="0"/>
  </namedSheetView>
</namedSheetViews>
</file>

<file path=xl/namedSheetViews/namedSheetView15.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2AEC43A5-2998-4CDE-A0F0-967F745C8BB8}">
    <nsvFilter filterId="{00000000-0009-0000-0000-000001000000}" ref="A5:P5" tableId="0"/>
  </namedSheetView>
</namedSheetViews>
</file>

<file path=xl/namedSheetViews/namedSheetView16.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E7F5D9DB-6892-4414-A680-9DE1E0B58A07}">
    <nsvFilter filterId="{00000000-0009-0000-0000-000001000000}" ref="A4:O12" tableId="0"/>
  </namedSheetView>
</namedSheetViews>
</file>

<file path=xl/namedSheetViews/namedSheetView17.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1422336F-6678-4537-B8EA-CA62AFCDA05E}">
    <nsvFilter filterId="{00000000-0009-0000-0000-000001000000}" ref="A5:P48" tableId="0"/>
  </namedSheetView>
</namedSheetViews>
</file>

<file path=xl/namedSheetViews/namedSheetView18.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05E3E973-B2D9-434F-827E-1C1DAE6318B0}">
    <nsvFilter filterId="{00000000-0009-0000-0000-000001000000}" ref="A5:P5" tableId="0"/>
  </namedSheetView>
</namedSheetViews>
</file>

<file path=xl/namedSheetViews/namedSheetView19.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8C9BCDF4-1CC2-44A0-8705-7B3BCDC471C1}">
    <nsvFilter filterId="{00000000-0009-0000-0000-000001000000}" ref="A4:P80" tableId="0"/>
  </namedSheetView>
</namedSheetViews>
</file>

<file path=xl/namedSheetViews/namedSheetView20.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0693F3D4-9F51-46F2-A4B6-264191B4E36D}"/>
</namedSheetViews>
</file>

<file path=xl/namedSheetViews/namedSheetView21.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B1DA427E-F51A-424B-B869-EE73E8266C7A}">
    <nsvFilter filterId="{00000000-0009-0000-0000-000001000000}" ref="A4:P54" tableId="0"/>
  </namedSheetView>
</namedSheetViews>
</file>

<file path=xl/namedSheetViews/namedSheetView22.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20B997E0-C6BF-4B07-AC35-6DB539F52911}">
    <nsvFilter filterId="{00000000-0009-0000-0000-000001000000}" ref="A4:P67" tableId="0"/>
  </namedSheetView>
</namedSheetViews>
</file>

<file path=xl/namedSheetViews/namedSheetView23.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6CCF2A29-2E42-43B3-8E69-344FBD093164}">
    <nsvFilter filterId="{00000000-0009-0000-0000-000001000000}" ref="A4:P73" tableId="0"/>
  </namedSheetView>
</namedSheetViews>
</file>

<file path=xl/namedSheetViews/namedSheetView24.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0832D12D-3BCE-4BBD-BE89-60D07C1A9156}">
    <nsvFilter filterId="{00000000-0009-0000-0000-000001000000}" ref="A4:P75" tableId="0"/>
  </namedSheetView>
</namedSheetViews>
</file>

<file path=xl/namedSheetViews/namedSheetView25.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FAE2D22D-992B-4CD9-B35E-D14FF7893B5F}">
    <nsvFilter filterId="{00000000-0009-0000-0000-000001000000}" ref="A4:P71" tableId="0"/>
  </namedSheetView>
</namedSheetViews>
</file>

<file path=xl/namedSheetViews/namedSheetView26.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9A7EC27C-5322-4ADF-84A1-7815649F5B62}">
    <nsvFilter filterId="{00000000-0009-0000-0000-000001000000}" ref="A5:P76" tableId="0"/>
  </namedSheetView>
</namedSheetViews>
</file>

<file path=xl/namedSheetViews/namedSheetView27.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C40ECA22-B85E-44F7-947C-C51BC3D9E6AE}">
    <nsvFilter filterId="{00000000-0009-0000-0000-000001000000}" ref="A5:P63" tableId="0"/>
  </namedSheetView>
</namedSheetViews>
</file>

<file path=xl/namedSheetViews/namedSheetView28.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FF94A383-F88C-4CA3-97B9-CD52BFEF7303}">
    <nsvFilter filterId="{00000000-0009-0000-0000-000001000000}" ref="A5:P44" tableId="0"/>
  </namedSheetView>
</namedSheetViews>
</file>

<file path=xl/namedSheetViews/namedSheetView29.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55EF06FE-D96C-4E05-93E9-71F63606006A}"/>
</namedSheetViews>
</file>

<file path=xl/namedSheetViews/namedSheetView30.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F0826D65-0135-4944-80D9-5EA76150F6B8}">
    <nsvFilter filterId="{00000000-0009-0000-0000-000001000000}" ref="A4:P31" tableId="0"/>
  </namedSheetView>
</namedSheetViews>
</file>

<file path=xl/namedSheetViews/namedSheetView31.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5AE16A01-0460-41DD-A308-60B5B86FB3D5}">
    <nsvFilter filterId="{00000000-0009-0000-0000-000001000000}" ref="A4:P52" tableId="0"/>
  </namedSheetView>
</namedSheetViews>
</file>

<file path=xl/namedSheetViews/namedSheetView32.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8B670F09-162A-4A4A-9973-C354076736B7}">
    <nsvFilter filterId="{00000000-0009-0000-0000-000001000000}" ref="A5:P39" tableId="0"/>
  </namedSheetView>
</namedSheetViews>
</file>

<file path=xl/namedSheetViews/namedSheetView33.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2AF48875-7F4D-4444-B6DD-846A8F4006BE}">
    <nsvFilter filterId="{00000000-0009-0000-0000-000001000000}" ref="A5:P64" tableId="0"/>
  </namedSheetView>
</namedSheetViews>
</file>

<file path=xl/namedSheetViews/namedSheetView34.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Dạng xem 1" id="{CA26F522-BB7C-42A4-B73C-D88E292C8B0C}"/>
  <namedSheetView name="View1" id="{644396C7-646A-4858-9938-F9F081BDBAF4}"/>
</namedSheetViews>
</file>

<file path=xl/namedSheetViews/namedSheetView35.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Dạng xem 1" id="{045D3768-8B6B-4478-9C4F-229416579B3A}"/>
  <namedSheetView name="View1" id="{6806DB9C-44CE-4554-8A81-0D1B02616972}"/>
</namedSheetViews>
</file>

<file path=xl/namedSheetViews/namedSheetView36.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Dạng xem 1" id="{A9169914-FEA1-4FEE-9E94-76C2609070A4}"/>
  <namedSheetView name="View1" id="{DA0C57F7-A897-4DC0-95F2-0A6CE7460F62}"/>
</namedSheetViews>
</file>

<file path=xl/namedSheetViews/namedSheetView37.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Dạng xem 1" id="{AB3C6E1A-03E4-40F3-A75C-08BA64FAF8A8}"/>
  <namedSheetView name="View1" id="{BA0AF813-F20A-4DBA-A13B-8FC17700B8AD}"/>
</namedSheetViews>
</file>

<file path=xl/namedSheetViews/namedSheetView38.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Dạng xem 1" id="{9F4CDA5F-6FA6-4B8E-90BE-E8B550713045}"/>
  <namedSheetView name="View1" id="{4761B718-DCF0-4F6A-B7F2-1E94E6E1EA50}"/>
</namedSheetViews>
</file>

<file path=xl/namedSheetViews/namedSheetView39.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E5859518-2893-4F35-8C1E-4BBC13047498}"/>
</namedSheetViews>
</file>

<file path=xl/namedSheetViews/namedSheetView40.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EAF9A97B-E986-4900-92B6-FBC75B86C45A}">
    <nsvFilter filterId="{00000000-0009-0000-0000-000001000000}" ref="A4:R111" tableId="0"/>
  </namedSheetView>
</namedSheetViews>
</file>

<file path=xl/namedSheetViews/namedSheetView41.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Dạng xem 1" id="{2753EB6C-33B3-475B-AFC9-AE35FC8235FB}"/>
  <namedSheetView name="View1" id="{9CC73059-0E64-4BFA-BEC8-6FC53A8BECCB}"/>
</namedSheetViews>
</file>

<file path=xl/namedSheetViews/namedSheetView42.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Dạng xem 1" id="{85301142-F704-4E34-BC62-6E950FC7B141}"/>
  <namedSheetView name="View1" id="{4D3B674F-BE6A-4CD3-900D-DDE5463A816C}"/>
  <namedSheetView name="View2" id="{4C916854-65CF-4CB5-9C2D-3BE338B1EB7E}">
    <nsvFilter filterId="{5605363C-1AEB-41C7-9B73-03CC587BB0BE}" ref="A3:AJ3" tableId="0">
      <columnFilter colId="2">
        <filter colId="2">
          <x:filters>
            <x:filter val="Đường bộ"/>
            <x:filter val="(NonBlanks)"/>
          </x:filters>
        </filter>
      </columnFilter>
    </nsvFilter>
  </namedSheetView>
  <namedSheetView name="Xem1" id="{98D793B1-84E3-4CB7-910D-ACC41366AF9F}">
    <nsvFilter filterId="{5605363C-1AEB-41C7-9B73-03CC587BB0BE}" ref="A3:AJ3" tableId="0"/>
  </namedSheetView>
</namedSheetViews>
</file>

<file path=xl/namedSheetViews/namedSheetView43.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Dạng xem 1" id="{0229D3A1-EA98-4995-A229-1AFE9AC02EB2}"/>
  <namedSheetView name="View1" id="{0ADA7432-109D-4A09-A434-1C1B32E61E8A}"/>
</namedSheetViews>
</file>

<file path=xl/namedSheetViews/namedSheetView44.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Dạng xem 1" id="{70C38160-F9A3-4723-8844-41420FA87C7F}"/>
  <namedSheetView name="View1" id="{07148844-E302-4560-9D8C-6131F36A608F}"/>
</namedSheetViews>
</file>

<file path=xl/persons/person.xml><?xml version="1.0" encoding="utf-8"?>
<personList xmlns="http://schemas.microsoft.com/office/spreadsheetml/2018/threadedcomments" xmlns:x="http://schemas.openxmlformats.org/spreadsheetml/2006/main">
  <person displayName="Nguyen Phuong Nga - HPDQ" id="{D29E8C68-93FF-4E25-A196-34154537185A}" userId="nganp@hoaphat.com.vn" providerId="PeoplePicker"/>
  <person displayName="Vo Thanh Danh - HPDQ" id="{D0D0126E-F357-4BA7-AE8B-5E97F4DC9326}" userId="danhvt@hoaphat.com.vn" providerId="PeoplePicker"/>
  <person displayName="Nguyen Quang Huy - HPDQ" id="{D2CEFA1D-D593-4A20-A808-CE85EF100767}" userId="quanghuy@hoaphat.com.vn" providerId="PeoplePicker"/>
  <person displayName="Tran Cu Duoc - HPDQ" id="{FB81C373-D671-46CF-B394-91E660570EE4}" userId="trancuduoc@hoaphat.com.vn" providerId="PeoplePicker"/>
  <person displayName="To Dieu Do Ban Hang Cang - HPDQ" id="{86DE21AB-5B55-4005-AE75-0C4114DE731D}" userId="dieudobanhangcang@hoaphat.com.vn" providerId="PeoplePicker"/>
  <person displayName="Nguyen Thi Lan Anh - HPDQ" id="{CD7AC9FC-C377-4514-99E4-561634D614F8}" userId="S::lananhnguyen@hoaphat.com.vn::230023b4-70ab-465a-92dd-fb0911b4c6ee" providerId="AD"/>
</personList>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2">
  <rv s="0">
    <v>0</v>
    <v>8</v>
    <v>29</v>
    <v>1</v>
  </rv>
  <rv s="0">
    <v>0</v>
    <v>8</v>
    <v>44</v>
    <v>1</v>
  </rv>
</rvData>
</file>

<file path=xl/richData/rdrichvaluestructure.xml><?xml version="1.0" encoding="utf-8"?>
<rvStructures xmlns="http://schemas.microsoft.com/office/spreadsheetml/2017/richdata" count="1">
  <s t="_error">
    <k n="colOffset" t="i"/>
    <k n="errorType" t="i"/>
    <k n="rwOffset" t="i"/>
    <k n="subType" t="i"/>
  </s>
</rvStructure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H14" dT="2022-07-19T04:24:54.34" personId="{CD7AC9FC-C377-4514-99E4-561634D614F8}" id="{82933EAC-A554-4EC2-9A10-C88839A18883}">
    <text>anh @Nguyen Quang Huy - HPDQ ơi thêm lệnh cân tải đi ạaa</text>
    <mentions>
      <mention mentionpersonId="{D2CEFA1D-D593-4A20-A808-CE85EF100767}" mentionId="{AB0FD70B-DFCA-40A1-B3DA-F7896BEB1E84}" startIndex="4" length="24"/>
    </mentions>
  </threadedComment>
</ThreadedComments>
</file>

<file path=xl/threadedComments/threadedComment2.xml><?xml version="1.0" encoding="utf-8"?>
<ThreadedComments xmlns="http://schemas.microsoft.com/office/spreadsheetml/2018/threadedcomments" xmlns:x="http://schemas.openxmlformats.org/spreadsheetml/2006/main">
  <threadedComment ref="K21" dT="2023-09-14T01:17:33.69" personId="{CD7AC9FC-C377-4514-99E4-561634D614F8}" id="{73EE93AA-E229-44AB-AC38-D04978B7939A}">
    <text xml:space="preserve">@To Dieu Do Ban Hang Cang - HPDQ @Vo Thanh Danh - HPDQ </text>
    <mentions>
      <mention mentionpersonId="{86DE21AB-5B55-4005-AE75-0C4114DE731D}" mentionId="{774176F9-5CF3-4236-BBB6-0CE4C02CFD06}" startIndex="0" length="32"/>
      <mention mentionpersonId="{D0D0126E-F357-4BA7-AE8B-5E97F4DC9326}" mentionId="{0317C9E9-5D7B-4288-B432-BF91497A83F2}" startIndex="33" length="21"/>
    </mentions>
  </threadedComment>
  <threadedComment ref="J30" dT="2023-09-18T01:22:44.69" personId="{CD7AC9FC-C377-4514-99E4-561634D614F8}" id="{F0457D83-4668-4451-B831-67F06EF789CE}">
    <text xml:space="preserve">anh @Tran Cu Duoc - HPDQ  điền thời gian có hàng giúp em ạ </text>
    <mentions>
      <mention mentionpersonId="{FB81C373-D671-46CF-B394-91E660570EE4}" mentionId="{22939DB5-CB9D-4219-ABF3-8A8C0663610A}" startIndex="4" length="20"/>
    </mentions>
  </threadedComment>
</ThreadedComments>
</file>

<file path=xl/threadedComments/threadedComment3.xml><?xml version="1.0" encoding="utf-8"?>
<ThreadedComments xmlns="http://schemas.microsoft.com/office/spreadsheetml/2018/threadedcomments" xmlns:x="http://schemas.openxmlformats.org/spreadsheetml/2006/main">
  <threadedComment ref="J26" dT="2023-06-20T06:50:45.46" personId="{CD7AC9FC-C377-4514-99E4-561634D614F8}" id="{15F2AD9D-A6DD-4456-AFAC-26ED32474DD8}">
    <text>anh @Tran Cu Duoc - HPDQ điền giúp e khi nào có hàng nhé ạ</text>
    <mentions>
      <mention mentionpersonId="{FB81C373-D671-46CF-B394-91E660570EE4}" mentionId="{907122D6-D9F8-4883-B1B7-80E8B2B3C5C0}" startIndex="4" length="20"/>
    </mentions>
  </threadedComment>
</ThreadedComments>
</file>

<file path=xl/threadedComments/threadedComment4.xml><?xml version="1.0" encoding="utf-8"?>
<ThreadedComments xmlns="http://schemas.microsoft.com/office/spreadsheetml/2018/threadedcomments" xmlns:x="http://schemas.openxmlformats.org/spreadsheetml/2006/main">
  <threadedComment ref="J20" dT="2024-09-11T02:16:04.67" personId="{CD7AC9FC-C377-4514-99E4-561634D614F8}" id="{8710E5D7-FCA8-4189-8DB0-BE6154AA2EDF}">
    <text>anh @Tran Cu Duoc - HPDQ ơi hàng khi nào đủ ạ?</text>
    <mentions>
      <mention mentionpersonId="{FB81C373-D671-46CF-B394-91E660570EE4}" mentionId="{99E5F68C-F8DD-4A51-A2A5-64772A116DBE}" startIndex="4" length="20"/>
    </mentions>
  </threadedComment>
</ThreadedComments>
</file>

<file path=xl/threadedComments/threadedComment5.xml><?xml version="1.0" encoding="utf-8"?>
<ThreadedComments xmlns="http://schemas.microsoft.com/office/spreadsheetml/2018/threadedcomments" xmlns:x="http://schemas.openxmlformats.org/spreadsheetml/2006/main">
  <threadedComment ref="L91" dT="2025-09-09T07:36:47.20" personId="{CD7AC9FC-C377-4514-99E4-561634D614F8}" id="{67BE83E7-2F8C-4677-B257-F5ED7E303A61}">
    <text xml:space="preserve">chị @Nguyen Phuong Nga - HPDQ  ơi đc xuất thêm hàng gì chị note giúp em </text>
    <mentions>
      <mention mentionpersonId="{D29E8C68-93FF-4E25-A196-34154537185A}" mentionId="{33D7AD1C-193C-4A3A-BC83-CDE68097F9D9}" startIndex="4" length="25"/>
    </mentions>
  </threadedComment>
</ThreadedComments>
</file>

<file path=xl/worksheets/_rels/sheet1.xml.rels><?xml version="1.0" encoding="UTF-8" standalone="yes"?>
<Relationships xmlns="http://schemas.openxmlformats.org/package/2006/relationships"><Relationship Id="rId1" Type="http://schemas.microsoft.com/office/2019/04/relationships/namedSheetView" Target="../namedSheetViews/namedSheetView1.xml"/></Relationships>
</file>

<file path=xl/worksheets/_rels/sheet2.xml.rels><?xml version="1.0" encoding="UTF-8" standalone="yes"?>
<Relationships xmlns="http://schemas.openxmlformats.org/package/2006/relationships"><Relationship Id="rId2" Type="http://schemas.microsoft.com/office/2019/04/relationships/namedSheetView" Target="../namedSheetViews/namedSheetView2.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microsoft.com/office/2019/04/relationships/namedSheetView" Target="../namedSheetViews/namedSheetView3.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2" Type="http://schemas.microsoft.com/office/2019/04/relationships/namedSheetView" Target="../namedSheetViews/namedSheetView4.x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2" Type="http://schemas.microsoft.com/office/2019/04/relationships/namedSheetView" Target="../namedSheetViews/namedSheetView5.x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2" Type="http://schemas.microsoft.com/office/2019/04/relationships/namedSheetView" Target="../namedSheetViews/namedSheetView6.xml"/><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6.bin"/><Relationship Id="rId5" Type="http://schemas.microsoft.com/office/2019/04/relationships/namedSheetView" Target="../namedSheetViews/namedSheetView7.xml"/><Relationship Id="rId4" Type="http://schemas.microsoft.com/office/2017/10/relationships/threadedComment" Target="../threadedComments/threadedComment1.xml"/></Relationships>
</file>

<file path=xl/worksheets/_rels/sheet8.xml.rels><?xml version="1.0" encoding="UTF-8" standalone="yes"?>
<Relationships xmlns="http://schemas.openxmlformats.org/package/2006/relationships"><Relationship Id="rId2" Type="http://schemas.microsoft.com/office/2019/04/relationships/namedSheetView" Target="../namedSheetViews/namedSheetView8.xml"/><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2" Type="http://schemas.microsoft.com/office/2019/04/relationships/namedSheetView" Target="../namedSheetViews/namedSheetView9.xml"/><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2" Type="http://schemas.microsoft.com/office/2019/04/relationships/namedSheetView" Target="../namedSheetViews/namedSheetView10.xml"/><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2" Type="http://schemas.microsoft.com/office/2019/04/relationships/namedSheetView" Target="../namedSheetViews/namedSheetView11.xml"/><Relationship Id="rId1" Type="http://schemas.openxmlformats.org/officeDocument/2006/relationships/printerSettings" Target="../printerSettings/printerSettings10.bin"/></Relationships>
</file>

<file path=xl/worksheets/_rels/sheet12.xml.rels><?xml version="1.0" encoding="UTF-8" standalone="yes"?>
<Relationships xmlns="http://schemas.openxmlformats.org/package/2006/relationships"><Relationship Id="rId2" Type="http://schemas.microsoft.com/office/2019/04/relationships/namedSheetView" Target="../namedSheetViews/namedSheetView12.xml"/><Relationship Id="rId1" Type="http://schemas.openxmlformats.org/officeDocument/2006/relationships/printerSettings" Target="../printerSettings/printerSettings11.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3.xml.rels><?xml version="1.0" encoding="UTF-8" standalone="yes"?>
<Relationships xmlns="http://schemas.openxmlformats.org/package/2006/relationships"><Relationship Id="rId2" Type="http://schemas.microsoft.com/office/2019/04/relationships/namedSheetView" Target="../namedSheetViews/namedSheetView13.xml"/><Relationship Id="rId1" Type="http://schemas.openxmlformats.org/officeDocument/2006/relationships/printerSettings" Target="../printerSettings/printerSettings22.bin"/></Relationships>
</file>

<file path=xl/worksheets/_rels/sheet24.xml.rels><?xml version="1.0" encoding="UTF-8" standalone="yes"?>
<Relationships xmlns="http://schemas.openxmlformats.org/package/2006/relationships"><Relationship Id="rId2" Type="http://schemas.microsoft.com/office/2019/04/relationships/namedSheetView" Target="../namedSheetViews/namedSheetView14.xml"/><Relationship Id="rId1" Type="http://schemas.openxmlformats.org/officeDocument/2006/relationships/printerSettings" Target="../printerSettings/printerSettings23.bin"/></Relationships>
</file>

<file path=xl/worksheets/_rels/sheet25.xml.rels><?xml version="1.0" encoding="UTF-8" standalone="yes"?>
<Relationships xmlns="http://schemas.openxmlformats.org/package/2006/relationships"><Relationship Id="rId2" Type="http://schemas.microsoft.com/office/2019/04/relationships/namedSheetView" Target="../namedSheetViews/namedSheetView15.xml"/><Relationship Id="rId1" Type="http://schemas.openxmlformats.org/officeDocument/2006/relationships/printerSettings" Target="../printerSettings/printerSettings24.bin"/></Relationships>
</file>

<file path=xl/worksheets/_rels/sheet26.xml.rels><?xml version="1.0" encoding="UTF-8" standalone="yes"?>
<Relationships xmlns="http://schemas.openxmlformats.org/package/2006/relationships"><Relationship Id="rId2" Type="http://schemas.microsoft.com/office/2019/04/relationships/namedSheetView" Target="../namedSheetViews/namedSheetView16.xml"/><Relationship Id="rId1" Type="http://schemas.openxmlformats.org/officeDocument/2006/relationships/printerSettings" Target="../printerSettings/printerSettings25.bin"/></Relationships>
</file>

<file path=xl/worksheets/_rels/sheet27.xml.rels><?xml version="1.0" encoding="UTF-8" standalone="yes"?>
<Relationships xmlns="http://schemas.openxmlformats.org/package/2006/relationships"><Relationship Id="rId3" Type="http://schemas.microsoft.com/office/2017/10/relationships/threadedComment" Target="../threadedComments/threadedComment2.xml"/><Relationship Id="rId2" Type="http://schemas.openxmlformats.org/officeDocument/2006/relationships/comments" Target="../comments2.xml"/><Relationship Id="rId1" Type="http://schemas.openxmlformats.org/officeDocument/2006/relationships/vmlDrawing" Target="../drawings/vmlDrawing2.vml"/><Relationship Id="rId4" Type="http://schemas.microsoft.com/office/2019/04/relationships/namedSheetView" Target="../namedSheetViews/namedSheetView17.xml"/></Relationships>
</file>

<file path=xl/worksheets/_rels/sheet28.xml.rels><?xml version="1.0" encoding="UTF-8" standalone="yes"?>
<Relationships xmlns="http://schemas.openxmlformats.org/package/2006/relationships"><Relationship Id="rId3" Type="http://schemas.microsoft.com/office/2017/10/relationships/threadedComment" Target="../threadedComments/threadedComment3.xml"/><Relationship Id="rId2" Type="http://schemas.openxmlformats.org/officeDocument/2006/relationships/comments" Target="../comments3.xml"/><Relationship Id="rId1" Type="http://schemas.openxmlformats.org/officeDocument/2006/relationships/vmlDrawing" Target="../drawings/vmlDrawing3.vml"/><Relationship Id="rId4" Type="http://schemas.microsoft.com/office/2019/04/relationships/namedSheetView" Target="../namedSheetViews/namedSheetView18.xml"/></Relationships>
</file>

<file path=xl/worksheets/_rels/sheet29.xml.rels><?xml version="1.0" encoding="UTF-8" standalone="yes"?>
<Relationships xmlns="http://schemas.openxmlformats.org/package/2006/relationships"><Relationship Id="rId1" Type="http://schemas.microsoft.com/office/2019/04/relationships/namedSheetView" Target="../namedSheetViews/namedSheetView19.xml"/></Relationships>
</file>

<file path=xl/worksheets/_rels/sheet30.xml.rels><?xml version="1.0" encoding="UTF-8" standalone="yes"?>
<Relationships xmlns="http://schemas.openxmlformats.org/package/2006/relationships"><Relationship Id="rId3" Type="http://schemas.microsoft.com/office/2017/10/relationships/threadedComment" Target="../threadedComments/threadedComment4.xml"/><Relationship Id="rId2" Type="http://schemas.openxmlformats.org/officeDocument/2006/relationships/comments" Target="../comments4.xml"/><Relationship Id="rId1" Type="http://schemas.openxmlformats.org/officeDocument/2006/relationships/vmlDrawing" Target="../drawings/vmlDrawing4.vml"/><Relationship Id="rId4" Type="http://schemas.microsoft.com/office/2019/04/relationships/namedSheetView" Target="../namedSheetViews/namedSheetView20.xml"/></Relationships>
</file>

<file path=xl/worksheets/_rels/sheet31.xml.rels><?xml version="1.0" encoding="UTF-8" standalone="yes"?>
<Relationships xmlns="http://schemas.openxmlformats.org/package/2006/relationships"><Relationship Id="rId1" Type="http://schemas.microsoft.com/office/2019/04/relationships/namedSheetView" Target="../namedSheetViews/namedSheetView21.xml"/></Relationships>
</file>

<file path=xl/worksheets/_rels/sheet32.xml.rels><?xml version="1.0" encoding="UTF-8" standalone="yes"?>
<Relationships xmlns="http://schemas.openxmlformats.org/package/2006/relationships"><Relationship Id="rId1" Type="http://schemas.microsoft.com/office/2019/04/relationships/namedSheetView" Target="../namedSheetViews/namedSheetView22.xml"/></Relationships>
</file>

<file path=xl/worksheets/_rels/sheet33.xml.rels><?xml version="1.0" encoding="UTF-8" standalone="yes"?>
<Relationships xmlns="http://schemas.openxmlformats.org/package/2006/relationships"><Relationship Id="rId1" Type="http://schemas.microsoft.com/office/2019/04/relationships/namedSheetView" Target="../namedSheetViews/namedSheetView23.xml"/></Relationships>
</file>

<file path=xl/worksheets/_rels/sheet34.xml.rels><?xml version="1.0" encoding="UTF-8" standalone="yes"?>
<Relationships xmlns="http://schemas.openxmlformats.org/package/2006/relationships"><Relationship Id="rId1" Type="http://schemas.microsoft.com/office/2019/04/relationships/namedSheetView" Target="../namedSheetViews/namedSheetView24.xml"/></Relationships>
</file>

<file path=xl/worksheets/_rels/sheet35.xml.rels><?xml version="1.0" encoding="UTF-8" standalone="yes"?>
<Relationships xmlns="http://schemas.openxmlformats.org/package/2006/relationships"><Relationship Id="rId1" Type="http://schemas.microsoft.com/office/2019/04/relationships/namedSheetView" Target="../namedSheetViews/namedSheetView25.xml"/></Relationships>
</file>

<file path=xl/worksheets/_rels/sheet36.xml.rels><?xml version="1.0" encoding="UTF-8" standalone="yes"?>
<Relationships xmlns="http://schemas.openxmlformats.org/package/2006/relationships"><Relationship Id="rId1" Type="http://schemas.microsoft.com/office/2019/04/relationships/namedSheetView" Target="../namedSheetViews/namedSheetView26.xml"/></Relationships>
</file>

<file path=xl/worksheets/_rels/sheet37.xml.rels><?xml version="1.0" encoding="UTF-8" standalone="yes"?>
<Relationships xmlns="http://schemas.openxmlformats.org/package/2006/relationships"><Relationship Id="rId1" Type="http://schemas.microsoft.com/office/2019/04/relationships/namedSheetView" Target="../namedSheetViews/namedSheetView27.xml"/></Relationships>
</file>

<file path=xl/worksheets/_rels/sheet38.xml.rels><?xml version="1.0" encoding="UTF-8" standalone="yes"?>
<Relationships xmlns="http://schemas.openxmlformats.org/package/2006/relationships"><Relationship Id="rId1" Type="http://schemas.microsoft.com/office/2019/04/relationships/namedSheetView" Target="../namedSheetViews/namedSheetView28.xml"/></Relationships>
</file>

<file path=xl/worksheets/_rels/sheet39.xml.rels><?xml version="1.0" encoding="UTF-8" standalone="yes"?>
<Relationships xmlns="http://schemas.openxmlformats.org/package/2006/relationships"><Relationship Id="rId1" Type="http://schemas.microsoft.com/office/2019/04/relationships/namedSheetView" Target="../namedSheetViews/namedSheetView29.xml"/></Relationships>
</file>

<file path=xl/worksheets/_rels/sheet40.xml.rels><?xml version="1.0" encoding="UTF-8" standalone="yes"?>
<Relationships xmlns="http://schemas.openxmlformats.org/package/2006/relationships"><Relationship Id="rId1" Type="http://schemas.microsoft.com/office/2019/04/relationships/namedSheetView" Target="../namedSheetViews/namedSheetView30.xml"/></Relationships>
</file>

<file path=xl/worksheets/_rels/sheet41.xml.rels><?xml version="1.0" encoding="UTF-8" standalone="yes"?>
<Relationships xmlns="http://schemas.openxmlformats.org/package/2006/relationships"><Relationship Id="rId1" Type="http://schemas.microsoft.com/office/2019/04/relationships/namedSheetView" Target="../namedSheetViews/namedSheetView31.xml"/></Relationships>
</file>

<file path=xl/worksheets/_rels/sheet42.xml.rels><?xml version="1.0" encoding="UTF-8" standalone="yes"?>
<Relationships xmlns="http://schemas.openxmlformats.org/package/2006/relationships"><Relationship Id="rId2" Type="http://schemas.microsoft.com/office/2019/04/relationships/namedSheetView" Target="../namedSheetViews/namedSheetView32.xml"/><Relationship Id="rId1" Type="http://schemas.openxmlformats.org/officeDocument/2006/relationships/printerSettings" Target="../printerSettings/printerSettings26.bin"/></Relationships>
</file>

<file path=xl/worksheets/_rels/sheet43.xml.rels><?xml version="1.0" encoding="UTF-8" standalone="yes"?>
<Relationships xmlns="http://schemas.openxmlformats.org/package/2006/relationships"><Relationship Id="rId1" Type="http://schemas.microsoft.com/office/2019/04/relationships/namedSheetView" Target="../namedSheetViews/namedSheetView33.xml"/></Relationships>
</file>

<file path=xl/worksheets/_rels/sheet45.xml.rels><?xml version="1.0" encoding="UTF-8" standalone="yes"?>
<Relationships xmlns="http://schemas.openxmlformats.org/package/2006/relationships"><Relationship Id="rId1" Type="http://schemas.microsoft.com/office/2019/04/relationships/namedSheetView" Target="../namedSheetViews/namedSheetView34.xml"/></Relationships>
</file>

<file path=xl/worksheets/_rels/sheet46.xml.rels><?xml version="1.0" encoding="UTF-8" standalone="yes"?>
<Relationships xmlns="http://schemas.openxmlformats.org/package/2006/relationships"><Relationship Id="rId1" Type="http://schemas.microsoft.com/office/2019/04/relationships/namedSheetView" Target="../namedSheetViews/namedSheetView35.xml"/></Relationships>
</file>

<file path=xl/worksheets/_rels/sheet48.xml.rels><?xml version="1.0" encoding="UTF-8" standalone="yes"?>
<Relationships xmlns="http://schemas.openxmlformats.org/package/2006/relationships"><Relationship Id="rId1" Type="http://schemas.microsoft.com/office/2019/04/relationships/namedSheetView" Target="../namedSheetViews/namedSheetView36.xml"/></Relationships>
</file>

<file path=xl/worksheets/_rels/sheet49.xml.rels><?xml version="1.0" encoding="UTF-8" standalone="yes"?>
<Relationships xmlns="http://schemas.openxmlformats.org/package/2006/relationships"><Relationship Id="rId1" Type="http://schemas.microsoft.com/office/2019/04/relationships/namedSheetView" Target="../namedSheetViews/namedSheetView37.xml"/></Relationships>
</file>

<file path=xl/worksheets/_rels/sheet50.xml.rels><?xml version="1.0" encoding="UTF-8" standalone="yes"?>
<Relationships xmlns="http://schemas.openxmlformats.org/package/2006/relationships"><Relationship Id="rId2" Type="http://schemas.microsoft.com/office/2019/04/relationships/namedSheetView" Target="../namedSheetViews/namedSheetView38.xml"/><Relationship Id="rId1" Type="http://schemas.openxmlformats.org/officeDocument/2006/relationships/printerSettings" Target="../printerSettings/printerSettings27.bin"/></Relationships>
</file>

<file path=xl/worksheets/_rels/sheet51.xml.rels><?xml version="1.0" encoding="UTF-8" standalone="yes"?>
<Relationships xmlns="http://schemas.openxmlformats.org/package/2006/relationships"><Relationship Id="rId1" Type="http://schemas.microsoft.com/office/2019/04/relationships/namedSheetView" Target="../namedSheetViews/namedSheetView39.xml"/></Relationships>
</file>

<file path=xl/worksheets/_rels/sheet52.xml.rels><?xml version="1.0" encoding="UTF-8" standalone="yes"?>
<Relationships xmlns="http://schemas.openxmlformats.org/package/2006/relationships"><Relationship Id="rId1" Type="http://schemas.microsoft.com/office/2019/04/relationships/namedSheetView" Target="../namedSheetViews/namedSheetView40.xml"/></Relationships>
</file>

<file path=xl/worksheets/_rels/sheet53.xml.rels><?xml version="1.0" encoding="UTF-8" standalone="yes"?>
<Relationships xmlns="http://schemas.openxmlformats.org/package/2006/relationships"><Relationship Id="rId1" Type="http://schemas.microsoft.com/office/2019/04/relationships/namedSheetView" Target="../namedSheetViews/namedSheetView41.xml"/></Relationships>
</file>

<file path=xl/worksheets/_rels/sheet54.xml.rels><?xml version="1.0" encoding="UTF-8" standalone="yes"?>
<Relationships xmlns="http://schemas.openxmlformats.org/package/2006/relationships"><Relationship Id="rId3" Type="http://schemas.microsoft.com/office/2017/10/relationships/threadedComment" Target="../threadedComments/threadedComment5.xml"/><Relationship Id="rId2" Type="http://schemas.openxmlformats.org/officeDocument/2006/relationships/comments" Target="../comments5.xml"/><Relationship Id="rId1" Type="http://schemas.openxmlformats.org/officeDocument/2006/relationships/vmlDrawing" Target="../drawings/vmlDrawing5.vml"/><Relationship Id="rId4" Type="http://schemas.microsoft.com/office/2019/04/relationships/namedSheetView" Target="../namedSheetViews/namedSheetView42.xml"/></Relationships>
</file>

<file path=xl/worksheets/_rels/sheet55.xml.rels><?xml version="1.0" encoding="UTF-8" standalone="yes"?>
<Relationships xmlns="http://schemas.openxmlformats.org/package/2006/relationships"><Relationship Id="rId1" Type="http://schemas.microsoft.com/office/2019/04/relationships/namedSheetView" Target="../namedSheetViews/namedSheetView43.xml"/></Relationships>
</file>

<file path=xl/worksheets/_rels/sheet57.xml.rels><?xml version="1.0" encoding="UTF-8" standalone="yes"?>
<Relationships xmlns="http://schemas.openxmlformats.org/package/2006/relationships"><Relationship Id="rId1" Type="http://schemas.microsoft.com/office/2019/04/relationships/namedSheetView" Target="../namedSheetViews/namedSheetView4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A77763-6639-435E-9AC9-FFE48457EC0B}">
  <sheetPr>
    <tabColor theme="6" tint="0.79998168889431442"/>
    <pageSetUpPr fitToPage="1"/>
  </sheetPr>
  <dimension ref="A1:N50"/>
  <sheetViews>
    <sheetView topLeftCell="A2" zoomScale="70" zoomScaleNormal="70" workbookViewId="0">
      <pane xSplit="3" ySplit="4" topLeftCell="E39" activePane="bottomRight" state="frozen"/>
      <selection pane="topRight" activeCell="E39" sqref="E39"/>
      <selection pane="bottomLeft" activeCell="E39" sqref="E39"/>
      <selection pane="bottomRight" activeCell="E39" sqref="E39"/>
    </sheetView>
  </sheetViews>
  <sheetFormatPr defaultColWidth="32.140625" defaultRowHeight="58.5" customHeight="1"/>
  <cols>
    <col min="1" max="1" width="7.7109375" style="359" customWidth="1"/>
    <col min="2" max="2" width="32.140625" style="1"/>
    <col min="3" max="3" width="21" style="804" customWidth="1"/>
    <col min="4" max="4" width="22.28515625" style="271" customWidth="1"/>
    <col min="5" max="5" width="22.28515625" style="1" customWidth="1"/>
    <col min="6" max="6" width="24.28515625" style="271" customWidth="1"/>
    <col min="7" max="7" width="25.140625" style="271" customWidth="1"/>
    <col min="8" max="8" width="23.85546875" style="1" customWidth="1"/>
    <col min="9" max="9" width="32.140625" style="1"/>
    <col min="10" max="10" width="118.42578125" style="9" customWidth="1"/>
    <col min="11" max="11" width="60.42578125" style="9" customWidth="1"/>
    <col min="12" max="12" width="17.28515625" style="1" customWidth="1"/>
    <col min="13" max="13" width="18.7109375" style="763" customWidth="1"/>
    <col min="14" max="16384" width="32.140625" style="3"/>
  </cols>
  <sheetData>
    <row r="1" spans="1:14" ht="58.5" customHeight="1">
      <c r="B1" s="10"/>
      <c r="C1" s="3624"/>
      <c r="D1" s="3624"/>
      <c r="E1" s="3624"/>
      <c r="F1" s="3624"/>
      <c r="G1" s="3624"/>
      <c r="H1" s="3624"/>
      <c r="I1" s="3624"/>
      <c r="J1" s="3624"/>
      <c r="K1" s="3624"/>
      <c r="M1" s="1848"/>
    </row>
    <row r="2" spans="1:14" ht="39.75" customHeight="1">
      <c r="A2" s="3625" t="s">
        <v>0</v>
      </c>
      <c r="B2" s="3625"/>
      <c r="C2" s="3625"/>
      <c r="D2" s="3625"/>
      <c r="E2" s="3625"/>
      <c r="F2" s="3625"/>
      <c r="G2" s="3625"/>
      <c r="H2" s="3625"/>
      <c r="I2" s="3625"/>
      <c r="J2" s="3625"/>
      <c r="K2" s="3625"/>
      <c r="L2" s="3625"/>
      <c r="M2" s="3625"/>
      <c r="N2" s="287"/>
    </row>
    <row r="3" spans="1:14" s="1725" customFormat="1" ht="45" customHeight="1">
      <c r="A3" s="1723"/>
      <c r="B3" s="3626"/>
      <c r="C3" s="3627"/>
      <c r="D3" s="3627"/>
      <c r="E3" s="3627"/>
      <c r="F3" s="3627"/>
      <c r="G3" s="3627"/>
      <c r="H3" s="3627"/>
      <c r="I3" s="3627"/>
      <c r="J3" s="3627"/>
      <c r="K3" s="3627"/>
      <c r="L3" s="3627"/>
      <c r="M3" s="3628"/>
      <c r="N3" s="1724"/>
    </row>
    <row r="4" spans="1:14" ht="30" customHeight="1">
      <c r="A4" s="3629"/>
      <c r="B4" s="3629"/>
      <c r="C4" s="1810">
        <f>SUBTOTAL(9,C9:C43)</f>
        <v>263630</v>
      </c>
      <c r="D4" s="1503"/>
      <c r="E4" s="1504"/>
      <c r="F4" s="1503"/>
      <c r="G4" s="1503"/>
      <c r="H4" s="1503"/>
      <c r="I4" s="1503"/>
      <c r="J4" s="1504">
        <f ca="1">TODAY()</f>
        <v>45960</v>
      </c>
      <c r="L4" s="1504"/>
      <c r="M4" s="1849"/>
      <c r="N4" s="287"/>
    </row>
    <row r="5" spans="1:14" s="1535" customFormat="1" ht="36" customHeight="1">
      <c r="A5" s="361" t="s">
        <v>1</v>
      </c>
      <c r="B5" s="204" t="s">
        <v>2</v>
      </c>
      <c r="C5" s="1811" t="s">
        <v>3</v>
      </c>
      <c r="D5" s="204" t="s">
        <v>4</v>
      </c>
      <c r="E5" s="204" t="s">
        <v>5</v>
      </c>
      <c r="F5" s="204" t="s">
        <v>6</v>
      </c>
      <c r="G5" s="204" t="s">
        <v>7</v>
      </c>
      <c r="H5" s="204" t="s">
        <v>8</v>
      </c>
      <c r="I5" s="204" t="s">
        <v>9</v>
      </c>
      <c r="J5" s="204" t="s">
        <v>10</v>
      </c>
      <c r="K5" s="204" t="s">
        <v>11</v>
      </c>
      <c r="L5" s="204" t="s">
        <v>12</v>
      </c>
      <c r="M5" s="1858" t="s">
        <v>13</v>
      </c>
      <c r="N5" s="1534" t="e">
        <f>SUM(#REF!)</f>
        <v>#REF!</v>
      </c>
    </row>
    <row r="6" spans="1:14" s="1548" customFormat="1" ht="87" customHeight="1">
      <c r="A6" s="1542" cm="1">
        <f t="array" ref="A6:A50">_xlfn.SEQUENCE(45,1,1)</f>
        <v>1</v>
      </c>
      <c r="B6" s="1493" t="s">
        <v>14</v>
      </c>
      <c r="C6" s="1826">
        <v>4000</v>
      </c>
      <c r="D6" s="1495" t="s">
        <v>15</v>
      </c>
      <c r="E6" s="1769" t="s">
        <v>16</v>
      </c>
      <c r="F6" s="1495" t="s">
        <v>17</v>
      </c>
      <c r="G6" s="1626" t="s">
        <v>18</v>
      </c>
      <c r="H6" s="1626" t="s">
        <v>19</v>
      </c>
      <c r="I6" s="1493" t="s">
        <v>20</v>
      </c>
      <c r="J6" s="1496" t="s">
        <v>21</v>
      </c>
      <c r="K6" s="1547"/>
      <c r="L6" s="1493"/>
      <c r="M6" s="1790" t="s">
        <v>22</v>
      </c>
    </row>
    <row r="7" spans="1:14" s="1548" customFormat="1" ht="223.5" customHeight="1">
      <c r="A7" s="1542">
        <v>2</v>
      </c>
      <c r="B7" s="1493" t="s">
        <v>23</v>
      </c>
      <c r="C7" s="1826">
        <v>11500</v>
      </c>
      <c r="D7" s="1495" t="s">
        <v>24</v>
      </c>
      <c r="E7" s="1493" t="s">
        <v>25</v>
      </c>
      <c r="F7" s="1495" t="s">
        <v>26</v>
      </c>
      <c r="G7" s="1748" t="s">
        <v>27</v>
      </c>
      <c r="H7" s="1493" t="s">
        <v>19</v>
      </c>
      <c r="I7" s="1493" t="s">
        <v>28</v>
      </c>
      <c r="J7" s="1605" t="s">
        <v>29</v>
      </c>
      <c r="K7" s="1547"/>
      <c r="L7" s="1493"/>
      <c r="M7" s="1790"/>
    </row>
    <row r="8" spans="1:14" s="1548" customFormat="1" ht="169.5" customHeight="1">
      <c r="A8" s="1542">
        <v>3</v>
      </c>
      <c r="B8" s="1493" t="s">
        <v>30</v>
      </c>
      <c r="C8" s="1826">
        <v>3900</v>
      </c>
      <c r="D8" s="1495" t="s">
        <v>31</v>
      </c>
      <c r="E8" s="1493" t="s">
        <v>16</v>
      </c>
      <c r="F8" s="1495" t="s">
        <v>32</v>
      </c>
      <c r="G8" s="1495" t="s">
        <v>18</v>
      </c>
      <c r="H8" s="1493" t="s">
        <v>19</v>
      </c>
      <c r="I8" s="1493" t="s">
        <v>33</v>
      </c>
      <c r="J8" s="1496" t="s">
        <v>34</v>
      </c>
      <c r="K8" s="1547"/>
      <c r="L8" s="1493"/>
      <c r="M8" s="1790" t="s">
        <v>22</v>
      </c>
    </row>
    <row r="9" spans="1:14" s="1548" customFormat="1" ht="141" customHeight="1">
      <c r="A9" s="1542">
        <v>4</v>
      </c>
      <c r="B9" s="1493" t="s">
        <v>35</v>
      </c>
      <c r="C9" s="1826">
        <v>17200</v>
      </c>
      <c r="D9" s="1495" t="s">
        <v>36</v>
      </c>
      <c r="E9" s="1493" t="s">
        <v>37</v>
      </c>
      <c r="F9" s="1495" t="s">
        <v>38</v>
      </c>
      <c r="G9" s="1748" t="s">
        <v>39</v>
      </c>
      <c r="H9" s="1493" t="s">
        <v>19</v>
      </c>
      <c r="I9" s="1769" t="s">
        <v>40</v>
      </c>
      <c r="J9" s="1885" t="s">
        <v>41</v>
      </c>
      <c r="K9" s="1771"/>
      <c r="L9" s="1493"/>
      <c r="M9" s="1790"/>
    </row>
    <row r="10" spans="1:14" s="1548" customFormat="1" ht="75" customHeight="1">
      <c r="A10" s="1542">
        <v>5</v>
      </c>
      <c r="B10" s="1493" t="s">
        <v>42</v>
      </c>
      <c r="C10" s="1826">
        <v>6000</v>
      </c>
      <c r="D10" s="1495" t="s">
        <v>31</v>
      </c>
      <c r="E10" s="1493" t="s">
        <v>43</v>
      </c>
      <c r="F10" s="1495" t="s">
        <v>44</v>
      </c>
      <c r="G10" s="1495" t="s">
        <v>18</v>
      </c>
      <c r="H10" s="1493" t="s">
        <v>19</v>
      </c>
      <c r="I10" s="1495" t="s">
        <v>45</v>
      </c>
      <c r="J10" s="1496" t="s">
        <v>46</v>
      </c>
      <c r="K10" s="1547"/>
      <c r="L10" s="1493"/>
      <c r="M10" s="1790" t="s">
        <v>22</v>
      </c>
    </row>
    <row r="11" spans="1:14" s="1548" customFormat="1" ht="77.25" customHeight="1">
      <c r="A11" s="1542">
        <v>6</v>
      </c>
      <c r="B11" s="1493" t="s">
        <v>47</v>
      </c>
      <c r="C11" s="1826">
        <v>4250</v>
      </c>
      <c r="D11" s="1495" t="s">
        <v>48</v>
      </c>
      <c r="E11" s="1493" t="s">
        <v>43</v>
      </c>
      <c r="F11" s="1495" t="s">
        <v>49</v>
      </c>
      <c r="G11" s="1495" t="s">
        <v>18</v>
      </c>
      <c r="H11" s="1493" t="s">
        <v>19</v>
      </c>
      <c r="I11" s="1493" t="s">
        <v>50</v>
      </c>
      <c r="J11" s="1600" t="s">
        <v>51</v>
      </c>
      <c r="K11" s="1547"/>
      <c r="L11" s="1493"/>
      <c r="M11" s="1790" t="s">
        <v>22</v>
      </c>
    </row>
    <row r="12" spans="1:14" s="1548" customFormat="1" ht="109.5" customHeight="1">
      <c r="A12" s="1542">
        <v>7</v>
      </c>
      <c r="B12" s="1493" t="s">
        <v>52</v>
      </c>
      <c r="C12" s="1826">
        <v>4700</v>
      </c>
      <c r="D12" s="1495" t="s">
        <v>53</v>
      </c>
      <c r="E12" s="1493" t="s">
        <v>54</v>
      </c>
      <c r="F12" s="1495" t="s">
        <v>55</v>
      </c>
      <c r="G12" s="1495" t="s">
        <v>18</v>
      </c>
      <c r="H12" s="1493" t="s">
        <v>19</v>
      </c>
      <c r="I12" s="1495" t="s">
        <v>56</v>
      </c>
      <c r="J12" s="1496" t="s">
        <v>57</v>
      </c>
      <c r="K12" s="1859" t="s">
        <v>58</v>
      </c>
      <c r="L12" s="1493"/>
      <c r="M12" s="1790" t="s">
        <v>22</v>
      </c>
    </row>
    <row r="13" spans="1:14" s="1548" customFormat="1" ht="69.75" customHeight="1">
      <c r="A13" s="1542">
        <v>8</v>
      </c>
      <c r="B13" s="1493" t="s">
        <v>59</v>
      </c>
      <c r="C13" s="1826">
        <v>3300</v>
      </c>
      <c r="D13" s="1766" t="s">
        <v>60</v>
      </c>
      <c r="E13" s="1493" t="s">
        <v>61</v>
      </c>
      <c r="F13" s="1495" t="s">
        <v>62</v>
      </c>
      <c r="G13" s="1495" t="s">
        <v>18</v>
      </c>
      <c r="H13" s="1493" t="s">
        <v>19</v>
      </c>
      <c r="I13" s="1545" t="s">
        <v>63</v>
      </c>
      <c r="J13" s="1600" t="s">
        <v>64</v>
      </c>
      <c r="K13" s="1843" t="s">
        <v>65</v>
      </c>
      <c r="L13" s="1493"/>
      <c r="M13" s="1790" t="s">
        <v>22</v>
      </c>
    </row>
    <row r="14" spans="1:14" s="1548" customFormat="1" ht="58.5" customHeight="1">
      <c r="A14" s="1542">
        <v>9</v>
      </c>
      <c r="B14" s="1493" t="s">
        <v>66</v>
      </c>
      <c r="C14" s="1826">
        <v>17000</v>
      </c>
      <c r="D14" s="1495" t="s">
        <v>67</v>
      </c>
      <c r="E14" s="1769" t="s">
        <v>25</v>
      </c>
      <c r="F14" s="1495" t="s">
        <v>68</v>
      </c>
      <c r="G14" s="1495" t="s">
        <v>18</v>
      </c>
      <c r="H14" s="1626" t="s">
        <v>19</v>
      </c>
      <c r="I14" s="1493" t="s">
        <v>69</v>
      </c>
      <c r="J14" s="1496" t="s">
        <v>70</v>
      </c>
      <c r="K14" s="1547"/>
      <c r="L14" s="1493"/>
      <c r="M14" s="1790"/>
    </row>
    <row r="15" spans="1:14" s="1548" customFormat="1" ht="57.75" customHeight="1">
      <c r="A15" s="1542">
        <v>10</v>
      </c>
      <c r="B15" s="1493" t="s">
        <v>71</v>
      </c>
      <c r="C15" s="1826">
        <v>3700</v>
      </c>
      <c r="D15" s="1495" t="s">
        <v>72</v>
      </c>
      <c r="E15" s="1493" t="s">
        <v>54</v>
      </c>
      <c r="F15" s="1495" t="s">
        <v>73</v>
      </c>
      <c r="G15" s="1495" t="s">
        <v>18</v>
      </c>
      <c r="H15" s="1493" t="s">
        <v>19</v>
      </c>
      <c r="I15" s="1495" t="s">
        <v>74</v>
      </c>
      <c r="J15" s="1496" t="s">
        <v>75</v>
      </c>
      <c r="K15" s="1547"/>
      <c r="L15" s="1493"/>
      <c r="M15" s="1790" t="s">
        <v>22</v>
      </c>
    </row>
    <row r="16" spans="1:14" s="1548" customFormat="1" ht="409.5" customHeight="1">
      <c r="A16" s="1542">
        <v>11</v>
      </c>
      <c r="B16" s="1493" t="s">
        <v>76</v>
      </c>
      <c r="C16" s="1826">
        <v>9600</v>
      </c>
      <c r="D16" s="1495" t="s">
        <v>60</v>
      </c>
      <c r="E16" s="1495" t="s">
        <v>77</v>
      </c>
      <c r="F16" s="1851" t="s">
        <v>78</v>
      </c>
      <c r="G16" s="1495" t="s">
        <v>18</v>
      </c>
      <c r="H16" s="1626" t="s">
        <v>19</v>
      </c>
      <c r="I16" s="1493" t="s">
        <v>79</v>
      </c>
      <c r="J16" s="1600" t="s">
        <v>80</v>
      </c>
      <c r="K16" s="1547" t="s">
        <v>81</v>
      </c>
      <c r="L16" s="1493"/>
      <c r="M16" s="1790"/>
    </row>
    <row r="17" spans="1:13" s="1548" customFormat="1" ht="120" customHeight="1">
      <c r="A17" s="1542">
        <v>12</v>
      </c>
      <c r="B17" s="1493" t="s">
        <v>82</v>
      </c>
      <c r="C17" s="1826">
        <v>4300</v>
      </c>
      <c r="D17" s="1495" t="s">
        <v>83</v>
      </c>
      <c r="E17" s="1493" t="s">
        <v>84</v>
      </c>
      <c r="F17" s="1495" t="s">
        <v>85</v>
      </c>
      <c r="G17" s="1495" t="s">
        <v>18</v>
      </c>
      <c r="H17" s="1493" t="s">
        <v>19</v>
      </c>
      <c r="I17" s="1493" t="s">
        <v>50</v>
      </c>
      <c r="J17" s="1496" t="s">
        <v>86</v>
      </c>
      <c r="K17" s="1547"/>
      <c r="L17" s="1493"/>
      <c r="M17" s="1790" t="s">
        <v>22</v>
      </c>
    </row>
    <row r="18" spans="1:13" s="1548" customFormat="1" ht="92.25" customHeight="1">
      <c r="A18" s="1542">
        <v>13</v>
      </c>
      <c r="B18" s="1493" t="s">
        <v>87</v>
      </c>
      <c r="C18" s="1826">
        <v>3080</v>
      </c>
      <c r="D18" s="1495" t="s">
        <v>88</v>
      </c>
      <c r="E18" s="1493" t="s">
        <v>89</v>
      </c>
      <c r="F18" s="1495" t="s">
        <v>90</v>
      </c>
      <c r="G18" s="1495" t="s">
        <v>18</v>
      </c>
      <c r="H18" s="1493" t="s">
        <v>19</v>
      </c>
      <c r="I18" s="1493" t="s">
        <v>45</v>
      </c>
      <c r="J18" s="1600" t="s">
        <v>91</v>
      </c>
      <c r="K18" s="1600" t="s">
        <v>92</v>
      </c>
      <c r="L18" s="1493"/>
      <c r="M18" s="1790" t="s">
        <v>22</v>
      </c>
    </row>
    <row r="19" spans="1:13" s="1548" customFormat="1" ht="96.75" customHeight="1">
      <c r="A19" s="1542">
        <v>14</v>
      </c>
      <c r="B19" s="1493" t="s">
        <v>93</v>
      </c>
      <c r="C19" s="1826">
        <v>2950</v>
      </c>
      <c r="D19" s="1495" t="s">
        <v>94</v>
      </c>
      <c r="E19" s="1493" t="s">
        <v>84</v>
      </c>
      <c r="F19" s="1495" t="s">
        <v>90</v>
      </c>
      <c r="G19" s="1495" t="s">
        <v>18</v>
      </c>
      <c r="H19" s="1493" t="s">
        <v>19</v>
      </c>
      <c r="I19" s="1495" t="s">
        <v>95</v>
      </c>
      <c r="J19" s="1496" t="s">
        <v>96</v>
      </c>
      <c r="K19" s="1859" t="s">
        <v>97</v>
      </c>
      <c r="L19" s="1493"/>
      <c r="M19" s="1790" t="s">
        <v>22</v>
      </c>
    </row>
    <row r="20" spans="1:13" s="1548" customFormat="1" ht="58.5" customHeight="1">
      <c r="A20" s="1542">
        <v>15</v>
      </c>
      <c r="B20" s="1493" t="s">
        <v>98</v>
      </c>
      <c r="C20" s="1826">
        <v>4400</v>
      </c>
      <c r="D20" s="1787" t="s">
        <v>99</v>
      </c>
      <c r="E20" s="1493" t="s">
        <v>89</v>
      </c>
      <c r="F20" s="1495" t="s">
        <v>100</v>
      </c>
      <c r="G20" s="1495" t="s">
        <v>18</v>
      </c>
      <c r="H20" s="1493" t="s">
        <v>19</v>
      </c>
      <c r="I20" s="1493" t="s">
        <v>101</v>
      </c>
      <c r="J20" s="1600" t="s">
        <v>102</v>
      </c>
      <c r="K20" s="1600" t="s">
        <v>103</v>
      </c>
      <c r="L20" s="1493"/>
      <c r="M20" s="1790" t="s">
        <v>22</v>
      </c>
    </row>
    <row r="21" spans="1:13" s="1548" customFormat="1" ht="269.25" customHeight="1">
      <c r="A21" s="1850">
        <v>16</v>
      </c>
      <c r="B21" s="1493" t="s">
        <v>104</v>
      </c>
      <c r="C21" s="1826">
        <v>7000</v>
      </c>
      <c r="D21" s="1495" t="s">
        <v>105</v>
      </c>
      <c r="E21" s="1769" t="s">
        <v>106</v>
      </c>
      <c r="F21" s="1495" t="s">
        <v>107</v>
      </c>
      <c r="G21" s="1748" t="s">
        <v>108</v>
      </c>
      <c r="H21" s="1493" t="s">
        <v>19</v>
      </c>
      <c r="I21" s="1493" t="s">
        <v>109</v>
      </c>
      <c r="J21" s="1634" t="s">
        <v>110</v>
      </c>
      <c r="K21" s="1859" t="s">
        <v>111</v>
      </c>
      <c r="L21" s="1493"/>
      <c r="M21" s="1790"/>
    </row>
    <row r="22" spans="1:13" s="1548" customFormat="1" ht="111" customHeight="1">
      <c r="A22" s="1542">
        <v>17</v>
      </c>
      <c r="B22" s="1493" t="s">
        <v>112</v>
      </c>
      <c r="C22" s="1826">
        <v>11000</v>
      </c>
      <c r="D22" s="1495" t="s">
        <v>94</v>
      </c>
      <c r="E22" s="1545" t="s">
        <v>84</v>
      </c>
      <c r="F22" s="1495" t="s">
        <v>113</v>
      </c>
      <c r="G22" s="1495" t="s">
        <v>18</v>
      </c>
      <c r="H22" s="1493" t="s">
        <v>19</v>
      </c>
      <c r="I22" s="1493" t="s">
        <v>114</v>
      </c>
      <c r="J22" s="1600" t="s">
        <v>115</v>
      </c>
      <c r="K22" s="1859" t="s">
        <v>116</v>
      </c>
      <c r="L22" s="1493"/>
      <c r="M22" s="1790" t="s">
        <v>22</v>
      </c>
    </row>
    <row r="23" spans="1:13" s="1559" customFormat="1" ht="65.25" customHeight="1">
      <c r="A23" s="1553">
        <v>18</v>
      </c>
      <c r="B23" s="1545" t="s">
        <v>117</v>
      </c>
      <c r="C23" s="1827">
        <v>4000</v>
      </c>
      <c r="D23" s="1543" t="s">
        <v>118</v>
      </c>
      <c r="E23" s="1545" t="s">
        <v>84</v>
      </c>
      <c r="F23" s="1543" t="s">
        <v>119</v>
      </c>
      <c r="G23" s="1495" t="s">
        <v>18</v>
      </c>
      <c r="H23" s="1545" t="s">
        <v>19</v>
      </c>
      <c r="I23" s="1545" t="s">
        <v>50</v>
      </c>
      <c r="J23" s="1546" t="s">
        <v>120</v>
      </c>
      <c r="K23" s="1860"/>
      <c r="L23" s="1545"/>
      <c r="M23" s="1852" t="s">
        <v>22</v>
      </c>
    </row>
    <row r="24" spans="1:13" s="1548" customFormat="1" ht="65.25" customHeight="1">
      <c r="A24" s="1542">
        <v>19</v>
      </c>
      <c r="B24" s="1493" t="s">
        <v>42</v>
      </c>
      <c r="C24" s="1826">
        <v>6000</v>
      </c>
      <c r="D24" s="1495" t="s">
        <v>121</v>
      </c>
      <c r="E24" s="1545" t="s">
        <v>43</v>
      </c>
      <c r="F24" s="1495" t="s">
        <v>122</v>
      </c>
      <c r="G24" s="1495" t="s">
        <v>18</v>
      </c>
      <c r="H24" s="1493" t="s">
        <v>19</v>
      </c>
      <c r="I24" s="1493" t="s">
        <v>123</v>
      </c>
      <c r="J24" s="1600" t="s">
        <v>124</v>
      </c>
      <c r="K24" s="1547" t="s">
        <v>125</v>
      </c>
      <c r="L24" s="1493"/>
      <c r="M24" s="1790" t="s">
        <v>22</v>
      </c>
    </row>
    <row r="25" spans="1:13" s="1548" customFormat="1" ht="57" customHeight="1">
      <c r="A25" s="1542">
        <v>20</v>
      </c>
      <c r="B25" s="1493" t="s">
        <v>126</v>
      </c>
      <c r="C25" s="1826">
        <v>700</v>
      </c>
      <c r="D25" s="1495" t="s">
        <v>127</v>
      </c>
      <c r="E25" s="1493" t="s">
        <v>25</v>
      </c>
      <c r="F25" s="1851" t="s">
        <v>128</v>
      </c>
      <c r="G25" s="1495" t="s">
        <v>18</v>
      </c>
      <c r="H25" s="1493" t="s">
        <v>19</v>
      </c>
      <c r="I25" s="1493" t="s">
        <v>129</v>
      </c>
      <c r="J25" s="1861" t="s">
        <v>130</v>
      </c>
      <c r="K25" s="1547"/>
      <c r="L25" s="1493"/>
      <c r="M25" s="1790"/>
    </row>
    <row r="26" spans="1:13" s="1548" customFormat="1" ht="69" customHeight="1">
      <c r="A26" s="1542">
        <v>21</v>
      </c>
      <c r="B26" s="1493" t="s">
        <v>131</v>
      </c>
      <c r="C26" s="1826">
        <v>5000</v>
      </c>
      <c r="D26" s="1495" t="s">
        <v>132</v>
      </c>
      <c r="E26" s="1493" t="s">
        <v>77</v>
      </c>
      <c r="F26" s="1495" t="s">
        <v>133</v>
      </c>
      <c r="G26" s="1495" t="s">
        <v>18</v>
      </c>
      <c r="H26" s="1493" t="s">
        <v>19</v>
      </c>
      <c r="I26" s="1493" t="s">
        <v>134</v>
      </c>
      <c r="J26" s="1600" t="s">
        <v>135</v>
      </c>
      <c r="K26" s="1547"/>
      <c r="L26" s="1493"/>
      <c r="M26" s="1790"/>
    </row>
    <row r="27" spans="1:13" s="1559" customFormat="1" ht="69" customHeight="1">
      <c r="A27" s="1553">
        <v>22</v>
      </c>
      <c r="B27" s="1545" t="s">
        <v>136</v>
      </c>
      <c r="C27" s="1827">
        <v>3800</v>
      </c>
      <c r="D27" s="1543" t="s">
        <v>137</v>
      </c>
      <c r="E27" s="1545" t="s">
        <v>89</v>
      </c>
      <c r="F27" s="1543" t="s">
        <v>138</v>
      </c>
      <c r="G27" s="1543" t="s">
        <v>18</v>
      </c>
      <c r="H27" s="1545" t="s">
        <v>19</v>
      </c>
      <c r="I27" s="1545" t="s">
        <v>101</v>
      </c>
      <c r="J27" s="1546" t="s">
        <v>139</v>
      </c>
      <c r="K27" s="1860" t="s">
        <v>125</v>
      </c>
      <c r="L27" s="1545"/>
      <c r="M27" s="1852" t="s">
        <v>22</v>
      </c>
    </row>
    <row r="28" spans="1:13" s="1548" customFormat="1" ht="108.75" customHeight="1">
      <c r="A28" s="1542">
        <v>23</v>
      </c>
      <c r="B28" s="1493" t="s">
        <v>140</v>
      </c>
      <c r="C28" s="1826">
        <v>16000</v>
      </c>
      <c r="D28" s="1495" t="s">
        <v>141</v>
      </c>
      <c r="E28" s="1493" t="s">
        <v>43</v>
      </c>
      <c r="F28" s="1495" t="s">
        <v>142</v>
      </c>
      <c r="G28" s="1495" t="s">
        <v>18</v>
      </c>
      <c r="H28" s="1493" t="s">
        <v>19</v>
      </c>
      <c r="I28" s="1495" t="s">
        <v>45</v>
      </c>
      <c r="J28" s="1496" t="s">
        <v>143</v>
      </c>
      <c r="K28" s="1843" t="s">
        <v>144</v>
      </c>
      <c r="L28" s="1493"/>
      <c r="M28" s="1790" t="s">
        <v>22</v>
      </c>
    </row>
    <row r="29" spans="1:13" s="1548" customFormat="1" ht="162" customHeight="1">
      <c r="A29" s="1542">
        <v>24</v>
      </c>
      <c r="B29" s="1493" t="s">
        <v>145</v>
      </c>
      <c r="C29" s="1826">
        <v>13000</v>
      </c>
      <c r="D29" s="1624" t="s">
        <v>94</v>
      </c>
      <c r="E29" s="1493" t="s">
        <v>89</v>
      </c>
      <c r="F29" s="1495" t="s">
        <v>146</v>
      </c>
      <c r="G29" s="1495" t="s">
        <v>147</v>
      </c>
      <c r="H29" s="1769" t="s">
        <v>19</v>
      </c>
      <c r="I29" s="1493" t="s">
        <v>45</v>
      </c>
      <c r="J29" s="1886" t="s">
        <v>148</v>
      </c>
      <c r="K29" s="1862" t="s">
        <v>149</v>
      </c>
      <c r="L29" s="1493"/>
      <c r="M29" s="1790" t="s">
        <v>22</v>
      </c>
    </row>
    <row r="30" spans="1:13" s="1548" customFormat="1" ht="123.75" customHeight="1">
      <c r="A30" s="1542">
        <v>25</v>
      </c>
      <c r="B30" s="1493" t="s">
        <v>150</v>
      </c>
      <c r="C30" s="1826">
        <v>8300</v>
      </c>
      <c r="D30" s="1495" t="s">
        <v>141</v>
      </c>
      <c r="E30" s="1545" t="s">
        <v>151</v>
      </c>
      <c r="F30" s="1495" t="s">
        <v>152</v>
      </c>
      <c r="G30" s="1495" t="s">
        <v>147</v>
      </c>
      <c r="H30" s="1493" t="s">
        <v>153</v>
      </c>
      <c r="I30" s="1493" t="s">
        <v>154</v>
      </c>
      <c r="J30" s="1496" t="s">
        <v>155</v>
      </c>
      <c r="K30" s="1843" t="s">
        <v>156</v>
      </c>
      <c r="L30" s="1493"/>
      <c r="M30" s="1790" t="s">
        <v>22</v>
      </c>
    </row>
    <row r="31" spans="1:13" s="1548" customFormat="1" ht="96.75" customHeight="1">
      <c r="A31" s="1542">
        <v>26</v>
      </c>
      <c r="B31" s="1493" t="s">
        <v>157</v>
      </c>
      <c r="C31" s="1826">
        <v>3300</v>
      </c>
      <c r="D31" s="1495" t="s">
        <v>127</v>
      </c>
      <c r="E31" s="1493" t="s">
        <v>61</v>
      </c>
      <c r="F31" s="1495" t="s">
        <v>158</v>
      </c>
      <c r="G31" s="1495" t="s">
        <v>147</v>
      </c>
      <c r="H31" s="1493" t="s">
        <v>19</v>
      </c>
      <c r="I31" s="1495" t="s">
        <v>159</v>
      </c>
      <c r="J31" s="1600" t="s">
        <v>160</v>
      </c>
      <c r="K31" s="1547" t="s">
        <v>125</v>
      </c>
      <c r="L31" s="1493"/>
      <c r="M31" s="1790" t="s">
        <v>22</v>
      </c>
    </row>
    <row r="32" spans="1:13" s="1548" customFormat="1" ht="75.75" customHeight="1">
      <c r="A32" s="1542">
        <v>27</v>
      </c>
      <c r="B32" s="1545" t="s">
        <v>161</v>
      </c>
      <c r="C32" s="1826">
        <v>4000</v>
      </c>
      <c r="D32" s="1495" t="s">
        <v>162</v>
      </c>
      <c r="E32" s="1545" t="s">
        <v>77</v>
      </c>
      <c r="F32" s="1495" t="s">
        <v>163</v>
      </c>
      <c r="G32" s="1748" t="s">
        <v>18</v>
      </c>
      <c r="H32" s="1545" t="s">
        <v>19</v>
      </c>
      <c r="I32" s="1493" t="s">
        <v>164</v>
      </c>
      <c r="J32" s="1600" t="s">
        <v>165</v>
      </c>
      <c r="K32" s="1600" t="s">
        <v>166</v>
      </c>
      <c r="L32" s="1493"/>
      <c r="M32" s="1790"/>
    </row>
    <row r="33" spans="1:14" s="1548" customFormat="1" ht="83.25" customHeight="1">
      <c r="A33" s="1542">
        <v>28</v>
      </c>
      <c r="B33" s="1493" t="s">
        <v>93</v>
      </c>
      <c r="C33" s="1826">
        <v>3000</v>
      </c>
      <c r="D33" s="1495" t="s">
        <v>167</v>
      </c>
      <c r="E33" s="1493" t="s">
        <v>61</v>
      </c>
      <c r="F33" s="1495" t="s">
        <v>168</v>
      </c>
      <c r="G33" s="1748" t="s">
        <v>18</v>
      </c>
      <c r="H33" s="1493" t="s">
        <v>19</v>
      </c>
      <c r="I33" s="1493" t="s">
        <v>101</v>
      </c>
      <c r="J33" s="1600" t="s">
        <v>169</v>
      </c>
      <c r="K33" s="1547"/>
      <c r="L33" s="1493"/>
      <c r="M33" s="1790" t="s">
        <v>22</v>
      </c>
    </row>
    <row r="34" spans="1:14" s="1548" customFormat="1" ht="111" customHeight="1">
      <c r="A34" s="1542">
        <v>29</v>
      </c>
      <c r="B34" s="1493" t="s">
        <v>42</v>
      </c>
      <c r="C34" s="1826">
        <v>6000</v>
      </c>
      <c r="D34" s="1495" t="s">
        <v>170</v>
      </c>
      <c r="E34" s="1493" t="s">
        <v>43</v>
      </c>
      <c r="F34" s="1495" t="s">
        <v>171</v>
      </c>
      <c r="G34" s="1748" t="s">
        <v>18</v>
      </c>
      <c r="H34" s="1493" t="s">
        <v>19</v>
      </c>
      <c r="I34" s="1493" t="s">
        <v>172</v>
      </c>
      <c r="J34" s="1600" t="s">
        <v>173</v>
      </c>
      <c r="K34" s="1547" t="s">
        <v>174</v>
      </c>
      <c r="L34" s="1493"/>
      <c r="M34" s="1790" t="s">
        <v>22</v>
      </c>
    </row>
    <row r="35" spans="1:14" s="1548" customFormat="1" ht="77.25" customHeight="1">
      <c r="A35" s="1553">
        <v>30</v>
      </c>
      <c r="B35" s="1545" t="s">
        <v>175</v>
      </c>
      <c r="C35" s="1827">
        <v>10000</v>
      </c>
      <c r="D35" s="1543" t="s">
        <v>176</v>
      </c>
      <c r="E35" s="1545" t="s">
        <v>25</v>
      </c>
      <c r="F35" s="1543" t="s">
        <v>177</v>
      </c>
      <c r="G35" s="1748" t="s">
        <v>18</v>
      </c>
      <c r="H35" s="1545" t="s">
        <v>19</v>
      </c>
      <c r="I35" s="1545" t="s">
        <v>178</v>
      </c>
      <c r="J35" s="1605" t="s">
        <v>179</v>
      </c>
      <c r="K35" s="1828"/>
      <c r="L35" s="1545"/>
      <c r="M35" s="1852"/>
    </row>
    <row r="36" spans="1:14" s="1548" customFormat="1" ht="63.75" customHeight="1">
      <c r="A36" s="1542">
        <v>31</v>
      </c>
      <c r="B36" s="1493" t="s">
        <v>47</v>
      </c>
      <c r="C36" s="1826">
        <v>4250</v>
      </c>
      <c r="D36" s="1495" t="s">
        <v>180</v>
      </c>
      <c r="E36" s="1493" t="s">
        <v>43</v>
      </c>
      <c r="F36" s="1495" t="s">
        <v>181</v>
      </c>
      <c r="G36" s="1748" t="s">
        <v>18</v>
      </c>
      <c r="H36" s="1493" t="s">
        <v>19</v>
      </c>
      <c r="I36" s="1493" t="s">
        <v>74</v>
      </c>
      <c r="J36" s="1600" t="s">
        <v>182</v>
      </c>
      <c r="K36" s="1547"/>
      <c r="L36" s="1493"/>
      <c r="M36" s="1790" t="s">
        <v>22</v>
      </c>
    </row>
    <row r="37" spans="1:14" s="1548" customFormat="1" ht="43.5" customHeight="1">
      <c r="A37" s="1457">
        <v>32</v>
      </c>
      <c r="B37" s="1458" t="s">
        <v>183</v>
      </c>
      <c r="C37" s="1865">
        <v>5000</v>
      </c>
      <c r="D37" s="1460" t="s">
        <v>184</v>
      </c>
      <c r="E37" s="1458" t="s">
        <v>77</v>
      </c>
      <c r="F37" s="1460" t="s">
        <v>185</v>
      </c>
      <c r="G37" s="1748" t="s">
        <v>18</v>
      </c>
      <c r="H37" s="1458" t="s">
        <v>19</v>
      </c>
      <c r="I37" s="1458" t="s">
        <v>134</v>
      </c>
      <c r="J37" s="1466" t="s">
        <v>186</v>
      </c>
      <c r="K37" s="1466"/>
      <c r="L37" s="1458"/>
      <c r="M37" s="1473"/>
      <c r="N37" s="1807"/>
    </row>
    <row r="38" spans="1:14" s="1548" customFormat="1" ht="81.75" customHeight="1">
      <c r="A38" s="1457">
        <v>33</v>
      </c>
      <c r="B38" s="1458" t="s">
        <v>187</v>
      </c>
      <c r="C38" s="1865">
        <f>35000+8500</f>
        <v>43500</v>
      </c>
      <c r="D38" s="1460" t="s">
        <v>188</v>
      </c>
      <c r="E38" s="1458" t="s">
        <v>25</v>
      </c>
      <c r="F38" s="1460" t="s">
        <v>189</v>
      </c>
      <c r="G38" s="1748" t="s">
        <v>18</v>
      </c>
      <c r="H38" s="1458" t="s">
        <v>19</v>
      </c>
      <c r="I38" s="1458" t="s">
        <v>190</v>
      </c>
      <c r="J38" s="1472" t="s">
        <v>191</v>
      </c>
      <c r="K38" s="1466" t="s">
        <v>192</v>
      </c>
      <c r="L38" s="1458"/>
      <c r="M38" s="1473"/>
      <c r="N38" s="1807"/>
    </row>
    <row r="39" spans="1:14" s="1548" customFormat="1" ht="257.25" customHeight="1">
      <c r="A39" s="1542">
        <v>34</v>
      </c>
      <c r="B39" s="1493" t="s">
        <v>193</v>
      </c>
      <c r="C39" s="1826">
        <v>12000</v>
      </c>
      <c r="D39" s="1495" t="s">
        <v>194</v>
      </c>
      <c r="E39" s="1493" t="s">
        <v>43</v>
      </c>
      <c r="F39" s="1495" t="s">
        <v>177</v>
      </c>
      <c r="G39" s="1495" t="s">
        <v>195</v>
      </c>
      <c r="H39" s="1493" t="s">
        <v>19</v>
      </c>
      <c r="I39" s="1493" t="s">
        <v>50</v>
      </c>
      <c r="J39" s="1496" t="s">
        <v>196</v>
      </c>
      <c r="K39" s="1600"/>
      <c r="L39" s="1493"/>
      <c r="M39" s="1790" t="s">
        <v>22</v>
      </c>
    </row>
    <row r="40" spans="1:14" s="1548" customFormat="1" ht="62.25" customHeight="1">
      <c r="A40" s="1542">
        <v>35</v>
      </c>
      <c r="B40" s="1493" t="s">
        <v>52</v>
      </c>
      <c r="C40" s="1826">
        <v>4700</v>
      </c>
      <c r="D40" s="1495" t="s">
        <v>197</v>
      </c>
      <c r="E40" s="1493" t="s">
        <v>61</v>
      </c>
      <c r="F40" s="1495" t="s">
        <v>198</v>
      </c>
      <c r="G40" s="1495" t="s">
        <v>195</v>
      </c>
      <c r="H40" s="1493" t="s">
        <v>19</v>
      </c>
      <c r="I40" s="1493" t="s">
        <v>199</v>
      </c>
      <c r="J40" s="1496" t="s">
        <v>200</v>
      </c>
      <c r="K40" s="1600"/>
      <c r="L40" s="1493"/>
      <c r="M40" s="1790" t="s">
        <v>22</v>
      </c>
    </row>
    <row r="41" spans="1:14" s="1548" customFormat="1" ht="72" customHeight="1">
      <c r="A41" s="1542">
        <v>36</v>
      </c>
      <c r="B41" s="1493" t="s">
        <v>82</v>
      </c>
      <c r="C41" s="1826">
        <v>4300</v>
      </c>
      <c r="D41" s="1495" t="s">
        <v>184</v>
      </c>
      <c r="E41" s="1493" t="s">
        <v>84</v>
      </c>
      <c r="F41" s="1495" t="s">
        <v>201</v>
      </c>
      <c r="G41" s="1495" t="s">
        <v>202</v>
      </c>
      <c r="H41" s="1493" t="s">
        <v>19</v>
      </c>
      <c r="I41" s="1495" t="s">
        <v>203</v>
      </c>
      <c r="J41" s="1600" t="s">
        <v>204</v>
      </c>
      <c r="K41" s="1547" t="s">
        <v>205</v>
      </c>
      <c r="L41" s="1493"/>
      <c r="M41" s="1790" t="s">
        <v>22</v>
      </c>
    </row>
    <row r="42" spans="1:14" s="1548" customFormat="1" ht="58.5" customHeight="1">
      <c r="A42" s="1542">
        <v>37</v>
      </c>
      <c r="B42" s="1493" t="s">
        <v>206</v>
      </c>
      <c r="C42" s="1826">
        <v>4300</v>
      </c>
      <c r="D42" s="1495" t="s">
        <v>207</v>
      </c>
      <c r="E42" s="1493" t="s">
        <v>43</v>
      </c>
      <c r="F42" s="1495" t="s">
        <v>208</v>
      </c>
      <c r="G42" s="1495" t="s">
        <v>202</v>
      </c>
      <c r="H42" s="1493" t="s">
        <v>19</v>
      </c>
      <c r="I42" s="1493" t="s">
        <v>74</v>
      </c>
      <c r="J42" s="1547" t="s">
        <v>209</v>
      </c>
      <c r="K42" s="1547" t="s">
        <v>210</v>
      </c>
      <c r="L42" s="1493"/>
      <c r="M42" s="1790" t="s">
        <v>22</v>
      </c>
    </row>
    <row r="43" spans="1:14" s="1548" customFormat="1" ht="87" customHeight="1">
      <c r="A43" s="1542">
        <v>38</v>
      </c>
      <c r="B43" s="1493" t="s">
        <v>211</v>
      </c>
      <c r="C43" s="1826">
        <v>4000</v>
      </c>
      <c r="D43" s="1495" t="s">
        <v>207</v>
      </c>
      <c r="E43" s="1493" t="s">
        <v>61</v>
      </c>
      <c r="F43" s="1495" t="s">
        <v>212</v>
      </c>
      <c r="G43" s="1495" t="s">
        <v>202</v>
      </c>
      <c r="H43" s="1545" t="s">
        <v>19</v>
      </c>
      <c r="I43" s="1543" t="s">
        <v>213</v>
      </c>
      <c r="J43" s="1605" t="s">
        <v>214</v>
      </c>
      <c r="K43" s="1600" t="s">
        <v>215</v>
      </c>
      <c r="L43" s="1493"/>
      <c r="M43" s="1790" t="s">
        <v>22</v>
      </c>
    </row>
    <row r="44" spans="1:14" s="1823" customFormat="1" ht="45" customHeight="1">
      <c r="A44" s="1797">
        <v>39</v>
      </c>
      <c r="B44" s="1801" t="s">
        <v>82</v>
      </c>
      <c r="C44" s="1830">
        <v>4300</v>
      </c>
      <c r="D44" s="1802" t="s">
        <v>167</v>
      </c>
      <c r="E44" s="1801" t="s">
        <v>84</v>
      </c>
      <c r="F44" s="1863" t="s">
        <v>216</v>
      </c>
      <c r="G44" s="1802"/>
      <c r="H44" s="1801"/>
      <c r="I44" s="1801"/>
      <c r="J44" s="1803"/>
      <c r="K44" s="1864"/>
      <c r="L44" s="1801"/>
      <c r="M44" s="1798"/>
    </row>
    <row r="45" spans="1:14" s="1823" customFormat="1" ht="52.5" customHeight="1">
      <c r="A45" s="1797">
        <v>40</v>
      </c>
      <c r="B45" s="1801" t="s">
        <v>217</v>
      </c>
      <c r="C45" s="1830">
        <v>4250</v>
      </c>
      <c r="D45" s="1802" t="s">
        <v>218</v>
      </c>
      <c r="E45" s="1801" t="s">
        <v>43</v>
      </c>
      <c r="F45" s="1863" t="s">
        <v>216</v>
      </c>
      <c r="G45" s="1802"/>
      <c r="H45" s="1801"/>
      <c r="I45" s="1801"/>
      <c r="J45" s="1805"/>
      <c r="K45" s="1805"/>
      <c r="L45" s="1801"/>
      <c r="M45" s="1798"/>
    </row>
    <row r="46" spans="1:14" s="1823" customFormat="1" ht="52.5" customHeight="1">
      <c r="A46" s="1797">
        <v>41</v>
      </c>
      <c r="B46" s="1801" t="s">
        <v>219</v>
      </c>
      <c r="C46" s="1830">
        <v>3800</v>
      </c>
      <c r="D46" s="1802" t="s">
        <v>184</v>
      </c>
      <c r="E46" s="1801" t="s">
        <v>61</v>
      </c>
      <c r="F46" s="1863" t="s">
        <v>216</v>
      </c>
      <c r="G46" s="1802"/>
      <c r="H46" s="1801"/>
      <c r="I46" s="1802"/>
      <c r="J46" s="1803"/>
      <c r="K46" s="1805"/>
      <c r="L46" s="1801"/>
      <c r="M46" s="1798" t="s">
        <v>22</v>
      </c>
    </row>
    <row r="47" spans="1:14" s="1777" customFormat="1" ht="58.5" customHeight="1">
      <c r="A47" s="738">
        <v>42</v>
      </c>
      <c r="B47" s="102"/>
      <c r="C47" s="1207"/>
      <c r="D47" s="109"/>
      <c r="E47" s="102"/>
      <c r="F47" s="109"/>
      <c r="G47" s="109"/>
      <c r="H47" s="102"/>
      <c r="I47" s="102"/>
      <c r="J47" s="143"/>
      <c r="K47" s="143"/>
      <c r="L47" s="102"/>
      <c r="M47" s="1853"/>
    </row>
    <row r="48" spans="1:14" s="1777" customFormat="1" ht="58.5" customHeight="1">
      <c r="A48" s="738">
        <v>43</v>
      </c>
      <c r="B48" s="102"/>
      <c r="C48" s="1207"/>
      <c r="D48" s="109"/>
      <c r="E48" s="102"/>
      <c r="F48" s="109"/>
      <c r="G48" s="109"/>
      <c r="H48" s="102"/>
      <c r="I48" s="102"/>
      <c r="J48" s="143"/>
      <c r="K48" s="143"/>
      <c r="L48" s="102"/>
      <c r="M48" s="1853"/>
    </row>
    <row r="49" spans="1:1" ht="58.5" customHeight="1">
      <c r="A49" s="359">
        <v>44</v>
      </c>
    </row>
    <row r="50" spans="1:1" ht="58.5" customHeight="1">
      <c r="A50" s="359">
        <v>45</v>
      </c>
    </row>
  </sheetData>
  <autoFilter ref="A5:P50" xr:uid="{00000000-0009-0000-0000-000001000000}"/>
  <mergeCells count="4">
    <mergeCell ref="C1:K1"/>
    <mergeCell ref="A2:M2"/>
    <mergeCell ref="B3:M3"/>
    <mergeCell ref="A4:B4"/>
  </mergeCells>
  <conditionalFormatting sqref="A1:A4">
    <cfRule type="duplicateValues" dxfId="889" priority="5"/>
  </conditionalFormatting>
  <conditionalFormatting sqref="A5">
    <cfRule type="duplicateValues" dxfId="888" priority="4"/>
  </conditionalFormatting>
  <conditionalFormatting sqref="B5">
    <cfRule type="duplicateValues" dxfId="887" priority="1"/>
    <cfRule type="duplicateValues" dxfId="886" priority="2"/>
    <cfRule type="duplicateValues" dxfId="885" priority="3"/>
  </conditionalFormatting>
  <pageMargins left="0.7" right="0.7" top="0.75" bottom="0.75" header="0.3" footer="0.3"/>
  <pageSetup paperSize="9" scale="40"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057CE0-8FBF-4F3E-9649-8246988DAA3F}">
  <sheetPr>
    <tabColor rgb="FFFF0000"/>
    <pageSetUpPr fitToPage="1"/>
  </sheetPr>
  <dimension ref="A1:O40"/>
  <sheetViews>
    <sheetView topLeftCell="A2" zoomScale="70" zoomScaleNormal="70" workbookViewId="0">
      <pane xSplit="3" ySplit="3" topLeftCell="D12" activePane="bottomRight" state="frozen"/>
      <selection pane="topRight"/>
      <selection pane="bottomLeft"/>
      <selection pane="bottomRight"/>
    </sheetView>
  </sheetViews>
  <sheetFormatPr defaultColWidth="25.5703125" defaultRowHeight="18.75"/>
  <cols>
    <col min="1" max="1" width="6.5703125" style="359" customWidth="1"/>
    <col min="2" max="2" width="27" style="1" customWidth="1"/>
    <col min="3" max="3" width="15.85546875" style="1138" customWidth="1"/>
    <col min="4" max="4" width="38.85546875" style="271" customWidth="1"/>
    <col min="5" max="5" width="19.42578125" style="1" customWidth="1"/>
    <col min="6" max="6" width="26" style="271" customWidth="1"/>
    <col min="7" max="7" width="20.140625" style="271" customWidth="1"/>
    <col min="8" max="8" width="21.85546875" style="1" customWidth="1"/>
    <col min="9" max="9" width="31.28515625" style="1" customWidth="1"/>
    <col min="10" max="10" width="111.42578125" style="9" customWidth="1"/>
    <col min="11" max="11" width="47.42578125" style="9" customWidth="1"/>
    <col min="12" max="13" width="40" style="1" customWidth="1"/>
    <col min="14" max="14" width="24" style="9" customWidth="1"/>
    <col min="15" max="15" width="12.42578125" style="3" hidden="1" customWidth="1"/>
    <col min="16" max="16" width="34.5703125" style="3" customWidth="1"/>
    <col min="17" max="16384" width="25.5703125" style="3"/>
  </cols>
  <sheetData>
    <row r="1" spans="1:15" ht="17.25" customHeight="1">
      <c r="B1" s="10"/>
      <c r="C1" s="3624"/>
      <c r="D1" s="3624"/>
      <c r="E1" s="3624"/>
      <c r="F1" s="3624"/>
      <c r="G1" s="3624"/>
      <c r="H1" s="3624"/>
      <c r="I1" s="3624"/>
      <c r="J1" s="3624"/>
      <c r="K1" s="3624"/>
      <c r="N1" s="1487"/>
    </row>
    <row r="2" spans="1:15" ht="34.5" customHeight="1">
      <c r="A2" s="3630" t="s">
        <v>220</v>
      </c>
      <c r="B2" s="3630"/>
      <c r="C2" s="3630"/>
      <c r="D2" s="3630"/>
      <c r="E2" s="3630"/>
      <c r="F2" s="3630"/>
      <c r="G2" s="3630"/>
      <c r="H2" s="3630"/>
      <c r="I2" s="3630"/>
      <c r="J2" s="3630"/>
      <c r="K2" s="3630"/>
      <c r="L2" s="3630"/>
      <c r="M2" s="3630"/>
      <c r="N2" s="3630"/>
      <c r="O2" s="287"/>
    </row>
    <row r="3" spans="1:15" ht="29.25" customHeight="1">
      <c r="A3" s="3629"/>
      <c r="B3" s="3629"/>
      <c r="D3" s="1503"/>
      <c r="E3" s="1504"/>
      <c r="F3" s="1503"/>
      <c r="G3" s="1503"/>
      <c r="H3" s="1503"/>
      <c r="I3" s="1503"/>
      <c r="J3" s="1504">
        <f ca="1">TODAY()</f>
        <v>45960</v>
      </c>
      <c r="L3" s="1504"/>
      <c r="M3" s="1504"/>
      <c r="N3" s="1504"/>
      <c r="O3" s="287"/>
    </row>
    <row r="4" spans="1:15" s="7" customFormat="1" ht="56.25" customHeight="1">
      <c r="A4" s="1505" t="s">
        <v>1</v>
      </c>
      <c r="B4" s="1506" t="s">
        <v>2</v>
      </c>
      <c r="C4" s="1507" t="s">
        <v>3</v>
      </c>
      <c r="D4" s="1506" t="s">
        <v>4</v>
      </c>
      <c r="E4" s="1506" t="s">
        <v>5</v>
      </c>
      <c r="F4" s="1506" t="s">
        <v>6</v>
      </c>
      <c r="G4" s="1506" t="s">
        <v>221</v>
      </c>
      <c r="H4" s="1506" t="s">
        <v>8</v>
      </c>
      <c r="I4" s="1506" t="s">
        <v>9</v>
      </c>
      <c r="J4" s="1508" t="s">
        <v>222</v>
      </c>
      <c r="K4" s="1506" t="s">
        <v>11</v>
      </c>
      <c r="L4" s="1506" t="s">
        <v>5</v>
      </c>
      <c r="M4" s="1506" t="s">
        <v>12</v>
      </c>
      <c r="N4" s="1506" t="s">
        <v>13</v>
      </c>
      <c r="O4" s="1404" t="e">
        <f>SUM(#REF!)</f>
        <v>#REF!</v>
      </c>
    </row>
    <row r="5" spans="1:15" s="929" customFormat="1" ht="59.25" customHeight="1">
      <c r="A5" s="1488" t="e" cm="1">
        <f t="array" aca="1" ref="A5" ca="1">_xlfn.SEQUENCE(30,1,1,)</f>
        <v>#NAME?</v>
      </c>
      <c r="B5" s="1303" t="s">
        <v>223</v>
      </c>
      <c r="C5" s="1489">
        <v>3650</v>
      </c>
      <c r="D5" s="1490" t="s">
        <v>224</v>
      </c>
      <c r="E5" s="1303" t="s">
        <v>225</v>
      </c>
      <c r="F5" s="1509" t="s">
        <v>226</v>
      </c>
      <c r="G5" s="1510"/>
      <c r="H5" s="1303" t="s">
        <v>19</v>
      </c>
      <c r="I5" s="1490" t="s">
        <v>227</v>
      </c>
      <c r="J5" s="1440" t="s">
        <v>228</v>
      </c>
      <c r="K5" s="1491"/>
      <c r="L5" s="1303"/>
      <c r="M5" s="1303"/>
      <c r="N5" s="1492"/>
    </row>
    <row r="6" spans="1:15" s="841" customFormat="1" ht="66" customHeight="1">
      <c r="A6" s="1299"/>
      <c r="B6" s="1300" t="s">
        <v>52</v>
      </c>
      <c r="C6" s="1301">
        <v>4620</v>
      </c>
      <c r="D6" s="1302" t="s">
        <v>229</v>
      </c>
      <c r="E6" s="1300" t="s">
        <v>225</v>
      </c>
      <c r="F6" s="1511" t="s">
        <v>226</v>
      </c>
      <c r="G6" s="1512"/>
      <c r="H6" s="1300" t="s">
        <v>19</v>
      </c>
      <c r="I6" s="1300" t="s">
        <v>74</v>
      </c>
      <c r="J6" s="1440" t="s">
        <v>230</v>
      </c>
      <c r="K6" s="1475"/>
      <c r="L6" s="1300"/>
      <c r="M6" s="1300"/>
      <c r="N6" s="1475"/>
    </row>
    <row r="7" spans="1:15" s="1467" customFormat="1" ht="144.75" customHeight="1">
      <c r="A7" s="1457"/>
      <c r="B7" s="1458" t="s">
        <v>231</v>
      </c>
      <c r="C7" s="1459">
        <v>8400</v>
      </c>
      <c r="D7" s="1460" t="s">
        <v>232</v>
      </c>
      <c r="E7" s="1458" t="s">
        <v>89</v>
      </c>
      <c r="F7" s="1513" t="s">
        <v>226</v>
      </c>
      <c r="G7" s="1514" t="s">
        <v>233</v>
      </c>
      <c r="H7" s="1458" t="s">
        <v>19</v>
      </c>
      <c r="I7" s="1458" t="s">
        <v>234</v>
      </c>
      <c r="J7" s="1465" t="s">
        <v>235</v>
      </c>
      <c r="K7" s="1466"/>
      <c r="L7" s="1458"/>
      <c r="M7" s="1458"/>
      <c r="N7" s="1471" t="s">
        <v>236</v>
      </c>
    </row>
    <row r="8" spans="1:15" s="841" customFormat="1" ht="110.25" customHeight="1">
      <c r="A8" s="1299"/>
      <c r="B8" s="1300" t="s">
        <v>237</v>
      </c>
      <c r="C8" s="1301">
        <v>16300</v>
      </c>
      <c r="D8" s="1302" t="s">
        <v>238</v>
      </c>
      <c r="E8" s="1300" t="s">
        <v>43</v>
      </c>
      <c r="F8" s="1511" t="s">
        <v>226</v>
      </c>
      <c r="G8" s="1512" t="s">
        <v>239</v>
      </c>
      <c r="H8" s="1300" t="s">
        <v>19</v>
      </c>
      <c r="I8" s="1300" t="s">
        <v>240</v>
      </c>
      <c r="J8" s="1440" t="s">
        <v>241</v>
      </c>
      <c r="K8" s="1304" t="s">
        <v>242</v>
      </c>
      <c r="L8" s="1300"/>
      <c r="M8" s="1300">
        <f>3700+3700+7000+2000*0.93</f>
        <v>16260</v>
      </c>
      <c r="N8" s="1475"/>
    </row>
    <row r="9" spans="1:15" s="841" customFormat="1" ht="96" customHeight="1">
      <c r="A9" s="1299"/>
      <c r="B9" s="1300" t="s">
        <v>243</v>
      </c>
      <c r="C9" s="1301">
        <v>6000</v>
      </c>
      <c r="D9" s="1302" t="s">
        <v>244</v>
      </c>
      <c r="E9" s="1300" t="s">
        <v>43</v>
      </c>
      <c r="F9" s="1511" t="s">
        <v>226</v>
      </c>
      <c r="G9" s="1512" t="s">
        <v>245</v>
      </c>
      <c r="H9" s="1300" t="s">
        <v>19</v>
      </c>
      <c r="I9" s="1302" t="s">
        <v>246</v>
      </c>
      <c r="J9" s="1440" t="s">
        <v>247</v>
      </c>
      <c r="K9" s="1499" t="s">
        <v>248</v>
      </c>
      <c r="L9" s="1300"/>
      <c r="M9" s="1300"/>
      <c r="N9" s="1475">
        <f>1000+2000+1500+500</f>
        <v>5000</v>
      </c>
    </row>
    <row r="10" spans="1:15" s="841" customFormat="1" ht="69.75" customHeight="1">
      <c r="A10" s="1299"/>
      <c r="B10" s="1300" t="s">
        <v>249</v>
      </c>
      <c r="C10" s="1301">
        <v>2950</v>
      </c>
      <c r="D10" s="1302" t="s">
        <v>250</v>
      </c>
      <c r="E10" s="1300" t="s">
        <v>84</v>
      </c>
      <c r="F10" s="1511" t="s">
        <v>251</v>
      </c>
      <c r="G10" s="1512" t="s">
        <v>252</v>
      </c>
      <c r="H10" s="1300" t="s">
        <v>19</v>
      </c>
      <c r="I10" s="1302" t="s">
        <v>253</v>
      </c>
      <c r="J10" s="1304" t="s">
        <v>254</v>
      </c>
      <c r="K10" s="1304"/>
      <c r="L10" s="1300"/>
      <c r="M10" s="1300"/>
      <c r="N10" s="1475"/>
    </row>
    <row r="11" spans="1:15" s="841" customFormat="1" ht="180" customHeight="1">
      <c r="A11" s="1299"/>
      <c r="B11" s="1300" t="s">
        <v>255</v>
      </c>
      <c r="C11" s="1301">
        <v>12000</v>
      </c>
      <c r="D11" s="1490" t="s">
        <v>256</v>
      </c>
      <c r="E11" s="1300" t="s">
        <v>43</v>
      </c>
      <c r="F11" s="1511" t="s">
        <v>226</v>
      </c>
      <c r="G11" s="1512" t="s">
        <v>257</v>
      </c>
      <c r="H11" s="1300" t="s">
        <v>19</v>
      </c>
      <c r="I11" s="1300" t="s">
        <v>45</v>
      </c>
      <c r="J11" s="1304" t="s">
        <v>258</v>
      </c>
      <c r="K11" s="1304" t="s">
        <v>259</v>
      </c>
      <c r="L11" s="1300"/>
      <c r="M11" s="1305">
        <f>3000+2000+1000+660+3000+560+1500</f>
        <v>11720</v>
      </c>
      <c r="N11" s="1475"/>
    </row>
    <row r="12" spans="1:15" s="841" customFormat="1" ht="171" customHeight="1">
      <c r="A12" s="1299"/>
      <c r="B12" s="1300" t="s">
        <v>260</v>
      </c>
      <c r="C12" s="1301">
        <v>12300</v>
      </c>
      <c r="D12" s="1302" t="s">
        <v>261</v>
      </c>
      <c r="E12" s="1300" t="s">
        <v>16</v>
      </c>
      <c r="F12" s="1511" t="s">
        <v>226</v>
      </c>
      <c r="G12" s="1512"/>
      <c r="H12" s="1300" t="s">
        <v>19</v>
      </c>
      <c r="I12" s="1302" t="s">
        <v>240</v>
      </c>
      <c r="J12" s="1304" t="s">
        <v>262</v>
      </c>
      <c r="K12" s="1304"/>
      <c r="L12" s="1300"/>
      <c r="M12" s="1300"/>
      <c r="N12" s="1475"/>
    </row>
    <row r="13" spans="1:15" s="841" customFormat="1" ht="170.25" customHeight="1">
      <c r="A13" s="1299"/>
      <c r="B13" s="1300" t="s">
        <v>263</v>
      </c>
      <c r="C13" s="1301">
        <v>3000</v>
      </c>
      <c r="D13" s="1302" t="s">
        <v>264</v>
      </c>
      <c r="E13" s="1300" t="s">
        <v>265</v>
      </c>
      <c r="F13" s="1511" t="s">
        <v>226</v>
      </c>
      <c r="G13" s="1512" t="s">
        <v>266</v>
      </c>
      <c r="H13" s="1300" t="s">
        <v>19</v>
      </c>
      <c r="I13" s="1300" t="s">
        <v>267</v>
      </c>
      <c r="J13" s="1304" t="s">
        <v>268</v>
      </c>
      <c r="K13" s="1441" t="s">
        <v>269</v>
      </c>
      <c r="L13" s="1300"/>
      <c r="M13" s="1300"/>
      <c r="N13" s="1475"/>
    </row>
    <row r="14" spans="1:15" s="1414" customFormat="1" ht="89.25" customHeight="1">
      <c r="A14" s="1405"/>
      <c r="B14" s="1406" t="s">
        <v>270</v>
      </c>
      <c r="C14" s="1407">
        <v>3940</v>
      </c>
      <c r="D14" s="1408" t="s">
        <v>271</v>
      </c>
      <c r="E14" s="1406" t="s">
        <v>84</v>
      </c>
      <c r="F14" s="1515" t="s">
        <v>226</v>
      </c>
      <c r="G14" s="1478"/>
      <c r="H14" s="1406" t="s">
        <v>19</v>
      </c>
      <c r="I14" s="1408" t="s">
        <v>272</v>
      </c>
      <c r="J14" s="1500" t="s">
        <v>273</v>
      </c>
      <c r="K14" s="1415">
        <f>3000+863</f>
        <v>3863</v>
      </c>
      <c r="L14" s="1406"/>
      <c r="M14" s="1406"/>
      <c r="N14" s="1476"/>
    </row>
    <row r="15" spans="1:15" s="1414" customFormat="1" ht="51.75" customHeight="1">
      <c r="A15" s="1405"/>
      <c r="B15" s="1406" t="s">
        <v>274</v>
      </c>
      <c r="C15" s="1407">
        <v>4250</v>
      </c>
      <c r="D15" s="1408" t="s">
        <v>275</v>
      </c>
      <c r="E15" s="1406" t="s">
        <v>84</v>
      </c>
      <c r="F15" s="1515" t="s">
        <v>226</v>
      </c>
      <c r="G15" s="1478"/>
      <c r="H15" s="1406" t="s">
        <v>19</v>
      </c>
      <c r="I15" s="1406" t="s">
        <v>240</v>
      </c>
      <c r="J15" s="1500" t="s">
        <v>276</v>
      </c>
      <c r="K15" s="1415"/>
      <c r="L15" s="1406"/>
      <c r="M15" s="1406"/>
      <c r="N15" s="1476"/>
    </row>
    <row r="16" spans="1:15" s="1414" customFormat="1" ht="78.75" customHeight="1">
      <c r="A16" s="1405"/>
      <c r="B16" s="1406" t="s">
        <v>249</v>
      </c>
      <c r="C16" s="1407">
        <v>2950</v>
      </c>
      <c r="D16" s="1408" t="s">
        <v>277</v>
      </c>
      <c r="E16" s="1406" t="s">
        <v>84</v>
      </c>
      <c r="F16" s="1515" t="s">
        <v>226</v>
      </c>
      <c r="G16" s="1516"/>
      <c r="H16" s="1406" t="s">
        <v>19</v>
      </c>
      <c r="I16" s="1406" t="s">
        <v>74</v>
      </c>
      <c r="J16" s="1500" t="s">
        <v>278</v>
      </c>
      <c r="K16" s="1479"/>
      <c r="L16" s="1406"/>
      <c r="M16" s="1406"/>
      <c r="N16" s="1476"/>
    </row>
    <row r="17" spans="1:15" s="1414" customFormat="1" ht="133.5" customHeight="1">
      <c r="A17" s="1405"/>
      <c r="B17" s="1406" t="s">
        <v>279</v>
      </c>
      <c r="C17" s="1407">
        <v>12800</v>
      </c>
      <c r="D17" s="1408" t="s">
        <v>280</v>
      </c>
      <c r="E17" s="1406" t="s">
        <v>43</v>
      </c>
      <c r="F17" s="1515" t="s">
        <v>226</v>
      </c>
      <c r="G17" s="1478"/>
      <c r="H17" s="1406" t="s">
        <v>19</v>
      </c>
      <c r="I17" s="1408" t="s">
        <v>281</v>
      </c>
      <c r="J17" s="1415" t="s">
        <v>282</v>
      </c>
      <c r="K17" s="1415" t="s">
        <v>283</v>
      </c>
      <c r="L17" s="1406"/>
      <c r="M17" s="1406">
        <f>12800-1700-6700-1500-800-300</f>
        <v>1800</v>
      </c>
      <c r="N17" s="1476"/>
    </row>
    <row r="18" spans="1:15" s="1414" customFormat="1" ht="63.75" customHeight="1">
      <c r="A18" s="1405"/>
      <c r="B18" s="1406" t="s">
        <v>284</v>
      </c>
      <c r="C18" s="1407">
        <v>12000</v>
      </c>
      <c r="D18" s="1408" t="s">
        <v>285</v>
      </c>
      <c r="E18" s="1406" t="s">
        <v>25</v>
      </c>
      <c r="F18" s="1515" t="s">
        <v>226</v>
      </c>
      <c r="G18" s="1516"/>
      <c r="H18" s="1406" t="s">
        <v>19</v>
      </c>
      <c r="I18" s="1406" t="s">
        <v>286</v>
      </c>
      <c r="J18" s="1500" t="s">
        <v>287</v>
      </c>
      <c r="K18" s="1479"/>
      <c r="L18" s="1406"/>
      <c r="M18" s="1406"/>
      <c r="N18" s="1476"/>
    </row>
    <row r="19" spans="1:15" s="1486" customFormat="1" ht="78.75" customHeight="1">
      <c r="A19" s="1480"/>
      <c r="B19" s="1481" t="s">
        <v>237</v>
      </c>
      <c r="C19" s="1482">
        <v>16300</v>
      </c>
      <c r="D19" s="1483" t="s">
        <v>288</v>
      </c>
      <c r="E19" s="1481" t="s">
        <v>43</v>
      </c>
      <c r="F19" s="1517" t="s">
        <v>226</v>
      </c>
      <c r="G19" s="1518"/>
      <c r="H19" s="1481" t="s">
        <v>19</v>
      </c>
      <c r="I19" s="1481" t="s">
        <v>240</v>
      </c>
      <c r="J19" s="1501" t="s">
        <v>289</v>
      </c>
      <c r="K19" s="1484"/>
      <c r="L19" s="1481"/>
      <c r="M19" s="1481"/>
      <c r="N19" s="1485"/>
    </row>
    <row r="20" spans="1:15" s="1414" customFormat="1" ht="78.75" customHeight="1">
      <c r="A20" s="1405"/>
      <c r="B20" s="1406" t="s">
        <v>290</v>
      </c>
      <c r="C20" s="1407">
        <v>3080</v>
      </c>
      <c r="D20" s="1408" t="s">
        <v>291</v>
      </c>
      <c r="E20" s="1406" t="s">
        <v>89</v>
      </c>
      <c r="F20" s="1515" t="s">
        <v>226</v>
      </c>
      <c r="G20" s="1516"/>
      <c r="H20" s="1406" t="s">
        <v>19</v>
      </c>
      <c r="I20" s="1406" t="s">
        <v>234</v>
      </c>
      <c r="J20" s="1500" t="s">
        <v>292</v>
      </c>
      <c r="K20" s="1479"/>
      <c r="L20" s="1406"/>
      <c r="M20" s="1406"/>
      <c r="N20" s="1476"/>
    </row>
    <row r="21" spans="1:15" s="1414" customFormat="1" ht="82.5" customHeight="1">
      <c r="A21" s="1405"/>
      <c r="B21" s="1406" t="s">
        <v>293</v>
      </c>
      <c r="C21" s="1407">
        <v>4620</v>
      </c>
      <c r="D21" s="1408" t="s">
        <v>294</v>
      </c>
      <c r="E21" s="1406" t="s">
        <v>225</v>
      </c>
      <c r="F21" s="1515" t="s">
        <v>226</v>
      </c>
      <c r="G21" s="1516"/>
      <c r="H21" s="1406" t="s">
        <v>19</v>
      </c>
      <c r="I21" s="1406" t="s">
        <v>240</v>
      </c>
      <c r="J21" s="1500" t="s">
        <v>295</v>
      </c>
      <c r="K21" s="1479"/>
      <c r="L21" s="1406"/>
      <c r="M21" s="1406"/>
      <c r="N21" s="1476"/>
    </row>
    <row r="22" spans="1:15" s="1486" customFormat="1" ht="83.25" customHeight="1">
      <c r="A22" s="1480"/>
      <c r="B22" s="1481" t="s">
        <v>296</v>
      </c>
      <c r="C22" s="1482">
        <v>5000</v>
      </c>
      <c r="D22" s="1483" t="s">
        <v>297</v>
      </c>
      <c r="E22" s="1481" t="s">
        <v>89</v>
      </c>
      <c r="F22" s="1517" t="s">
        <v>226</v>
      </c>
      <c r="G22" s="1518"/>
      <c r="H22" s="1481" t="s">
        <v>19</v>
      </c>
      <c r="I22" s="1481" t="s">
        <v>240</v>
      </c>
      <c r="J22" s="1501" t="s">
        <v>298</v>
      </c>
      <c r="K22" s="1484"/>
      <c r="L22" s="1481"/>
      <c r="M22" s="1481"/>
      <c r="N22" s="1485"/>
    </row>
    <row r="23" spans="1:15" s="1414" customFormat="1" ht="85.5" customHeight="1">
      <c r="A23" s="1405"/>
      <c r="B23" s="1406" t="s">
        <v>290</v>
      </c>
      <c r="C23" s="1407">
        <v>3100</v>
      </c>
      <c r="D23" s="1408" t="s">
        <v>299</v>
      </c>
      <c r="E23" s="1477" t="s">
        <v>89</v>
      </c>
      <c r="F23" s="1515" t="s">
        <v>300</v>
      </c>
      <c r="G23" s="1520"/>
      <c r="H23" s="1477" t="s">
        <v>19</v>
      </c>
      <c r="I23" s="1406" t="s">
        <v>172</v>
      </c>
      <c r="J23" s="1500" t="s">
        <v>301</v>
      </c>
      <c r="K23" s="1479"/>
      <c r="L23" s="1406"/>
      <c r="M23" s="1406"/>
      <c r="N23" s="1521"/>
    </row>
    <row r="24" spans="1:15" s="1414" customFormat="1" ht="66.75" customHeight="1">
      <c r="A24" s="1405"/>
      <c r="B24" s="1406" t="s">
        <v>302</v>
      </c>
      <c r="C24" s="1407">
        <v>3950</v>
      </c>
      <c r="D24" s="1408" t="s">
        <v>303</v>
      </c>
      <c r="E24" s="1406" t="s">
        <v>84</v>
      </c>
      <c r="F24" s="1515" t="s">
        <v>300</v>
      </c>
      <c r="G24" s="1478" t="s">
        <v>304</v>
      </c>
      <c r="H24" s="1406" t="s">
        <v>19</v>
      </c>
      <c r="I24" s="1408" t="s">
        <v>234</v>
      </c>
      <c r="J24" s="1500" t="s">
        <v>305</v>
      </c>
      <c r="K24" s="1479"/>
      <c r="L24" s="1406"/>
      <c r="M24" s="1406"/>
      <c r="N24" s="1476"/>
    </row>
    <row r="25" spans="1:15" s="1414" customFormat="1" ht="206.25">
      <c r="A25" s="1405"/>
      <c r="B25" s="1406" t="s">
        <v>306</v>
      </c>
      <c r="C25" s="1407">
        <v>11350</v>
      </c>
      <c r="D25" s="1408" t="s">
        <v>307</v>
      </c>
      <c r="E25" s="1406" t="s">
        <v>308</v>
      </c>
      <c r="F25" s="1515" t="s">
        <v>300</v>
      </c>
      <c r="G25" s="1516"/>
      <c r="H25" s="1406" t="s">
        <v>19</v>
      </c>
      <c r="I25" s="1408" t="s">
        <v>309</v>
      </c>
      <c r="J25" s="1500" t="s">
        <v>310</v>
      </c>
      <c r="K25" s="1415" t="s">
        <v>311</v>
      </c>
      <c r="L25" s="1406"/>
      <c r="M25" s="1406"/>
      <c r="N25" s="1476"/>
    </row>
    <row r="26" spans="1:15" s="1414" customFormat="1" ht="109.5" customHeight="1">
      <c r="A26" s="1405"/>
      <c r="B26" s="1406" t="s">
        <v>312</v>
      </c>
      <c r="C26" s="1407">
        <v>10670</v>
      </c>
      <c r="D26" s="1408" t="s">
        <v>313</v>
      </c>
      <c r="E26" s="1406" t="s">
        <v>43</v>
      </c>
      <c r="F26" s="1515" t="s">
        <v>18</v>
      </c>
      <c r="G26" s="1516"/>
      <c r="H26" s="1406" t="s">
        <v>19</v>
      </c>
      <c r="I26" s="1406" t="s">
        <v>172</v>
      </c>
      <c r="J26" s="1500" t="s">
        <v>314</v>
      </c>
      <c r="K26" s="1476">
        <f>10670-1000-980-950-200</f>
        <v>7540</v>
      </c>
      <c r="L26" s="1406"/>
      <c r="M26" s="1406"/>
      <c r="N26" s="1476"/>
    </row>
    <row r="27" spans="1:15" s="139" customFormat="1" ht="141" customHeight="1">
      <c r="A27" s="1405"/>
      <c r="B27" s="1406" t="s">
        <v>274</v>
      </c>
      <c r="C27" s="1407">
        <v>4250</v>
      </c>
      <c r="D27" s="1408" t="s">
        <v>315</v>
      </c>
      <c r="E27" s="1406" t="s">
        <v>84</v>
      </c>
      <c r="F27" s="1515" t="s">
        <v>18</v>
      </c>
      <c r="G27" s="1478" t="s">
        <v>18</v>
      </c>
      <c r="H27" s="1406" t="s">
        <v>19</v>
      </c>
      <c r="I27" s="1406" t="s">
        <v>123</v>
      </c>
      <c r="J27" s="1618" t="s">
        <v>316</v>
      </c>
      <c r="K27" s="1415">
        <f>4250-1180-980-1080</f>
        <v>1010</v>
      </c>
      <c r="L27" s="1406"/>
      <c r="M27" s="1406"/>
      <c r="N27" s="1476"/>
      <c r="O27" s="1414"/>
    </row>
    <row r="28" spans="1:15" s="1486" customFormat="1" ht="186.75" customHeight="1">
      <c r="A28" s="1480"/>
      <c r="B28" s="1481" t="s">
        <v>279</v>
      </c>
      <c r="C28" s="1482">
        <v>12800</v>
      </c>
      <c r="D28" s="1483" t="s">
        <v>313</v>
      </c>
      <c r="E28" s="1481" t="s">
        <v>43</v>
      </c>
      <c r="F28" s="1517" t="s">
        <v>18</v>
      </c>
      <c r="G28" s="1518"/>
      <c r="H28" s="1481" t="s">
        <v>19</v>
      </c>
      <c r="I28" s="1481" t="s">
        <v>172</v>
      </c>
      <c r="J28" s="1501" t="s">
        <v>317</v>
      </c>
      <c r="K28" s="1485"/>
      <c r="L28" s="1481"/>
      <c r="M28" s="1481"/>
      <c r="N28" s="1485"/>
    </row>
    <row r="29" spans="1:15" s="1414" customFormat="1" ht="90.75" customHeight="1">
      <c r="A29" s="1405"/>
      <c r="B29" s="1406" t="s">
        <v>293</v>
      </c>
      <c r="C29" s="1407">
        <v>4620</v>
      </c>
      <c r="D29" s="1522" t="s">
        <v>318</v>
      </c>
      <c r="E29" s="1477" t="s">
        <v>225</v>
      </c>
      <c r="F29" s="1515" t="s">
        <v>18</v>
      </c>
      <c r="G29" s="1520"/>
      <c r="H29" s="1406" t="s">
        <v>19</v>
      </c>
      <c r="I29" s="1477" t="s">
        <v>319</v>
      </c>
      <c r="J29" s="1500" t="s">
        <v>320</v>
      </c>
      <c r="K29" s="1476">
        <f>C29-928-900</f>
        <v>2792</v>
      </c>
      <c r="L29" s="1406"/>
      <c r="M29" s="1406"/>
      <c r="N29" s="1521"/>
    </row>
    <row r="30" spans="1:15" s="1414" customFormat="1" ht="120" customHeight="1">
      <c r="A30" s="1523"/>
      <c r="B30" s="1524" t="s">
        <v>243</v>
      </c>
      <c r="C30" s="1525">
        <v>6000</v>
      </c>
      <c r="D30" s="1526" t="s">
        <v>321</v>
      </c>
      <c r="E30" s="1527" t="s">
        <v>43</v>
      </c>
      <c r="F30" s="1515" t="s">
        <v>18</v>
      </c>
      <c r="G30" s="1528"/>
      <c r="H30" s="1406" t="s">
        <v>19</v>
      </c>
      <c r="I30" s="1529" t="s">
        <v>63</v>
      </c>
      <c r="J30" s="1619" t="s">
        <v>322</v>
      </c>
      <c r="K30" s="1530"/>
      <c r="L30" s="1524"/>
      <c r="M30" s="1524"/>
      <c r="N30" s="1521"/>
    </row>
    <row r="31" spans="1:15" s="841" customFormat="1" ht="77.25" customHeight="1">
      <c r="A31" s="1299"/>
      <c r="B31" s="1302" t="s">
        <v>302</v>
      </c>
      <c r="C31" s="1301">
        <v>3950</v>
      </c>
      <c r="D31" s="1302" t="s">
        <v>323</v>
      </c>
      <c r="E31" s="1442" t="s">
        <v>84</v>
      </c>
      <c r="F31" s="1531" t="s">
        <v>18</v>
      </c>
      <c r="G31" s="1532"/>
      <c r="H31" s="1300" t="s">
        <v>19</v>
      </c>
      <c r="I31" s="1620" t="s">
        <v>253</v>
      </c>
      <c r="J31" s="1440" t="s">
        <v>324</v>
      </c>
      <c r="K31" s="1304"/>
      <c r="L31" s="1300"/>
      <c r="M31" s="1300"/>
      <c r="N31" s="1533"/>
    </row>
    <row r="32" spans="1:15" s="1467" customFormat="1" ht="60" customHeight="1">
      <c r="A32" s="1457"/>
      <c r="B32" s="1460" t="s">
        <v>270</v>
      </c>
      <c r="C32" s="1459">
        <v>3950</v>
      </c>
      <c r="D32" s="1537" t="s">
        <v>325</v>
      </c>
      <c r="E32" s="1462" t="s">
        <v>84</v>
      </c>
      <c r="F32" s="1538" t="s">
        <v>18</v>
      </c>
      <c r="G32" s="1539"/>
      <c r="H32" s="1458" t="s">
        <v>19</v>
      </c>
      <c r="I32" s="1621" t="s">
        <v>253</v>
      </c>
      <c r="J32" s="1472" t="s">
        <v>326</v>
      </c>
      <c r="K32" s="1465"/>
      <c r="L32" s="1458"/>
      <c r="M32" s="1458"/>
      <c r="N32" s="1540"/>
    </row>
    <row r="33" spans="1:14" s="1548" customFormat="1" ht="64.5" customHeight="1">
      <c r="A33" s="1542"/>
      <c r="B33" s="1469" t="s">
        <v>249</v>
      </c>
      <c r="C33" s="1459">
        <v>2950</v>
      </c>
      <c r="D33" s="1543" t="s">
        <v>327</v>
      </c>
      <c r="E33" s="1462" t="s">
        <v>84</v>
      </c>
      <c r="F33" s="1538" t="s">
        <v>18</v>
      </c>
      <c r="G33" s="1544"/>
      <c r="H33" s="1545" t="s">
        <v>19</v>
      </c>
      <c r="I33" s="1543" t="s">
        <v>328</v>
      </c>
      <c r="J33" s="1546" t="s">
        <v>329</v>
      </c>
      <c r="K33" s="1547"/>
      <c r="L33" s="1493"/>
      <c r="M33" s="1493"/>
      <c r="N33" s="1498"/>
    </row>
    <row r="34" spans="1:14" s="1467" customFormat="1" ht="90" customHeight="1">
      <c r="A34" s="1542">
        <v>32</v>
      </c>
      <c r="B34" s="1469" t="s">
        <v>330</v>
      </c>
      <c r="C34" s="1549">
        <v>6400</v>
      </c>
      <c r="D34" s="1495" t="s">
        <v>331</v>
      </c>
      <c r="E34" s="1493" t="s">
        <v>332</v>
      </c>
      <c r="F34" s="1538" t="s">
        <v>18</v>
      </c>
      <c r="G34" s="1550"/>
      <c r="H34" s="1545" t="s">
        <v>19</v>
      </c>
      <c r="I34" s="1495" t="s">
        <v>333</v>
      </c>
      <c r="J34" s="1496" t="s">
        <v>334</v>
      </c>
      <c r="K34" s="1551" t="s">
        <v>335</v>
      </c>
      <c r="L34" s="1474"/>
      <c r="M34" s="1474"/>
      <c r="N34" s="1540"/>
    </row>
    <row r="35" spans="1:14" ht="37.5" customHeight="1">
      <c r="A35" s="671"/>
      <c r="B35" s="642"/>
      <c r="C35" s="1433"/>
      <c r="D35" s="3631" t="s">
        <v>336</v>
      </c>
      <c r="E35" s="3632"/>
      <c r="F35" s="3632"/>
      <c r="G35" s="3632"/>
      <c r="H35" s="3632"/>
      <c r="I35" s="3632"/>
      <c r="J35" s="3633"/>
      <c r="K35" s="1434"/>
      <c r="L35" s="642"/>
      <c r="M35" s="642"/>
      <c r="N35" s="1434"/>
    </row>
    <row r="36" spans="1:14" ht="37.5" customHeight="1">
      <c r="A36" s="360"/>
      <c r="B36" s="41"/>
      <c r="C36" s="1282"/>
      <c r="D36" s="3631"/>
      <c r="E36" s="3632"/>
      <c r="F36" s="3632"/>
      <c r="G36" s="3632"/>
      <c r="H36" s="3632"/>
      <c r="I36" s="3632"/>
      <c r="J36" s="3633"/>
      <c r="K36" s="44"/>
      <c r="L36" s="41"/>
      <c r="M36" s="41"/>
      <c r="N36" s="44"/>
    </row>
    <row r="37" spans="1:14" ht="37.5" customHeight="1">
      <c r="A37" s="360"/>
      <c r="B37" s="41"/>
      <c r="C37" s="1282"/>
      <c r="D37" s="3631"/>
      <c r="E37" s="3632"/>
      <c r="F37" s="3632"/>
      <c r="G37" s="3632"/>
      <c r="H37" s="3632"/>
      <c r="I37" s="3632"/>
      <c r="J37" s="3633"/>
      <c r="K37" s="44"/>
      <c r="L37" s="41"/>
      <c r="M37" s="41"/>
      <c r="N37" s="44"/>
    </row>
    <row r="38" spans="1:14" ht="37.5" customHeight="1">
      <c r="A38" s="360"/>
      <c r="B38" s="41"/>
      <c r="C38" s="1282"/>
      <c r="D38" s="3631"/>
      <c r="E38" s="3632"/>
      <c r="F38" s="3632"/>
      <c r="G38" s="3632"/>
      <c r="H38" s="3632"/>
      <c r="I38" s="3632"/>
      <c r="J38" s="3633"/>
      <c r="K38" s="44"/>
      <c r="L38" s="41"/>
      <c r="M38" s="41"/>
      <c r="N38" s="44"/>
    </row>
    <row r="39" spans="1:14" ht="37.5" customHeight="1">
      <c r="A39" s="360"/>
      <c r="B39" s="41"/>
      <c r="C39" s="1282"/>
      <c r="D39" s="3634"/>
      <c r="E39" s="3635"/>
      <c r="F39" s="3635"/>
      <c r="G39" s="3635"/>
      <c r="H39" s="3635"/>
      <c r="I39" s="3635"/>
      <c r="J39" s="3636"/>
      <c r="K39" s="44"/>
      <c r="L39" s="41"/>
      <c r="M39" s="41"/>
      <c r="N39" s="44"/>
    </row>
    <row r="40" spans="1:14" ht="84.75" customHeight="1">
      <c r="A40" s="360"/>
      <c r="B40" s="41"/>
      <c r="C40" s="1282"/>
      <c r="D40" s="90"/>
      <c r="E40" s="41"/>
      <c r="F40" s="90"/>
      <c r="G40" s="90"/>
      <c r="H40" s="1541"/>
      <c r="I40" s="41"/>
      <c r="J40" s="507" t="s">
        <v>337</v>
      </c>
      <c r="K40" s="44"/>
      <c r="L40" s="41"/>
      <c r="M40" s="41"/>
      <c r="N40" s="44"/>
    </row>
  </sheetData>
  <autoFilter ref="A4:Q4" xr:uid="{00000000-0009-0000-0000-000001000000}"/>
  <mergeCells count="4">
    <mergeCell ref="C1:K1"/>
    <mergeCell ref="A2:N2"/>
    <mergeCell ref="A3:B3"/>
    <mergeCell ref="D35:J39"/>
  </mergeCells>
  <conditionalFormatting sqref="A1:A3">
    <cfRule type="duplicateValues" dxfId="884" priority="5"/>
  </conditionalFormatting>
  <conditionalFormatting sqref="A4">
    <cfRule type="duplicateValues" dxfId="883" priority="4"/>
  </conditionalFormatting>
  <conditionalFormatting sqref="B4">
    <cfRule type="duplicateValues" dxfId="882" priority="1"/>
    <cfRule type="duplicateValues" dxfId="881" priority="2"/>
    <cfRule type="duplicateValues" dxfId="880" priority="3"/>
  </conditionalFormatting>
  <pageMargins left="0.7" right="0.7" top="0.75" bottom="0.75" header="0.3" footer="0.3"/>
  <pageSetup paperSize="9" scale="43"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98EA67-7BFC-4392-B654-52345C51585F}">
  <sheetPr>
    <tabColor rgb="FFFF0000"/>
    <pageSetUpPr fitToPage="1"/>
  </sheetPr>
  <dimension ref="A1:O34"/>
  <sheetViews>
    <sheetView topLeftCell="A2" zoomScale="65" zoomScaleNormal="65" workbookViewId="0">
      <pane xSplit="3" ySplit="3" topLeftCell="D20" activePane="bottomRight" state="frozen"/>
      <selection pane="topRight" activeCell="D29" sqref="D29:E30"/>
      <selection pane="bottomLeft" activeCell="D29" sqref="D29:E30"/>
      <selection pane="bottomRight" activeCell="D29" sqref="D29:E30"/>
    </sheetView>
  </sheetViews>
  <sheetFormatPr defaultColWidth="25.5703125" defaultRowHeight="18.75"/>
  <cols>
    <col min="1" max="1" width="5" style="359" customWidth="1"/>
    <col min="2" max="2" width="35.42578125" style="1" customWidth="1"/>
    <col min="3" max="3" width="23.140625" style="1138" customWidth="1"/>
    <col min="4" max="4" width="23.140625" style="271" customWidth="1"/>
    <col min="5" max="5" width="37.85546875" style="271" customWidth="1"/>
    <col min="6" max="6" width="28.42578125" style="271" customWidth="1"/>
    <col min="7" max="7" width="21.85546875" style="1" customWidth="1"/>
    <col min="8" max="8" width="23.42578125" style="1" customWidth="1"/>
    <col min="9" max="9" width="65" style="9" customWidth="1"/>
    <col min="10" max="10" width="36" style="9" customWidth="1"/>
    <col min="11" max="11" width="24" style="9" customWidth="1"/>
    <col min="12" max="12" width="17.42578125" style="1" customWidth="1"/>
    <col min="13" max="13" width="10.28515625" style="804" hidden="1" customWidth="1"/>
    <col min="14" max="14" width="25.140625" style="3" customWidth="1"/>
    <col min="15" max="15" width="12.42578125" style="3" hidden="1" customWidth="1"/>
    <col min="16" max="16" width="34.5703125" style="3" customWidth="1"/>
    <col min="17" max="16384" width="25.5703125" style="3"/>
  </cols>
  <sheetData>
    <row r="1" spans="1:15" ht="17.25" customHeight="1">
      <c r="B1" s="10"/>
      <c r="C1" s="3624"/>
      <c r="D1" s="3624"/>
      <c r="E1" s="3624"/>
      <c r="F1" s="3624"/>
      <c r="G1" s="3624"/>
      <c r="H1" s="3624"/>
      <c r="I1" s="3624"/>
      <c r="J1" s="3624"/>
      <c r="K1" s="1349"/>
    </row>
    <row r="2" spans="1:15" ht="34.5" customHeight="1">
      <c r="A2" s="3637" t="s">
        <v>338</v>
      </c>
      <c r="B2" s="3637"/>
      <c r="C2" s="3637"/>
      <c r="D2" s="3637"/>
      <c r="E2" s="3637"/>
      <c r="F2" s="3637"/>
      <c r="G2" s="3637"/>
      <c r="H2" s="3637"/>
      <c r="I2" s="3637"/>
      <c r="J2" s="3637"/>
      <c r="K2" s="1348"/>
      <c r="L2" s="1176"/>
      <c r="M2" s="805"/>
      <c r="N2" s="1180"/>
      <c r="O2" s="287"/>
    </row>
    <row r="3" spans="1:15" ht="43.5" customHeight="1">
      <c r="A3" s="360"/>
      <c r="B3" s="385"/>
      <c r="C3" s="1177">
        <f>SUBTOTAL(9,C5:C288)</f>
        <v>139861</v>
      </c>
      <c r="D3" s="849"/>
      <c r="E3" s="849"/>
      <c r="F3" s="849"/>
      <c r="G3" s="199"/>
      <c r="H3" s="199"/>
      <c r="I3" s="202"/>
      <c r="J3" s="1350">
        <f ca="1">TODAY()</f>
        <v>45960</v>
      </c>
      <c r="K3" s="1350"/>
      <c r="L3" s="1350"/>
      <c r="M3" s="808"/>
      <c r="N3" s="287"/>
      <c r="O3" s="287"/>
    </row>
    <row r="4" spans="1:15" s="7" customFormat="1" ht="56.25" customHeight="1">
      <c r="A4" s="810" t="s">
        <v>1</v>
      </c>
      <c r="B4" s="679" t="s">
        <v>339</v>
      </c>
      <c r="C4" s="1178" t="s">
        <v>3</v>
      </c>
      <c r="D4" s="679" t="s">
        <v>4</v>
      </c>
      <c r="E4" s="679" t="s">
        <v>6</v>
      </c>
      <c r="F4" s="679" t="s">
        <v>221</v>
      </c>
      <c r="G4" s="679" t="s">
        <v>8</v>
      </c>
      <c r="H4" s="679" t="s">
        <v>9</v>
      </c>
      <c r="I4" s="812" t="s">
        <v>10</v>
      </c>
      <c r="J4" s="679" t="s">
        <v>11</v>
      </c>
      <c r="K4" s="679" t="s">
        <v>13</v>
      </c>
      <c r="L4" s="679" t="s">
        <v>5</v>
      </c>
      <c r="M4" s="813" t="s">
        <v>340</v>
      </c>
      <c r="N4" s="325" t="s">
        <v>341</v>
      </c>
      <c r="O4" s="1404" t="e">
        <f>SUM(#REF!)</f>
        <v>#REF!</v>
      </c>
    </row>
    <row r="5" spans="1:15" s="367" customFormat="1" ht="150">
      <c r="A5" s="362" cm="1">
        <f t="array" ref="A5:A34">_xlfn.SEQUENCE(30,1,1,)</f>
        <v>1</v>
      </c>
      <c r="B5" s="72" t="s">
        <v>342</v>
      </c>
      <c r="C5" s="1308">
        <v>8075</v>
      </c>
      <c r="D5" s="97" t="s">
        <v>226</v>
      </c>
      <c r="E5" s="1332" t="s">
        <v>343</v>
      </c>
      <c r="F5" s="97"/>
      <c r="G5" s="185" t="s">
        <v>19</v>
      </c>
      <c r="H5" s="72" t="s">
        <v>172</v>
      </c>
      <c r="I5" s="74" t="s">
        <v>344</v>
      </c>
      <c r="J5" s="72"/>
      <c r="K5" s="72"/>
      <c r="L5" s="72" t="s">
        <v>89</v>
      </c>
      <c r="M5" s="1272"/>
      <c r="N5" s="72">
        <f>8075-1500-1800-2000-475-200-150</f>
        <v>1950</v>
      </c>
    </row>
    <row r="6" spans="1:15" s="367" customFormat="1" ht="68.25" customHeight="1">
      <c r="A6" s="362">
        <v>2</v>
      </c>
      <c r="B6" s="72" t="s">
        <v>249</v>
      </c>
      <c r="C6" s="1308">
        <v>3000</v>
      </c>
      <c r="D6" s="97" t="s">
        <v>226</v>
      </c>
      <c r="E6" s="1332" t="s">
        <v>345</v>
      </c>
      <c r="F6" s="97"/>
      <c r="G6" s="185" t="s">
        <v>19</v>
      </c>
      <c r="H6" s="72" t="s">
        <v>346</v>
      </c>
      <c r="I6" s="74" t="s">
        <v>347</v>
      </c>
      <c r="J6" s="72"/>
      <c r="K6" s="72"/>
      <c r="L6" s="72" t="s">
        <v>84</v>
      </c>
      <c r="M6" s="1272"/>
      <c r="N6" s="72"/>
    </row>
    <row r="7" spans="1:15" s="367" customFormat="1" ht="68.25" customHeight="1">
      <c r="A7" s="362">
        <v>3</v>
      </c>
      <c r="B7" s="72" t="s">
        <v>274</v>
      </c>
      <c r="C7" s="1308">
        <v>4250</v>
      </c>
      <c r="D7" s="97" t="s">
        <v>226</v>
      </c>
      <c r="E7" s="1332" t="s">
        <v>348</v>
      </c>
      <c r="F7" s="97"/>
      <c r="G7" s="185" t="s">
        <v>19</v>
      </c>
      <c r="H7" s="72" t="s">
        <v>63</v>
      </c>
      <c r="I7" s="74" t="s">
        <v>349</v>
      </c>
      <c r="J7" s="97" t="s">
        <v>350</v>
      </c>
      <c r="K7" s="72"/>
      <c r="L7" s="72" t="s">
        <v>84</v>
      </c>
      <c r="M7" s="1272"/>
      <c r="N7" s="72"/>
    </row>
    <row r="8" spans="1:15" s="367" customFormat="1" ht="68.25" customHeight="1">
      <c r="A8" s="362">
        <v>4</v>
      </c>
      <c r="B8" s="72" t="s">
        <v>270</v>
      </c>
      <c r="C8" s="1308">
        <v>3940</v>
      </c>
      <c r="D8" s="97" t="s">
        <v>226</v>
      </c>
      <c r="E8" s="1332" t="s">
        <v>351</v>
      </c>
      <c r="F8" s="97"/>
      <c r="G8" s="185" t="s">
        <v>19</v>
      </c>
      <c r="H8" s="72" t="s">
        <v>172</v>
      </c>
      <c r="I8" s="74" t="s">
        <v>352</v>
      </c>
      <c r="J8" s="72"/>
      <c r="K8" s="72"/>
      <c r="L8" s="72" t="s">
        <v>84</v>
      </c>
      <c r="M8" s="1272"/>
      <c r="N8" s="72"/>
    </row>
    <row r="9" spans="1:15" s="367" customFormat="1" ht="191.25" customHeight="1">
      <c r="A9" s="362">
        <v>5</v>
      </c>
      <c r="B9" s="72" t="s">
        <v>312</v>
      </c>
      <c r="C9" s="1308">
        <v>11800</v>
      </c>
      <c r="D9" s="97" t="s">
        <v>353</v>
      </c>
      <c r="E9" s="1332" t="s">
        <v>354</v>
      </c>
      <c r="F9" s="97"/>
      <c r="G9" s="185" t="s">
        <v>19</v>
      </c>
      <c r="H9" s="72" t="s">
        <v>172</v>
      </c>
      <c r="I9" s="74" t="s">
        <v>355</v>
      </c>
      <c r="J9" s="1418"/>
      <c r="K9" s="97"/>
      <c r="L9" s="72" t="s">
        <v>43</v>
      </c>
      <c r="M9" s="1272"/>
      <c r="N9" s="1273">
        <f>C9-5000-3850-650-275</f>
        <v>2025</v>
      </c>
    </row>
    <row r="10" spans="1:15" s="367" customFormat="1" ht="40.5">
      <c r="A10" s="362">
        <v>6</v>
      </c>
      <c r="B10" s="72" t="s">
        <v>356</v>
      </c>
      <c r="C10" s="1308">
        <v>5500</v>
      </c>
      <c r="D10" s="97" t="s">
        <v>226</v>
      </c>
      <c r="E10" s="1332" t="s">
        <v>357</v>
      </c>
      <c r="F10" s="97"/>
      <c r="G10" s="185" t="s">
        <v>19</v>
      </c>
      <c r="H10" s="72" t="s">
        <v>286</v>
      </c>
      <c r="I10" s="74" t="s">
        <v>358</v>
      </c>
      <c r="J10" s="1418" t="s">
        <v>359</v>
      </c>
      <c r="K10" s="97"/>
      <c r="L10" s="72" t="s">
        <v>308</v>
      </c>
      <c r="M10" s="1272"/>
      <c r="N10" s="1273"/>
    </row>
    <row r="11" spans="1:15" s="367" customFormat="1" ht="56.25" customHeight="1">
      <c r="A11" s="362">
        <v>7</v>
      </c>
      <c r="B11" s="72" t="s">
        <v>243</v>
      </c>
      <c r="C11" s="1308">
        <v>6000</v>
      </c>
      <c r="D11" s="1419" t="s">
        <v>226</v>
      </c>
      <c r="E11" s="1332" t="s">
        <v>360</v>
      </c>
      <c r="F11" s="1332"/>
      <c r="G11" s="185" t="s">
        <v>19</v>
      </c>
      <c r="H11" s="72" t="s">
        <v>172</v>
      </c>
      <c r="I11" s="74" t="s">
        <v>361</v>
      </c>
      <c r="J11" s="1420"/>
      <c r="K11" s="72"/>
      <c r="L11" s="72" t="s">
        <v>362</v>
      </c>
      <c r="M11" s="1272"/>
      <c r="N11" s="1273"/>
    </row>
    <row r="12" spans="1:15" s="367" customFormat="1" ht="75.75" customHeight="1">
      <c r="A12" s="362">
        <v>8</v>
      </c>
      <c r="B12" s="72" t="s">
        <v>82</v>
      </c>
      <c r="C12" s="1308">
        <v>4250</v>
      </c>
      <c r="D12" s="1419" t="s">
        <v>226</v>
      </c>
      <c r="E12" s="1332" t="s">
        <v>363</v>
      </c>
      <c r="F12" s="1332"/>
      <c r="G12" s="185" t="s">
        <v>19</v>
      </c>
      <c r="H12" s="72" t="s">
        <v>364</v>
      </c>
      <c r="I12" s="74" t="s">
        <v>365</v>
      </c>
      <c r="J12" s="1420"/>
      <c r="K12" s="72"/>
      <c r="L12" s="72" t="s">
        <v>84</v>
      </c>
      <c r="M12" s="1272"/>
      <c r="N12" s="1273"/>
    </row>
    <row r="13" spans="1:15" s="367" customFormat="1" ht="246.75" customHeight="1">
      <c r="A13" s="362">
        <v>9</v>
      </c>
      <c r="B13" s="72" t="s">
        <v>366</v>
      </c>
      <c r="C13" s="1308">
        <v>10200</v>
      </c>
      <c r="D13" s="97" t="s">
        <v>226</v>
      </c>
      <c r="E13" s="1332" t="s">
        <v>367</v>
      </c>
      <c r="F13" s="97"/>
      <c r="G13" s="185" t="s">
        <v>19</v>
      </c>
      <c r="H13" s="72" t="s">
        <v>368</v>
      </c>
      <c r="I13" s="74" t="s">
        <v>369</v>
      </c>
      <c r="J13" s="1418">
        <f>600+300+250+500+1000+2200+1200+800</f>
        <v>6850</v>
      </c>
      <c r="K13" s="97"/>
      <c r="L13" s="72" t="s">
        <v>43</v>
      </c>
      <c r="M13" s="1272"/>
      <c r="N13" s="1273"/>
    </row>
    <row r="14" spans="1:15" s="367" customFormat="1" ht="84.75" customHeight="1">
      <c r="A14" s="362">
        <v>10</v>
      </c>
      <c r="B14" s="72" t="s">
        <v>370</v>
      </c>
      <c r="C14" s="1308">
        <v>4320</v>
      </c>
      <c r="D14" s="97" t="s">
        <v>226</v>
      </c>
      <c r="E14" s="1332" t="s">
        <v>371</v>
      </c>
      <c r="F14" s="97"/>
      <c r="G14" s="185" t="s">
        <v>19</v>
      </c>
      <c r="H14" s="72" t="s">
        <v>101</v>
      </c>
      <c r="I14" s="74" t="s">
        <v>372</v>
      </c>
      <c r="J14" s="1421" t="s">
        <v>373</v>
      </c>
      <c r="K14" s="97"/>
      <c r="L14" s="72" t="s">
        <v>89</v>
      </c>
      <c r="M14" s="1272"/>
      <c r="N14" s="1273"/>
    </row>
    <row r="15" spans="1:15" s="367" customFormat="1" ht="77.25" customHeight="1">
      <c r="A15" s="362">
        <v>11</v>
      </c>
      <c r="B15" s="72" t="s">
        <v>279</v>
      </c>
      <c r="C15" s="1308">
        <v>16000</v>
      </c>
      <c r="D15" s="1419" t="s">
        <v>226</v>
      </c>
      <c r="E15" s="1332" t="s">
        <v>374</v>
      </c>
      <c r="F15" s="97"/>
      <c r="G15" s="185" t="s">
        <v>19</v>
      </c>
      <c r="H15" s="72" t="s">
        <v>172</v>
      </c>
      <c r="I15" s="1276" t="s">
        <v>375</v>
      </c>
      <c r="J15" s="1418"/>
      <c r="K15" s="97"/>
      <c r="L15" s="72" t="s">
        <v>43</v>
      </c>
      <c r="M15" s="1272"/>
      <c r="N15" s="1273"/>
    </row>
    <row r="16" spans="1:15" s="1249" customFormat="1" ht="121.5" customHeight="1">
      <c r="A16" s="1255">
        <v>12</v>
      </c>
      <c r="B16" s="1362" t="s">
        <v>376</v>
      </c>
      <c r="C16" s="1363">
        <v>11050</v>
      </c>
      <c r="D16" s="1422" t="s">
        <v>226</v>
      </c>
      <c r="E16" s="1423" t="s">
        <v>377</v>
      </c>
      <c r="F16" s="1365"/>
      <c r="G16" s="1424" t="s">
        <v>19</v>
      </c>
      <c r="H16" s="17" t="s">
        <v>172</v>
      </c>
      <c r="I16" s="1425" t="s">
        <v>378</v>
      </c>
      <c r="J16" s="1426"/>
      <c r="K16" s="1365"/>
      <c r="L16" s="1362" t="s">
        <v>54</v>
      </c>
      <c r="M16" s="1260"/>
      <c r="N16" s="1261"/>
    </row>
    <row r="17" spans="1:14" s="1251" customFormat="1" ht="81.75" customHeight="1">
      <c r="A17" s="1284">
        <v>13</v>
      </c>
      <c r="B17" s="17" t="s">
        <v>270</v>
      </c>
      <c r="C17" s="1285">
        <v>3750</v>
      </c>
      <c r="D17" s="1422" t="s">
        <v>226</v>
      </c>
      <c r="E17" s="1388" t="s">
        <v>379</v>
      </c>
      <c r="F17" s="23"/>
      <c r="G17" s="1287" t="s">
        <v>19</v>
      </c>
      <c r="H17" s="17" t="s">
        <v>101</v>
      </c>
      <c r="I17" s="21" t="s">
        <v>380</v>
      </c>
      <c r="J17" s="21"/>
      <c r="K17" s="36"/>
      <c r="L17" s="17" t="s">
        <v>84</v>
      </c>
      <c r="M17" s="1289"/>
      <c r="N17" s="63"/>
    </row>
    <row r="18" spans="1:14" s="367" customFormat="1" ht="123" customHeight="1">
      <c r="A18" s="362">
        <v>14</v>
      </c>
      <c r="B18" s="72" t="s">
        <v>381</v>
      </c>
      <c r="C18" s="1308">
        <v>15000</v>
      </c>
      <c r="D18" s="1419" t="s">
        <v>226</v>
      </c>
      <c r="E18" s="1392" t="s">
        <v>382</v>
      </c>
      <c r="F18" s="97"/>
      <c r="G18" s="185" t="s">
        <v>19</v>
      </c>
      <c r="H18" s="76" t="s">
        <v>172</v>
      </c>
      <c r="I18" s="74" t="s">
        <v>383</v>
      </c>
      <c r="J18" s="72"/>
      <c r="K18" s="72"/>
      <c r="L18" s="72" t="s">
        <v>43</v>
      </c>
      <c r="M18" s="1272"/>
      <c r="N18" s="72"/>
    </row>
    <row r="19" spans="1:14" s="367" customFormat="1" ht="55.5" customHeight="1">
      <c r="A19" s="695">
        <v>15</v>
      </c>
      <c r="B19" s="76" t="s">
        <v>384</v>
      </c>
      <c r="C19" s="1323">
        <v>6500</v>
      </c>
      <c r="D19" s="1368" t="s">
        <v>226</v>
      </c>
      <c r="E19" s="1392" t="s">
        <v>385</v>
      </c>
      <c r="F19" s="1324"/>
      <c r="G19" s="1317" t="s">
        <v>19</v>
      </c>
      <c r="H19" s="76" t="s">
        <v>286</v>
      </c>
      <c r="I19" s="1353" t="s">
        <v>386</v>
      </c>
      <c r="J19" s="1427"/>
      <c r="K19" s="1324"/>
      <c r="L19" s="76" t="s">
        <v>387</v>
      </c>
      <c r="M19" s="1327"/>
      <c r="N19" s="1328"/>
    </row>
    <row r="20" spans="1:14" s="367" customFormat="1" ht="84.75" customHeight="1">
      <c r="A20" s="695">
        <v>16</v>
      </c>
      <c r="B20" s="72" t="s">
        <v>388</v>
      </c>
      <c r="C20" s="1308">
        <v>4000</v>
      </c>
      <c r="D20" s="97" t="s">
        <v>226</v>
      </c>
      <c r="E20" s="1332" t="s">
        <v>389</v>
      </c>
      <c r="F20" s="97"/>
      <c r="G20" s="185" t="s">
        <v>19</v>
      </c>
      <c r="H20" s="72" t="s">
        <v>172</v>
      </c>
      <c r="I20" s="74" t="s">
        <v>390</v>
      </c>
      <c r="J20" s="1428"/>
      <c r="K20" s="97"/>
      <c r="L20" s="72" t="s">
        <v>84</v>
      </c>
      <c r="M20" s="1272"/>
      <c r="N20" s="1273"/>
    </row>
    <row r="21" spans="1:14" s="367" customFormat="1" ht="84.75" customHeight="1">
      <c r="A21" s="695">
        <v>17</v>
      </c>
      <c r="B21" s="72" t="s">
        <v>391</v>
      </c>
      <c r="C21" s="1308">
        <v>6770</v>
      </c>
      <c r="D21" s="97" t="s">
        <v>226</v>
      </c>
      <c r="E21" s="1332" t="s">
        <v>392</v>
      </c>
      <c r="F21" s="97"/>
      <c r="G21" s="185" t="s">
        <v>19</v>
      </c>
      <c r="H21" s="72" t="s">
        <v>393</v>
      </c>
      <c r="I21" s="74" t="s">
        <v>394</v>
      </c>
      <c r="J21" s="1428"/>
      <c r="K21" s="97">
        <f>2320+2000+280</f>
        <v>4600</v>
      </c>
      <c r="L21" s="72" t="s">
        <v>362</v>
      </c>
      <c r="M21" s="1272"/>
      <c r="N21" s="1273"/>
    </row>
    <row r="22" spans="1:14" s="367" customFormat="1" ht="79.5" customHeight="1">
      <c r="A22" s="362">
        <v>18</v>
      </c>
      <c r="B22" s="72" t="s">
        <v>395</v>
      </c>
      <c r="C22" s="1308">
        <v>1000</v>
      </c>
      <c r="D22" s="97" t="s">
        <v>226</v>
      </c>
      <c r="E22" s="97"/>
      <c r="F22" s="97" t="s">
        <v>396</v>
      </c>
      <c r="G22" s="185" t="s">
        <v>19</v>
      </c>
      <c r="H22" s="72" t="s">
        <v>63</v>
      </c>
      <c r="I22" s="74" t="s">
        <v>397</v>
      </c>
      <c r="J22" s="1429" t="s">
        <v>398</v>
      </c>
      <c r="K22" s="72"/>
      <c r="L22" s="72" t="s">
        <v>43</v>
      </c>
      <c r="M22" s="1272"/>
      <c r="N22" s="72"/>
    </row>
    <row r="23" spans="1:14" s="367" customFormat="1" ht="80.25" customHeight="1">
      <c r="A23" s="362">
        <v>19</v>
      </c>
      <c r="B23" s="72" t="s">
        <v>274</v>
      </c>
      <c r="C23" s="1308">
        <v>4250</v>
      </c>
      <c r="D23" s="97" t="s">
        <v>226</v>
      </c>
      <c r="E23" s="1332" t="s">
        <v>399</v>
      </c>
      <c r="F23" s="97"/>
      <c r="G23" s="185" t="s">
        <v>19</v>
      </c>
      <c r="H23" s="72" t="s">
        <v>199</v>
      </c>
      <c r="I23" s="74" t="s">
        <v>400</v>
      </c>
      <c r="J23" s="72"/>
      <c r="K23" s="72">
        <f>1680+2390+158</f>
        <v>4228</v>
      </c>
      <c r="L23" s="72" t="s">
        <v>84</v>
      </c>
      <c r="M23" s="1272"/>
      <c r="N23" s="72"/>
    </row>
    <row r="24" spans="1:14" s="367" customFormat="1" ht="99.75" customHeight="1">
      <c r="A24" s="362">
        <v>20</v>
      </c>
      <c r="B24" s="72" t="s">
        <v>231</v>
      </c>
      <c r="C24" s="1308">
        <v>7206</v>
      </c>
      <c r="D24" s="97" t="s">
        <v>226</v>
      </c>
      <c r="E24" s="1332" t="s">
        <v>401</v>
      </c>
      <c r="F24" s="1430" t="s">
        <v>402</v>
      </c>
      <c r="G24" s="185" t="s">
        <v>19</v>
      </c>
      <c r="H24" s="72" t="s">
        <v>172</v>
      </c>
      <c r="I24" s="1276" t="s">
        <v>403</v>
      </c>
      <c r="J24" s="1428" t="s">
        <v>404</v>
      </c>
      <c r="K24" s="97">
        <f>3106+1200+2900</f>
        <v>7206</v>
      </c>
      <c r="L24" s="72" t="s">
        <v>89</v>
      </c>
      <c r="M24" s="1272"/>
      <c r="N24" s="1273"/>
    </row>
    <row r="25" spans="1:14" s="367" customFormat="1" ht="66">
      <c r="A25" s="362">
        <v>21</v>
      </c>
      <c r="B25" s="72" t="s">
        <v>249</v>
      </c>
      <c r="C25" s="1308">
        <v>3000</v>
      </c>
      <c r="D25" s="97" t="s">
        <v>226</v>
      </c>
      <c r="E25" s="1332" t="s">
        <v>405</v>
      </c>
      <c r="F25" s="1430" t="s">
        <v>402</v>
      </c>
      <c r="G25" s="185" t="s">
        <v>19</v>
      </c>
      <c r="H25" s="72" t="s">
        <v>172</v>
      </c>
      <c r="I25" s="1276" t="s">
        <v>406</v>
      </c>
      <c r="J25" s="97"/>
      <c r="K25" s="72"/>
      <c r="L25" s="72" t="s">
        <v>84</v>
      </c>
      <c r="M25" s="1272"/>
      <c r="N25" s="72"/>
    </row>
    <row r="26" spans="1:14" s="1" customFormat="1">
      <c r="A26" s="359">
        <v>22</v>
      </c>
      <c r="C26" s="1179"/>
      <c r="D26" s="271"/>
      <c r="E26" s="271"/>
      <c r="F26" s="271"/>
      <c r="I26" s="9"/>
      <c r="M26" s="804"/>
    </row>
    <row r="27" spans="1:14" s="1" customFormat="1">
      <c r="A27" s="359">
        <v>23</v>
      </c>
      <c r="C27" s="1179"/>
      <c r="D27" s="271"/>
      <c r="E27" s="271"/>
      <c r="F27" s="271"/>
      <c r="I27" s="9"/>
      <c r="M27" s="804"/>
    </row>
    <row r="28" spans="1:14" s="1" customFormat="1" ht="30">
      <c r="A28" s="359">
        <v>24</v>
      </c>
      <c r="C28" s="1179"/>
      <c r="D28" s="1431"/>
      <c r="E28" s="1431"/>
      <c r="F28" s="7"/>
      <c r="I28" s="9"/>
      <c r="M28" s="804"/>
    </row>
    <row r="29" spans="1:14" s="1" customFormat="1" ht="77.25" customHeight="1">
      <c r="A29" s="359">
        <v>25</v>
      </c>
      <c r="C29" s="1179"/>
      <c r="D29" s="3638"/>
      <c r="E29" s="3638"/>
      <c r="F29" s="7"/>
      <c r="G29" s="271"/>
      <c r="I29" s="9"/>
      <c r="M29" s="804"/>
    </row>
    <row r="30" spans="1:14" s="1" customFormat="1" ht="18.75" customHeight="1">
      <c r="A30" s="359">
        <v>26</v>
      </c>
      <c r="C30" s="1179"/>
      <c r="D30" s="3638"/>
      <c r="E30" s="3638"/>
      <c r="F30" s="7"/>
      <c r="I30" s="9" t="s">
        <v>407</v>
      </c>
      <c r="M30" s="804"/>
    </row>
    <row r="31" spans="1:14" s="1" customFormat="1">
      <c r="A31" s="359">
        <v>27</v>
      </c>
      <c r="C31" s="1179"/>
      <c r="D31" s="7"/>
      <c r="E31" s="7"/>
      <c r="F31" s="7"/>
      <c r="I31" s="9"/>
      <c r="M31" s="804"/>
    </row>
    <row r="32" spans="1:14" s="1" customFormat="1">
      <c r="A32" s="359">
        <v>28</v>
      </c>
      <c r="C32" s="1179"/>
      <c r="D32" s="271"/>
      <c r="E32" s="271"/>
      <c r="F32" s="271"/>
      <c r="I32" s="9"/>
      <c r="M32" s="804"/>
    </row>
    <row r="33" spans="1:15" s="1" customFormat="1">
      <c r="A33" s="359">
        <v>29</v>
      </c>
      <c r="C33" s="1179"/>
      <c r="D33" s="271"/>
      <c r="E33" s="271"/>
      <c r="F33" s="271"/>
      <c r="I33" s="9"/>
      <c r="M33" s="804"/>
    </row>
    <row r="34" spans="1:15" s="1" customFormat="1">
      <c r="A34" s="359">
        <v>30</v>
      </c>
      <c r="C34" s="1179"/>
      <c r="D34" s="271"/>
      <c r="E34" s="271"/>
      <c r="F34" s="271"/>
      <c r="I34" s="9"/>
      <c r="M34" s="804"/>
      <c r="N34" s="3"/>
      <c r="O34" s="3"/>
    </row>
  </sheetData>
  <autoFilter ref="A4:Q36" xr:uid="{00000000-0009-0000-0000-000001000000}"/>
  <mergeCells count="3">
    <mergeCell ref="C1:J1"/>
    <mergeCell ref="A2:J2"/>
    <mergeCell ref="D29:E30"/>
  </mergeCells>
  <conditionalFormatting sqref="A1:A3">
    <cfRule type="duplicateValues" dxfId="879" priority="8"/>
  </conditionalFormatting>
  <conditionalFormatting sqref="A4">
    <cfRule type="duplicateValues" dxfId="878" priority="4"/>
  </conditionalFormatting>
  <conditionalFormatting sqref="B3">
    <cfRule type="duplicateValues" dxfId="877" priority="5"/>
    <cfRule type="duplicateValues" dxfId="876" priority="6"/>
    <cfRule type="duplicateValues" dxfId="875" priority="7"/>
  </conditionalFormatting>
  <conditionalFormatting sqref="B4">
    <cfRule type="duplicateValues" dxfId="874" priority="1"/>
    <cfRule type="duplicateValues" dxfId="873" priority="2"/>
    <cfRule type="duplicateValues" dxfId="872" priority="3"/>
  </conditionalFormatting>
  <pageMargins left="0.7" right="0.7" top="0.75" bottom="0.75" header="0.3" footer="0.3"/>
  <pageSetup paperSize="9" scale="49"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EF05F3-05AB-4A8B-9597-690CCD837F61}">
  <sheetPr>
    <pageSetUpPr fitToPage="1"/>
  </sheetPr>
  <dimension ref="A1:O52"/>
  <sheetViews>
    <sheetView topLeftCell="A2" zoomScale="65" zoomScaleNormal="65" workbookViewId="0">
      <pane xSplit="3" ySplit="3" topLeftCell="D32" activePane="bottomRight" state="frozen"/>
      <selection pane="topRight" activeCell="D29" sqref="D29:E30"/>
      <selection pane="bottomLeft" activeCell="D29" sqref="D29:E30"/>
      <selection pane="bottomRight" activeCell="D29" sqref="D29:E30"/>
    </sheetView>
  </sheetViews>
  <sheetFormatPr defaultColWidth="25.5703125" defaultRowHeight="18.75"/>
  <cols>
    <col min="1" max="1" width="5" style="359" customWidth="1"/>
    <col min="2" max="2" width="39" style="1" customWidth="1"/>
    <col min="3" max="3" width="16.42578125" style="1138" customWidth="1"/>
    <col min="4" max="4" width="22.28515625" style="271" customWidth="1"/>
    <col min="5" max="5" width="32.28515625" style="271" customWidth="1"/>
    <col min="6" max="6" width="22.28515625" style="271" customWidth="1"/>
    <col min="7" max="7" width="30.140625" style="1" customWidth="1"/>
    <col min="8" max="8" width="26.5703125" style="1" customWidth="1"/>
    <col min="9" max="9" width="51.7109375" style="9" customWidth="1"/>
    <col min="10" max="10" width="29.42578125" style="9" customWidth="1"/>
    <col min="11" max="11" width="24" style="9" customWidth="1"/>
    <col min="12" max="12" width="17.42578125" style="1" customWidth="1"/>
    <col min="13" max="13" width="10.28515625" style="804" hidden="1" customWidth="1"/>
    <col min="14" max="14" width="25.140625" style="3" customWidth="1"/>
    <col min="15" max="15" width="12.42578125" style="3" hidden="1" customWidth="1"/>
    <col min="16" max="16" width="34.5703125" style="3" customWidth="1"/>
    <col min="17" max="16384" width="25.5703125" style="3"/>
  </cols>
  <sheetData>
    <row r="1" spans="1:15" ht="17.25" customHeight="1">
      <c r="B1" s="10"/>
      <c r="C1" s="3624"/>
      <c r="D1" s="3624"/>
      <c r="E1" s="3624"/>
      <c r="F1" s="3624"/>
      <c r="G1" s="3624"/>
      <c r="H1" s="3624"/>
      <c r="I1" s="3624"/>
      <c r="J1" s="3624"/>
      <c r="K1" s="1349"/>
    </row>
    <row r="2" spans="1:15" ht="34.5" customHeight="1">
      <c r="A2" s="3637" t="s">
        <v>408</v>
      </c>
      <c r="B2" s="3637"/>
      <c r="C2" s="3637"/>
      <c r="D2" s="3637"/>
      <c r="E2" s="3637"/>
      <c r="F2" s="3637"/>
      <c r="G2" s="3637"/>
      <c r="H2" s="3637"/>
      <c r="I2" s="3637"/>
      <c r="J2" s="3637"/>
      <c r="K2" s="1348"/>
      <c r="L2" s="1176"/>
      <c r="M2" s="805"/>
      <c r="N2" s="1180"/>
      <c r="O2" s="287"/>
    </row>
    <row r="3" spans="1:15" ht="43.5" customHeight="1">
      <c r="A3" s="360"/>
      <c r="B3" s="385"/>
      <c r="C3" s="1177">
        <f>SUBTOTAL(9,C5:C303)</f>
        <v>195736</v>
      </c>
      <c r="D3" s="849"/>
      <c r="E3" s="849"/>
      <c r="F3" s="849"/>
      <c r="G3" s="199"/>
      <c r="H3" s="199"/>
      <c r="I3" s="202"/>
      <c r="J3" s="1350">
        <f ca="1">TODAY()</f>
        <v>45960</v>
      </c>
      <c r="K3" s="1350"/>
      <c r="L3" s="1350"/>
      <c r="M3" s="808"/>
      <c r="N3" s="287"/>
      <c r="O3" s="287"/>
    </row>
    <row r="4" spans="1:15" s="7" customFormat="1" ht="56.25" customHeight="1">
      <c r="A4" s="810" t="s">
        <v>1</v>
      </c>
      <c r="B4" s="679" t="s">
        <v>339</v>
      </c>
      <c r="C4" s="1178" t="s">
        <v>3</v>
      </c>
      <c r="D4" s="679" t="s">
        <v>4</v>
      </c>
      <c r="E4" s="679" t="s">
        <v>6</v>
      </c>
      <c r="F4" s="679" t="s">
        <v>221</v>
      </c>
      <c r="G4" s="679" t="s">
        <v>8</v>
      </c>
      <c r="H4" s="679" t="s">
        <v>9</v>
      </c>
      <c r="I4" s="812" t="s">
        <v>10</v>
      </c>
      <c r="J4" s="679" t="s">
        <v>11</v>
      </c>
      <c r="K4" s="679" t="s">
        <v>13</v>
      </c>
      <c r="L4" s="679" t="s">
        <v>5</v>
      </c>
      <c r="M4" s="813" t="s">
        <v>340</v>
      </c>
      <c r="N4" s="325" t="s">
        <v>341</v>
      </c>
      <c r="O4" s="1404" t="e">
        <f>SUM(#REF!)</f>
        <v>#REF!</v>
      </c>
    </row>
    <row r="5" spans="1:15" s="1249" customFormat="1" ht="47.25" customHeight="1">
      <c r="A5" s="1255" cm="1">
        <f t="array" ref="A5:A34">_xlfn.SEQUENCE(30,1,1,)</f>
        <v>1</v>
      </c>
      <c r="B5" s="1362" t="s">
        <v>409</v>
      </c>
      <c r="C5" s="1363">
        <v>12000</v>
      </c>
      <c r="D5" s="1364" t="s">
        <v>226</v>
      </c>
      <c r="E5" s="1365" t="s">
        <v>410</v>
      </c>
      <c r="F5" s="1366">
        <v>44572</v>
      </c>
      <c r="G5" s="1256" t="s">
        <v>19</v>
      </c>
      <c r="H5" s="1365" t="s">
        <v>286</v>
      </c>
      <c r="I5" s="1259" t="s">
        <v>411</v>
      </c>
      <c r="J5" s="1367"/>
      <c r="K5" s="1367" t="s">
        <v>412</v>
      </c>
      <c r="L5" s="1362" t="s">
        <v>387</v>
      </c>
      <c r="M5" s="1260"/>
      <c r="N5" s="1261"/>
    </row>
    <row r="6" spans="1:15" s="367" customFormat="1" ht="87" customHeight="1">
      <c r="A6" s="695">
        <v>2</v>
      </c>
      <c r="B6" s="76" t="s">
        <v>413</v>
      </c>
      <c r="C6" s="1323">
        <v>14370</v>
      </c>
      <c r="D6" s="1364" t="s">
        <v>226</v>
      </c>
      <c r="E6" s="1320" t="s">
        <v>414</v>
      </c>
      <c r="F6" s="1370" t="s">
        <v>415</v>
      </c>
      <c r="G6" s="1317" t="s">
        <v>19</v>
      </c>
      <c r="H6" s="76" t="s">
        <v>172</v>
      </c>
      <c r="I6" s="1416" t="s">
        <v>416</v>
      </c>
      <c r="J6" s="1371" t="s">
        <v>417</v>
      </c>
      <c r="K6" s="1356" t="s">
        <v>412</v>
      </c>
      <c r="L6" s="76" t="s">
        <v>43</v>
      </c>
      <c r="M6" s="1327"/>
      <c r="N6" s="76"/>
    </row>
    <row r="7" spans="1:15" s="1249" customFormat="1" ht="89.25" customHeight="1">
      <c r="A7" s="1262">
        <v>3</v>
      </c>
      <c r="B7" s="310" t="s">
        <v>418</v>
      </c>
      <c r="C7" s="1363">
        <v>10200</v>
      </c>
      <c r="D7" s="1364" t="s">
        <v>226</v>
      </c>
      <c r="E7" s="1372" t="s">
        <v>419</v>
      </c>
      <c r="F7" s="1373" t="s">
        <v>420</v>
      </c>
      <c r="G7" s="1374" t="s">
        <v>19</v>
      </c>
      <c r="H7" s="1264" t="s">
        <v>421</v>
      </c>
      <c r="I7" s="1375" t="s">
        <v>422</v>
      </c>
      <c r="J7" s="1376">
        <f>C7-5000-3000-2000</f>
        <v>200</v>
      </c>
      <c r="K7" s="1377" t="s">
        <v>412</v>
      </c>
      <c r="L7" s="310" t="s">
        <v>43</v>
      </c>
      <c r="M7" s="1378"/>
      <c r="N7" s="310"/>
    </row>
    <row r="8" spans="1:15" s="1249" customFormat="1" ht="90" customHeight="1">
      <c r="A8" s="1262">
        <v>4</v>
      </c>
      <c r="B8" s="310" t="s">
        <v>270</v>
      </c>
      <c r="C8" s="1363">
        <v>3940</v>
      </c>
      <c r="D8" s="1364" t="s">
        <v>226</v>
      </c>
      <c r="E8" s="1372" t="s">
        <v>423</v>
      </c>
      <c r="F8" s="1373"/>
      <c r="G8" s="1374" t="s">
        <v>19</v>
      </c>
      <c r="H8" s="1264" t="s">
        <v>199</v>
      </c>
      <c r="I8" s="1375" t="s">
        <v>424</v>
      </c>
      <c r="J8" s="1379"/>
      <c r="K8" s="1377" t="s">
        <v>412</v>
      </c>
      <c r="L8" s="310" t="s">
        <v>84</v>
      </c>
      <c r="M8" s="1378"/>
      <c r="N8" s="310">
        <f>C8-1000-800-650</f>
        <v>1490</v>
      </c>
    </row>
    <row r="9" spans="1:15" s="1249" customFormat="1" ht="63" customHeight="1">
      <c r="A9" s="1262">
        <v>5</v>
      </c>
      <c r="B9" s="310" t="s">
        <v>249</v>
      </c>
      <c r="C9" s="1363">
        <v>3000</v>
      </c>
      <c r="D9" s="1364" t="s">
        <v>226</v>
      </c>
      <c r="E9" s="1372" t="s">
        <v>425</v>
      </c>
      <c r="F9" s="1373"/>
      <c r="G9" s="1374" t="s">
        <v>19</v>
      </c>
      <c r="H9" s="1264" t="s">
        <v>101</v>
      </c>
      <c r="I9" s="1375" t="s">
        <v>426</v>
      </c>
      <c r="J9" s="1379"/>
      <c r="K9" s="1377" t="s">
        <v>412</v>
      </c>
      <c r="L9" s="310" t="s">
        <v>84</v>
      </c>
      <c r="M9" s="1378"/>
      <c r="N9" s="310"/>
    </row>
    <row r="10" spans="1:15" s="367" customFormat="1" ht="220.5" customHeight="1">
      <c r="A10" s="695">
        <v>6</v>
      </c>
      <c r="B10" s="76" t="s">
        <v>279</v>
      </c>
      <c r="C10" s="1323">
        <v>16000</v>
      </c>
      <c r="D10" s="1364" t="s">
        <v>226</v>
      </c>
      <c r="E10" s="1383" t="s">
        <v>427</v>
      </c>
      <c r="F10" s="91" t="s">
        <v>428</v>
      </c>
      <c r="G10" s="1380" t="s">
        <v>19</v>
      </c>
      <c r="H10" s="76" t="s">
        <v>172</v>
      </c>
      <c r="I10" s="1417" t="s">
        <v>429</v>
      </c>
      <c r="J10" s="1371" t="s">
        <v>430</v>
      </c>
      <c r="K10" s="1342" t="s">
        <v>431</v>
      </c>
      <c r="L10" s="76" t="s">
        <v>43</v>
      </c>
      <c r="M10" s="1327"/>
      <c r="N10" s="76">
        <f>16000-1900-600-1500-2700-1800-800-600</f>
        <v>6100</v>
      </c>
    </row>
    <row r="11" spans="1:15" s="367" customFormat="1" ht="56.25">
      <c r="A11" s="695">
        <v>7</v>
      </c>
      <c r="B11" s="76" t="s">
        <v>391</v>
      </c>
      <c r="C11" s="1323">
        <v>6770</v>
      </c>
      <c r="D11" s="1364" t="s">
        <v>226</v>
      </c>
      <c r="E11" s="1383" t="s">
        <v>432</v>
      </c>
      <c r="F11" s="91"/>
      <c r="G11" s="1380" t="s">
        <v>19</v>
      </c>
      <c r="H11" s="76" t="s">
        <v>172</v>
      </c>
      <c r="I11" s="1417" t="s">
        <v>433</v>
      </c>
      <c r="J11" s="1371">
        <f>6770-3000-1800</f>
        <v>1970</v>
      </c>
      <c r="K11" s="1342" t="s">
        <v>412</v>
      </c>
      <c r="L11" s="76" t="s">
        <v>16</v>
      </c>
      <c r="M11" s="1327"/>
      <c r="N11" s="76"/>
    </row>
    <row r="12" spans="1:15" s="367" customFormat="1" ht="37.5">
      <c r="A12" s="695">
        <v>8</v>
      </c>
      <c r="B12" s="76" t="s">
        <v>274</v>
      </c>
      <c r="C12" s="1323">
        <v>4250</v>
      </c>
      <c r="D12" s="1364" t="s">
        <v>226</v>
      </c>
      <c r="E12" s="1383" t="s">
        <v>434</v>
      </c>
      <c r="F12" s="91"/>
      <c r="G12" s="1380" t="s">
        <v>19</v>
      </c>
      <c r="H12" s="76" t="s">
        <v>101</v>
      </c>
      <c r="I12" s="1417" t="s">
        <v>435</v>
      </c>
      <c r="J12" s="1371" t="s">
        <v>436</v>
      </c>
      <c r="K12" s="1342" t="s">
        <v>412</v>
      </c>
      <c r="L12" s="76" t="s">
        <v>84</v>
      </c>
      <c r="M12" s="1327"/>
      <c r="N12" s="76"/>
    </row>
    <row r="13" spans="1:15" s="367" customFormat="1" ht="75">
      <c r="A13" s="695">
        <v>9</v>
      </c>
      <c r="B13" s="76" t="s">
        <v>366</v>
      </c>
      <c r="C13" s="1323">
        <v>10200</v>
      </c>
      <c r="D13" s="1364" t="s">
        <v>226</v>
      </c>
      <c r="E13" s="1383" t="s">
        <v>437</v>
      </c>
      <c r="F13" s="91" t="s">
        <v>438</v>
      </c>
      <c r="G13" s="1380" t="s">
        <v>19</v>
      </c>
      <c r="H13" s="76" t="s">
        <v>172</v>
      </c>
      <c r="I13" s="1417" t="s">
        <v>439</v>
      </c>
      <c r="J13" s="1371" t="s">
        <v>440</v>
      </c>
      <c r="K13" s="1342" t="s">
        <v>412</v>
      </c>
      <c r="L13" s="76" t="s">
        <v>43</v>
      </c>
      <c r="M13" s="1327"/>
      <c r="N13" s="76"/>
    </row>
    <row r="14" spans="1:15" s="367" customFormat="1" ht="71.25" customHeight="1">
      <c r="A14" s="362">
        <v>10</v>
      </c>
      <c r="B14" s="72" t="s">
        <v>249</v>
      </c>
      <c r="C14" s="1308">
        <v>3000</v>
      </c>
      <c r="D14" s="97" t="s">
        <v>226</v>
      </c>
      <c r="E14" s="1384" t="s">
        <v>441</v>
      </c>
      <c r="F14" s="1381"/>
      <c r="G14" s="185" t="s">
        <v>19</v>
      </c>
      <c r="H14" s="72" t="s">
        <v>442</v>
      </c>
      <c r="I14" s="1276" t="s">
        <v>443</v>
      </c>
      <c r="J14" s="1382">
        <f>3000-2000-300</f>
        <v>700</v>
      </c>
      <c r="K14" s="1356" t="s">
        <v>412</v>
      </c>
      <c r="L14" s="72" t="s">
        <v>84</v>
      </c>
      <c r="M14" s="1272"/>
      <c r="N14" s="72">
        <f>3000-2000-560</f>
        <v>440</v>
      </c>
    </row>
    <row r="15" spans="1:15" s="367" customFormat="1" ht="220.5" customHeight="1">
      <c r="A15" s="362">
        <v>11</v>
      </c>
      <c r="B15" s="72" t="s">
        <v>243</v>
      </c>
      <c r="C15" s="1308">
        <v>6000</v>
      </c>
      <c r="D15" s="97" t="s">
        <v>226</v>
      </c>
      <c r="E15" s="1384" t="s">
        <v>444</v>
      </c>
      <c r="F15" s="1381"/>
      <c r="G15" s="185" t="s">
        <v>19</v>
      </c>
      <c r="H15" s="72" t="s">
        <v>172</v>
      </c>
      <c r="I15" s="1276" t="s">
        <v>445</v>
      </c>
      <c r="J15" s="1309">
        <f>6000-2500-293</f>
        <v>3207</v>
      </c>
      <c r="K15" s="1356" t="s">
        <v>412</v>
      </c>
      <c r="L15" s="72" t="s">
        <v>16</v>
      </c>
      <c r="M15" s="1272"/>
      <c r="N15" s="72"/>
    </row>
    <row r="16" spans="1:15" s="367" customFormat="1" ht="102.75" customHeight="1">
      <c r="A16" s="695">
        <v>12</v>
      </c>
      <c r="B16" s="76" t="s">
        <v>270</v>
      </c>
      <c r="C16" s="1323">
        <v>3500</v>
      </c>
      <c r="D16" s="1324" t="s">
        <v>226</v>
      </c>
      <c r="E16" s="1385" t="s">
        <v>446</v>
      </c>
      <c r="F16" s="1386"/>
      <c r="G16" s="1317" t="s">
        <v>19</v>
      </c>
      <c r="H16" s="76" t="s">
        <v>101</v>
      </c>
      <c r="I16" s="1353" t="s">
        <v>447</v>
      </c>
      <c r="J16" s="1387"/>
      <c r="K16" s="1371" t="s">
        <v>412</v>
      </c>
      <c r="L16" s="76" t="s">
        <v>84</v>
      </c>
      <c r="M16" s="1327"/>
      <c r="N16" s="76"/>
    </row>
    <row r="17" spans="1:15" s="1249" customFormat="1" ht="172.5" customHeight="1">
      <c r="A17" s="1284">
        <v>13</v>
      </c>
      <c r="B17" s="17" t="s">
        <v>279</v>
      </c>
      <c r="C17" s="1285">
        <v>16000</v>
      </c>
      <c r="D17" s="1365" t="s">
        <v>226</v>
      </c>
      <c r="E17" s="1388" t="s">
        <v>448</v>
      </c>
      <c r="F17" s="1389"/>
      <c r="G17" s="1287" t="s">
        <v>19</v>
      </c>
      <c r="H17" s="17" t="s">
        <v>172</v>
      </c>
      <c r="I17" s="1314" t="s">
        <v>449</v>
      </c>
      <c r="J17" s="1390"/>
      <c r="K17" s="1391" t="s">
        <v>412</v>
      </c>
      <c r="L17" s="17" t="s">
        <v>43</v>
      </c>
      <c r="M17" s="1289"/>
      <c r="N17" s="17">
        <f>4400+4080+1240+660+1900+3000</f>
        <v>15280</v>
      </c>
    </row>
    <row r="18" spans="1:15" s="1249" customFormat="1" ht="40.5">
      <c r="A18" s="1284">
        <v>14</v>
      </c>
      <c r="B18" s="17" t="s">
        <v>82</v>
      </c>
      <c r="C18" s="1285">
        <v>4250</v>
      </c>
      <c r="D18" s="1365" t="s">
        <v>226</v>
      </c>
      <c r="E18" s="1388" t="s">
        <v>450</v>
      </c>
      <c r="F18" s="1389"/>
      <c r="G18" s="1287" t="s">
        <v>19</v>
      </c>
      <c r="H18" s="17" t="s">
        <v>101</v>
      </c>
      <c r="I18" s="1314" t="s">
        <v>451</v>
      </c>
      <c r="J18" s="1390"/>
      <c r="K18" s="1391" t="s">
        <v>412</v>
      </c>
      <c r="L18" s="17" t="s">
        <v>84</v>
      </c>
      <c r="M18" s="1289"/>
      <c r="N18" s="17"/>
    </row>
    <row r="19" spans="1:15" s="1249" customFormat="1" ht="150">
      <c r="A19" s="1284">
        <v>15</v>
      </c>
      <c r="B19" s="17" t="s">
        <v>249</v>
      </c>
      <c r="C19" s="1285">
        <v>3000</v>
      </c>
      <c r="D19" s="1365" t="s">
        <v>226</v>
      </c>
      <c r="E19" s="1388" t="s">
        <v>452</v>
      </c>
      <c r="F19" s="1389" t="s">
        <v>453</v>
      </c>
      <c r="G19" s="1287" t="s">
        <v>19</v>
      </c>
      <c r="H19" s="17" t="s">
        <v>454</v>
      </c>
      <c r="I19" s="1314" t="s">
        <v>455</v>
      </c>
      <c r="J19" s="1390" t="s">
        <v>456</v>
      </c>
      <c r="K19" s="1391" t="s">
        <v>457</v>
      </c>
      <c r="L19" s="17" t="s">
        <v>84</v>
      </c>
      <c r="M19" s="1289"/>
      <c r="N19" s="17"/>
    </row>
    <row r="20" spans="1:15" s="1249" customFormat="1" ht="93.75">
      <c r="A20" s="1284">
        <v>16</v>
      </c>
      <c r="B20" s="17" t="s">
        <v>458</v>
      </c>
      <c r="C20" s="1285">
        <v>8000</v>
      </c>
      <c r="D20" s="1365" t="s">
        <v>226</v>
      </c>
      <c r="E20" s="1388" t="s">
        <v>459</v>
      </c>
      <c r="F20" s="1389" t="s">
        <v>460</v>
      </c>
      <c r="G20" s="1287" t="s">
        <v>19</v>
      </c>
      <c r="H20" s="17" t="s">
        <v>172</v>
      </c>
      <c r="I20" s="1314" t="s">
        <v>461</v>
      </c>
      <c r="J20" s="1390" t="s">
        <v>462</v>
      </c>
      <c r="K20" s="1391" t="s">
        <v>431</v>
      </c>
      <c r="L20" s="17" t="s">
        <v>54</v>
      </c>
      <c r="M20" s="1289"/>
      <c r="N20" s="17"/>
    </row>
    <row r="21" spans="1:15" s="367" customFormat="1" ht="125.25" customHeight="1">
      <c r="A21" s="695">
        <v>17</v>
      </c>
      <c r="B21" s="76" t="s">
        <v>391</v>
      </c>
      <c r="C21" s="1323">
        <v>6770</v>
      </c>
      <c r="D21" s="97" t="s">
        <v>226</v>
      </c>
      <c r="E21" s="1392" t="s">
        <v>463</v>
      </c>
      <c r="F21" s="1386"/>
      <c r="G21" s="1317" t="s">
        <v>19</v>
      </c>
      <c r="H21" s="76" t="s">
        <v>63</v>
      </c>
      <c r="I21" s="1353" t="s">
        <v>464</v>
      </c>
      <c r="J21" s="1393" t="s">
        <v>465</v>
      </c>
      <c r="K21" s="1371" t="s">
        <v>457</v>
      </c>
      <c r="L21" s="76" t="s">
        <v>16</v>
      </c>
      <c r="M21" s="1327"/>
      <c r="N21" s="1328">
        <f>2000+2000+1000+200+670</f>
        <v>5870</v>
      </c>
    </row>
    <row r="22" spans="1:15" s="367" customFormat="1" ht="120.75" customHeight="1">
      <c r="A22" s="695">
        <v>18</v>
      </c>
      <c r="B22" s="76" t="s">
        <v>270</v>
      </c>
      <c r="C22" s="1323">
        <v>3940</v>
      </c>
      <c r="D22" s="97" t="s">
        <v>226</v>
      </c>
      <c r="E22" s="1392" t="s">
        <v>466</v>
      </c>
      <c r="F22" s="1386"/>
      <c r="G22" s="1317" t="s">
        <v>19</v>
      </c>
      <c r="H22" s="76" t="s">
        <v>467</v>
      </c>
      <c r="I22" s="1353" t="s">
        <v>468</v>
      </c>
      <c r="J22" s="1393">
        <f>C22-1500-1972</f>
        <v>468</v>
      </c>
      <c r="K22" s="1371" t="s">
        <v>469</v>
      </c>
      <c r="L22" s="76" t="s">
        <v>84</v>
      </c>
      <c r="M22" s="1327"/>
      <c r="N22" s="1328">
        <f>1000+650+350+1500</f>
        <v>3500</v>
      </c>
    </row>
    <row r="23" spans="1:15" s="367" customFormat="1" ht="98.25" customHeight="1">
      <c r="A23" s="362">
        <v>19</v>
      </c>
      <c r="B23" s="72" t="s">
        <v>366</v>
      </c>
      <c r="C23" s="1308">
        <v>10200</v>
      </c>
      <c r="D23" s="97" t="s">
        <v>251</v>
      </c>
      <c r="E23" s="1392" t="s">
        <v>470</v>
      </c>
      <c r="F23" s="97"/>
      <c r="G23" s="185" t="s">
        <v>19</v>
      </c>
      <c r="H23" s="72" t="s">
        <v>172</v>
      </c>
      <c r="I23" s="74" t="s">
        <v>471</v>
      </c>
      <c r="J23" s="72"/>
      <c r="K23" s="72" t="s">
        <v>412</v>
      </c>
      <c r="L23" s="72" t="s">
        <v>43</v>
      </c>
      <c r="M23" s="1272"/>
      <c r="N23" s="72">
        <f>3800+1300-10200</f>
        <v>-5100</v>
      </c>
    </row>
    <row r="24" spans="1:15" s="367" customFormat="1" ht="67.5" customHeight="1">
      <c r="A24" s="362">
        <v>20</v>
      </c>
      <c r="B24" s="72" t="s">
        <v>274</v>
      </c>
      <c r="C24" s="1308">
        <v>4250</v>
      </c>
      <c r="D24" s="1397" t="s">
        <v>226</v>
      </c>
      <c r="E24" s="1332" t="s">
        <v>472</v>
      </c>
      <c r="F24" s="1398"/>
      <c r="G24" s="185" t="s">
        <v>19</v>
      </c>
      <c r="H24" s="72" t="s">
        <v>101</v>
      </c>
      <c r="I24" s="74" t="s">
        <v>473</v>
      </c>
      <c r="J24" s="72"/>
      <c r="K24" s="72" t="s">
        <v>412</v>
      </c>
      <c r="L24" s="72" t="s">
        <v>84</v>
      </c>
      <c r="M24" s="1272"/>
      <c r="N24" s="72"/>
    </row>
    <row r="25" spans="1:15" s="855" customFormat="1" ht="46.5" customHeight="1">
      <c r="A25" s="904">
        <v>21</v>
      </c>
      <c r="B25" s="816" t="s">
        <v>249</v>
      </c>
      <c r="C25" s="1399">
        <v>3000</v>
      </c>
      <c r="D25" s="1397" t="s">
        <v>226</v>
      </c>
      <c r="E25" s="1332" t="s">
        <v>474</v>
      </c>
      <c r="F25" s="905"/>
      <c r="G25" s="182" t="s">
        <v>19</v>
      </c>
      <c r="H25" s="182" t="s">
        <v>101</v>
      </c>
      <c r="I25" s="512" t="s">
        <v>473</v>
      </c>
      <c r="J25" s="182"/>
      <c r="K25" s="182"/>
      <c r="L25" s="182" t="s">
        <v>84</v>
      </c>
      <c r="M25" s="1400"/>
      <c r="N25" s="182"/>
      <c r="O25" s="389"/>
    </row>
    <row r="26" spans="1:15" s="367" customFormat="1" ht="207" customHeight="1">
      <c r="A26" s="362">
        <v>22</v>
      </c>
      <c r="B26" s="72" t="s">
        <v>475</v>
      </c>
      <c r="C26" s="1308">
        <v>16000</v>
      </c>
      <c r="D26" s="97" t="s">
        <v>251</v>
      </c>
      <c r="E26" s="1332" t="s">
        <v>476</v>
      </c>
      <c r="F26" s="97"/>
      <c r="G26" s="185" t="s">
        <v>19</v>
      </c>
      <c r="H26" s="72" t="s">
        <v>172</v>
      </c>
      <c r="I26" s="1276" t="s">
        <v>477</v>
      </c>
      <c r="J26" s="97">
        <f>500+1300+1000+3000+135+800+3000+4500+100+200</f>
        <v>14535</v>
      </c>
      <c r="K26" s="72"/>
      <c r="L26" s="72" t="s">
        <v>43</v>
      </c>
      <c r="M26" s="1272"/>
      <c r="N26" s="72"/>
    </row>
    <row r="27" spans="1:15" s="367" customFormat="1" ht="111" customHeight="1">
      <c r="A27" s="362">
        <v>23</v>
      </c>
      <c r="B27" s="72" t="s">
        <v>478</v>
      </c>
      <c r="C27" s="1308">
        <v>5000</v>
      </c>
      <c r="D27" s="97" t="s">
        <v>226</v>
      </c>
      <c r="E27" s="1332" t="s">
        <v>479</v>
      </c>
      <c r="F27" s="97"/>
      <c r="G27" s="185" t="s">
        <v>19</v>
      </c>
      <c r="H27" s="72" t="s">
        <v>480</v>
      </c>
      <c r="I27" s="1276" t="s">
        <v>481</v>
      </c>
      <c r="J27" s="1310" t="s">
        <v>482</v>
      </c>
      <c r="K27" s="72" t="s">
        <v>469</v>
      </c>
      <c r="L27" s="72" t="s">
        <v>483</v>
      </c>
      <c r="M27" s="1272"/>
      <c r="N27" s="72"/>
    </row>
    <row r="28" spans="1:15" s="367" customFormat="1" ht="87" customHeight="1">
      <c r="A28" s="362">
        <v>24</v>
      </c>
      <c r="B28" s="72" t="s">
        <v>391</v>
      </c>
      <c r="C28" s="1308">
        <v>6771</v>
      </c>
      <c r="D28" s="97" t="s">
        <v>251</v>
      </c>
      <c r="E28" s="1332" t="s">
        <v>484</v>
      </c>
      <c r="F28" s="97"/>
      <c r="G28" s="185" t="s">
        <v>19</v>
      </c>
      <c r="H28" s="72" t="s">
        <v>123</v>
      </c>
      <c r="I28" s="74" t="s">
        <v>485</v>
      </c>
      <c r="J28" s="72"/>
      <c r="K28" s="72"/>
      <c r="L28" s="72" t="s">
        <v>16</v>
      </c>
      <c r="M28" s="1272"/>
      <c r="N28" s="72"/>
      <c r="O28" s="148"/>
    </row>
    <row r="29" spans="1:15" s="1413" customFormat="1" ht="201.75" customHeight="1">
      <c r="A29" s="1405">
        <v>25</v>
      </c>
      <c r="B29" s="1406" t="s">
        <v>342</v>
      </c>
      <c r="C29" s="1407">
        <v>8075</v>
      </c>
      <c r="D29" s="1408" t="s">
        <v>353</v>
      </c>
      <c r="E29" s="1409" t="s">
        <v>486</v>
      </c>
      <c r="F29" s="1408"/>
      <c r="G29" s="1410" t="s">
        <v>19</v>
      </c>
      <c r="H29" s="1406" t="s">
        <v>172</v>
      </c>
      <c r="I29" s="1415" t="s">
        <v>487</v>
      </c>
      <c r="J29" s="1411"/>
      <c r="K29" s="1406"/>
      <c r="L29" s="1406" t="s">
        <v>89</v>
      </c>
      <c r="M29" s="1412"/>
      <c r="N29" s="1406">
        <f>8075-1500-1800-2200-100-475</f>
        <v>2000</v>
      </c>
    </row>
    <row r="30" spans="1:15" s="1" customFormat="1" ht="67.5" customHeight="1">
      <c r="A30" s="360">
        <v>26</v>
      </c>
      <c r="B30" s="41" t="s">
        <v>249</v>
      </c>
      <c r="C30" s="1401">
        <v>3000</v>
      </c>
      <c r="D30" s="90" t="s">
        <v>353</v>
      </c>
      <c r="E30" s="1402" t="s">
        <v>488</v>
      </c>
      <c r="F30" s="90"/>
      <c r="G30" s="1254" t="s">
        <v>19</v>
      </c>
      <c r="H30" s="41" t="s">
        <v>346</v>
      </c>
      <c r="I30" s="507" t="s">
        <v>347</v>
      </c>
      <c r="J30" s="41"/>
      <c r="K30" s="41"/>
      <c r="L30" s="41" t="s">
        <v>84</v>
      </c>
      <c r="M30" s="1403"/>
      <c r="N30" s="41"/>
    </row>
    <row r="31" spans="1:15" s="1" customFormat="1" ht="67.5" customHeight="1">
      <c r="A31" s="360">
        <v>27</v>
      </c>
      <c r="B31" s="41" t="s">
        <v>274</v>
      </c>
      <c r="C31" s="1401">
        <v>4250</v>
      </c>
      <c r="D31" s="90" t="s">
        <v>489</v>
      </c>
      <c r="E31" s="1402" t="s">
        <v>490</v>
      </c>
      <c r="F31" s="90"/>
      <c r="G31" s="1254" t="s">
        <v>19</v>
      </c>
      <c r="H31" s="41" t="s">
        <v>63</v>
      </c>
      <c r="I31" s="507" t="s">
        <v>491</v>
      </c>
      <c r="J31" s="90" t="s">
        <v>350</v>
      </c>
      <c r="K31" s="41"/>
      <c r="L31" s="41" t="s">
        <v>84</v>
      </c>
      <c r="M31" s="1403"/>
      <c r="N31" s="41"/>
    </row>
    <row r="32" spans="1:15" s="1" customFormat="1" ht="56.25" customHeight="1">
      <c r="A32" s="359">
        <v>28</v>
      </c>
      <c r="B32" s="1" t="s">
        <v>384</v>
      </c>
      <c r="C32" s="1394"/>
      <c r="D32" s="271"/>
      <c r="E32" s="1395"/>
      <c r="F32" s="271"/>
      <c r="G32" s="759"/>
      <c r="I32" s="477"/>
      <c r="J32" s="1396"/>
      <c r="M32" s="837"/>
      <c r="N32" s="1396"/>
    </row>
    <row r="33" spans="1:14" s="1" customFormat="1" ht="56.25" customHeight="1">
      <c r="A33" s="359">
        <v>29</v>
      </c>
      <c r="C33" s="1394"/>
      <c r="D33" s="271"/>
      <c r="E33" s="1395"/>
      <c r="F33" s="271"/>
      <c r="G33" s="759"/>
      <c r="I33" s="477"/>
      <c r="J33" s="1396"/>
      <c r="M33" s="837"/>
      <c r="N33" s="1396"/>
    </row>
    <row r="34" spans="1:14" s="1" customFormat="1" ht="38.25" customHeight="1">
      <c r="A34" s="359">
        <v>30</v>
      </c>
      <c r="C34" s="1179"/>
      <c r="D34" s="271"/>
      <c r="E34" s="271"/>
      <c r="F34" s="271"/>
      <c r="H34" s="1" t="s">
        <v>172</v>
      </c>
      <c r="I34" s="477" t="s">
        <v>492</v>
      </c>
      <c r="M34" s="804"/>
    </row>
    <row r="35" spans="1:14" s="1" customFormat="1" ht="37.5">
      <c r="A35" s="359"/>
      <c r="C35" s="1179"/>
      <c r="D35" s="271"/>
      <c r="E35" s="271"/>
      <c r="F35" s="271"/>
      <c r="H35" s="1" t="s">
        <v>63</v>
      </c>
      <c r="I35" s="477" t="s">
        <v>493</v>
      </c>
      <c r="M35" s="804"/>
    </row>
    <row r="52" spans="9:9" s="1" customFormat="1">
      <c r="I52" s="9" t="s">
        <v>494</v>
      </c>
    </row>
  </sheetData>
  <autoFilter ref="A4:Q51" xr:uid="{00000000-0009-0000-0000-000001000000}"/>
  <mergeCells count="2">
    <mergeCell ref="C1:J1"/>
    <mergeCell ref="A2:J2"/>
  </mergeCells>
  <conditionalFormatting sqref="A1:A3">
    <cfRule type="duplicateValues" dxfId="871" priority="8"/>
  </conditionalFormatting>
  <conditionalFormatting sqref="A4">
    <cfRule type="duplicateValues" dxfId="870" priority="4"/>
  </conditionalFormatting>
  <conditionalFormatting sqref="B3">
    <cfRule type="duplicateValues" dxfId="869" priority="5"/>
    <cfRule type="duplicateValues" dxfId="868" priority="6"/>
    <cfRule type="duplicateValues" dxfId="867" priority="7"/>
  </conditionalFormatting>
  <conditionalFormatting sqref="B4">
    <cfRule type="duplicateValues" dxfId="866" priority="1"/>
    <cfRule type="duplicateValues" dxfId="865" priority="2"/>
    <cfRule type="duplicateValues" dxfId="864" priority="3"/>
  </conditionalFormatting>
  <pageMargins left="0.7" right="0.7" top="0.75" bottom="0.75" header="0.3" footer="0.3"/>
  <pageSetup paperSize="9" scale="53" orientation="landscape"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filterMode="1">
    <pageSetUpPr fitToPage="1"/>
  </sheetPr>
  <dimension ref="A1:M86"/>
  <sheetViews>
    <sheetView topLeftCell="A2" zoomScale="70" zoomScaleNormal="70" workbookViewId="0">
      <pane xSplit="3" ySplit="3" topLeftCell="H41" activePane="bottomRight" state="frozen"/>
      <selection pane="topRight" activeCell="D29" sqref="D29:E30"/>
      <selection pane="bottomLeft" activeCell="D29" sqref="D29:E30"/>
      <selection pane="bottomRight" activeCell="D29" sqref="D29:E30"/>
    </sheetView>
  </sheetViews>
  <sheetFormatPr defaultColWidth="25.5703125" defaultRowHeight="18.75"/>
  <cols>
    <col min="1" max="1" width="5" style="359" customWidth="1"/>
    <col min="2" max="2" width="24.42578125" style="1" customWidth="1"/>
    <col min="3" max="3" width="19.140625" style="1138" customWidth="1"/>
    <col min="4" max="4" width="18.85546875" style="271" customWidth="1"/>
    <col min="5" max="5" width="19.85546875" style="271" customWidth="1"/>
    <col min="6" max="6" width="17.42578125" style="1" customWidth="1"/>
    <col min="7" max="7" width="17.28515625" style="1" customWidth="1"/>
    <col min="8" max="8" width="58.42578125" style="9" customWidth="1"/>
    <col min="9" max="9" width="48.42578125" style="9" customWidth="1"/>
    <col min="10" max="10" width="25.5703125" style="1" customWidth="1"/>
    <col min="11" max="11" width="10.28515625" style="804" hidden="1" customWidth="1"/>
    <col min="12" max="12" width="25.5703125" style="3" customWidth="1"/>
    <col min="13" max="13" width="15.42578125" style="3" customWidth="1"/>
    <col min="14" max="14" width="34.5703125" style="3" customWidth="1"/>
    <col min="15" max="16384" width="25.5703125" style="3"/>
  </cols>
  <sheetData>
    <row r="1" spans="1:13" ht="17.25" customHeight="1">
      <c r="B1" s="10"/>
      <c r="C1" s="3624"/>
      <c r="D1" s="3624"/>
      <c r="E1" s="3624"/>
      <c r="F1" s="3624"/>
      <c r="G1" s="3624"/>
      <c r="H1" s="3624"/>
      <c r="I1" s="3624"/>
    </row>
    <row r="2" spans="1:13" ht="34.5" customHeight="1">
      <c r="A2" s="3637" t="s">
        <v>495</v>
      </c>
      <c r="B2" s="3637"/>
      <c r="C2" s="3637"/>
      <c r="D2" s="3637"/>
      <c r="E2" s="3637"/>
      <c r="F2" s="3637"/>
      <c r="G2" s="3637"/>
      <c r="H2" s="3637"/>
      <c r="I2" s="3637"/>
      <c r="J2" s="1139"/>
      <c r="K2" s="805"/>
      <c r="L2" s="196"/>
      <c r="M2" s="197"/>
    </row>
    <row r="3" spans="1:13" ht="13.5" customHeight="1">
      <c r="A3" s="360"/>
      <c r="B3" s="385"/>
      <c r="C3" s="1136">
        <f>SUBTOTAL(9,C7:C375)</f>
        <v>192114</v>
      </c>
      <c r="D3" s="378"/>
      <c r="E3" s="849"/>
      <c r="F3" s="201"/>
      <c r="G3" s="199"/>
      <c r="H3" s="202"/>
      <c r="I3" s="3639">
        <f ca="1">TODAY()</f>
        <v>45960</v>
      </c>
      <c r="J3" s="3639"/>
      <c r="K3" s="808"/>
      <c r="L3" s="197"/>
      <c r="M3" s="197"/>
    </row>
    <row r="4" spans="1:13" s="7" customFormat="1" ht="49.5">
      <c r="A4" s="810" t="s">
        <v>1</v>
      </c>
      <c r="B4" s="679" t="s">
        <v>339</v>
      </c>
      <c r="C4" s="1137" t="s">
        <v>3</v>
      </c>
      <c r="D4" s="679" t="s">
        <v>4</v>
      </c>
      <c r="E4" s="679" t="s">
        <v>6</v>
      </c>
      <c r="F4" s="679" t="s">
        <v>8</v>
      </c>
      <c r="G4" s="679" t="s">
        <v>9</v>
      </c>
      <c r="H4" s="812" t="s">
        <v>10</v>
      </c>
      <c r="I4" s="679" t="s">
        <v>11</v>
      </c>
      <c r="J4" s="679" t="s">
        <v>5</v>
      </c>
      <c r="K4" s="813" t="s">
        <v>340</v>
      </c>
      <c r="L4" s="753" t="s">
        <v>341</v>
      </c>
      <c r="M4" s="754">
        <f>SUM(M5:M10)</f>
        <v>176641</v>
      </c>
    </row>
    <row r="5" spans="1:13" s="336" customFormat="1" ht="48.75" customHeight="1">
      <c r="A5" s="797" cm="1">
        <f t="array" ref="A5:A64">_xlfn.SEQUENCE(60,1,1,)</f>
        <v>1</v>
      </c>
      <c r="B5" s="115" t="s">
        <v>496</v>
      </c>
      <c r="C5" s="1140">
        <v>3200</v>
      </c>
      <c r="D5" s="380" t="s">
        <v>226</v>
      </c>
      <c r="E5" s="380" t="s">
        <v>497</v>
      </c>
      <c r="F5" s="91" t="s">
        <v>19</v>
      </c>
      <c r="G5" s="91" t="s">
        <v>101</v>
      </c>
      <c r="H5" s="1141" t="s">
        <v>498</v>
      </c>
      <c r="I5" s="1142"/>
      <c r="J5" s="154" t="s">
        <v>84</v>
      </c>
      <c r="K5" s="1082">
        <f t="shared" ref="K5:K51" si="0">C5</f>
        <v>3200</v>
      </c>
      <c r="L5" s="241" t="s">
        <v>43</v>
      </c>
      <c r="M5" s="242">
        <f t="shared" ref="M5:M10" si="1">SUMIF($J:$J,L5,K:K)</f>
        <v>26500</v>
      </c>
    </row>
    <row r="6" spans="1:13" s="336" customFormat="1" ht="48.75" customHeight="1">
      <c r="A6" s="797">
        <v>2</v>
      </c>
      <c r="B6" s="91" t="s">
        <v>499</v>
      </c>
      <c r="C6" s="1140">
        <v>3250</v>
      </c>
      <c r="D6" s="380" t="s">
        <v>226</v>
      </c>
      <c r="E6" s="380" t="s">
        <v>500</v>
      </c>
      <c r="F6" s="91" t="s">
        <v>19</v>
      </c>
      <c r="G6" s="115" t="s">
        <v>253</v>
      </c>
      <c r="H6" s="93" t="s">
        <v>501</v>
      </c>
      <c r="I6" s="1143" t="s">
        <v>502</v>
      </c>
      <c r="J6" s="154" t="s">
        <v>89</v>
      </c>
      <c r="K6" s="1082">
        <f t="shared" si="0"/>
        <v>3250</v>
      </c>
      <c r="L6" s="852" t="s">
        <v>54</v>
      </c>
      <c r="M6" s="242">
        <f t="shared" si="1"/>
        <v>12300</v>
      </c>
    </row>
    <row r="7" spans="1:13" s="336" customFormat="1" ht="90" customHeight="1">
      <c r="A7" s="797">
        <v>3</v>
      </c>
      <c r="B7" s="91" t="s">
        <v>503</v>
      </c>
      <c r="C7" s="1140">
        <v>4060</v>
      </c>
      <c r="D7" s="380" t="s">
        <v>226</v>
      </c>
      <c r="E7" s="380" t="s">
        <v>504</v>
      </c>
      <c r="F7" s="91" t="s">
        <v>19</v>
      </c>
      <c r="G7" s="115" t="s">
        <v>505</v>
      </c>
      <c r="H7" s="93" t="s">
        <v>506</v>
      </c>
      <c r="I7" s="1143" t="s">
        <v>507</v>
      </c>
      <c r="J7" s="154" t="s">
        <v>16</v>
      </c>
      <c r="K7" s="1082">
        <f t="shared" si="0"/>
        <v>4060</v>
      </c>
      <c r="L7" s="247" t="s">
        <v>16</v>
      </c>
      <c r="M7" s="242">
        <f t="shared" si="1"/>
        <v>45430</v>
      </c>
    </row>
    <row r="8" spans="1:13" s="855" customFormat="1" ht="53.25" customHeight="1">
      <c r="A8" s="706">
        <v>4</v>
      </c>
      <c r="B8" s="177" t="s">
        <v>508</v>
      </c>
      <c r="C8" s="186">
        <v>15000</v>
      </c>
      <c r="D8" s="707" t="s">
        <v>226</v>
      </c>
      <c r="E8" s="388" t="s">
        <v>509</v>
      </c>
      <c r="F8" s="177" t="s">
        <v>19</v>
      </c>
      <c r="G8" s="177" t="s">
        <v>510</v>
      </c>
      <c r="H8" s="188" t="s">
        <v>511</v>
      </c>
      <c r="I8" s="854" t="s">
        <v>512</v>
      </c>
      <c r="J8" s="177" t="s">
        <v>513</v>
      </c>
      <c r="K8" s="1082">
        <f t="shared" si="0"/>
        <v>15000</v>
      </c>
      <c r="L8" s="1070" t="s">
        <v>514</v>
      </c>
      <c r="M8" s="210">
        <f t="shared" si="1"/>
        <v>8361</v>
      </c>
    </row>
    <row r="9" spans="1:13" s="367" customFormat="1" ht="53.25" customHeight="1">
      <c r="A9" s="797">
        <v>5</v>
      </c>
      <c r="B9" s="91" t="s">
        <v>515</v>
      </c>
      <c r="C9" s="120">
        <v>3050</v>
      </c>
      <c r="D9" s="707" t="s">
        <v>226</v>
      </c>
      <c r="E9" s="380" t="s">
        <v>516</v>
      </c>
      <c r="F9" s="91" t="s">
        <v>19</v>
      </c>
      <c r="G9" s="91" t="s">
        <v>517</v>
      </c>
      <c r="H9" s="119" t="s">
        <v>518</v>
      </c>
      <c r="I9" s="119"/>
      <c r="J9" s="91" t="s">
        <v>89</v>
      </c>
      <c r="K9" s="1082">
        <f t="shared" si="0"/>
        <v>3050</v>
      </c>
      <c r="L9" s="1070" t="s">
        <v>84</v>
      </c>
      <c r="M9" s="242">
        <f t="shared" si="1"/>
        <v>41050</v>
      </c>
    </row>
    <row r="10" spans="1:13" s="367" customFormat="1" ht="61.5" customHeight="1">
      <c r="A10" s="706">
        <v>6</v>
      </c>
      <c r="B10" s="115" t="s">
        <v>519</v>
      </c>
      <c r="C10" s="1140">
        <v>1150</v>
      </c>
      <c r="D10" s="707" t="s">
        <v>226</v>
      </c>
      <c r="E10" s="380" t="s">
        <v>520</v>
      </c>
      <c r="F10" s="91" t="s">
        <v>19</v>
      </c>
      <c r="G10" s="91" t="s">
        <v>172</v>
      </c>
      <c r="H10" s="1144" t="s">
        <v>521</v>
      </c>
      <c r="I10" s="1145" t="s">
        <v>522</v>
      </c>
      <c r="J10" s="154" t="s">
        <v>54</v>
      </c>
      <c r="K10" s="1082">
        <f t="shared" si="0"/>
        <v>1150</v>
      </c>
      <c r="L10" s="177" t="s">
        <v>89</v>
      </c>
      <c r="M10" s="242">
        <f t="shared" si="1"/>
        <v>43000</v>
      </c>
    </row>
    <row r="11" spans="1:13" s="336" customFormat="1" ht="56.25" customHeight="1">
      <c r="A11" s="927">
        <v>7</v>
      </c>
      <c r="B11" s="115" t="s">
        <v>523</v>
      </c>
      <c r="C11" s="1140">
        <v>4000</v>
      </c>
      <c r="D11" s="707" t="s">
        <v>226</v>
      </c>
      <c r="E11" s="380" t="s">
        <v>524</v>
      </c>
      <c r="F11" s="91" t="s">
        <v>19</v>
      </c>
      <c r="G11" s="91" t="s">
        <v>172</v>
      </c>
      <c r="H11" s="1144" t="s">
        <v>525</v>
      </c>
      <c r="I11" s="1145" t="s">
        <v>522</v>
      </c>
      <c r="J11" s="154" t="s">
        <v>84</v>
      </c>
      <c r="K11" s="1082">
        <f t="shared" si="0"/>
        <v>4000</v>
      </c>
    </row>
    <row r="12" spans="1:13" s="336" customFormat="1" ht="48.75" customHeight="1">
      <c r="A12" s="786">
        <v>8</v>
      </c>
      <c r="B12" s="89" t="s">
        <v>526</v>
      </c>
      <c r="C12" s="1146">
        <v>3400</v>
      </c>
      <c r="D12" s="707" t="s">
        <v>226</v>
      </c>
      <c r="E12" s="133" t="s">
        <v>527</v>
      </c>
      <c r="F12" s="87" t="s">
        <v>19</v>
      </c>
      <c r="G12" s="87" t="s">
        <v>517</v>
      </c>
      <c r="H12" s="146" t="s">
        <v>528</v>
      </c>
      <c r="I12" s="1145" t="s">
        <v>522</v>
      </c>
      <c r="J12" s="129" t="s">
        <v>43</v>
      </c>
      <c r="K12" s="1082">
        <f t="shared" si="0"/>
        <v>3400</v>
      </c>
    </row>
    <row r="13" spans="1:13" s="336" customFormat="1" ht="56.25" customHeight="1">
      <c r="A13" s="927">
        <v>9</v>
      </c>
      <c r="B13" s="115" t="s">
        <v>529</v>
      </c>
      <c r="C13" s="1140">
        <v>3800</v>
      </c>
      <c r="D13" s="707" t="s">
        <v>226</v>
      </c>
      <c r="E13" s="380" t="s">
        <v>530</v>
      </c>
      <c r="F13" s="91" t="s">
        <v>19</v>
      </c>
      <c r="G13" s="91" t="s">
        <v>172</v>
      </c>
      <c r="H13" s="1144" t="s">
        <v>525</v>
      </c>
      <c r="I13" s="1145" t="s">
        <v>522</v>
      </c>
      <c r="J13" s="154" t="s">
        <v>16</v>
      </c>
      <c r="K13" s="1082">
        <f t="shared" si="0"/>
        <v>3800</v>
      </c>
    </row>
    <row r="14" spans="1:13" s="336" customFormat="1" ht="56.25" customHeight="1">
      <c r="A14" s="786">
        <v>10</v>
      </c>
      <c r="B14" s="115" t="s">
        <v>531</v>
      </c>
      <c r="C14" s="1140">
        <v>2787</v>
      </c>
      <c r="D14" s="707" t="s">
        <v>226</v>
      </c>
      <c r="E14" s="380" t="s">
        <v>532</v>
      </c>
      <c r="F14" s="91" t="s">
        <v>19</v>
      </c>
      <c r="G14" s="91" t="s">
        <v>172</v>
      </c>
      <c r="H14" s="1144" t="s">
        <v>533</v>
      </c>
      <c r="I14" s="1145" t="s">
        <v>522</v>
      </c>
      <c r="J14" s="154" t="s">
        <v>514</v>
      </c>
      <c r="K14" s="1082">
        <f t="shared" si="0"/>
        <v>2787</v>
      </c>
    </row>
    <row r="15" spans="1:13" s="367" customFormat="1" ht="53.25" customHeight="1">
      <c r="A15" s="971">
        <v>11</v>
      </c>
      <c r="B15" s="87" t="s">
        <v>534</v>
      </c>
      <c r="C15" s="1151">
        <v>3750</v>
      </c>
      <c r="D15" s="707" t="s">
        <v>226</v>
      </c>
      <c r="E15" s="133" t="s">
        <v>535</v>
      </c>
      <c r="F15" s="87" t="s">
        <v>19</v>
      </c>
      <c r="G15" s="87" t="s">
        <v>199</v>
      </c>
      <c r="H15" s="93" t="s">
        <v>536</v>
      </c>
      <c r="I15" s="133"/>
      <c r="J15" s="87" t="s">
        <v>43</v>
      </c>
      <c r="K15" s="1082">
        <f t="shared" si="0"/>
        <v>3750</v>
      </c>
      <c r="L15" s="336"/>
      <c r="M15" s="336"/>
    </row>
    <row r="16" spans="1:13" s="367" customFormat="1" ht="50.25" customHeight="1">
      <c r="A16" s="927">
        <v>12</v>
      </c>
      <c r="B16" s="87" t="s">
        <v>537</v>
      </c>
      <c r="C16" s="1151">
        <v>4350</v>
      </c>
      <c r="D16" s="707" t="s">
        <v>226</v>
      </c>
      <c r="E16" s="133" t="s">
        <v>538</v>
      </c>
      <c r="F16" s="87" t="s">
        <v>19</v>
      </c>
      <c r="G16" s="91" t="s">
        <v>172</v>
      </c>
      <c r="H16" s="108" t="s">
        <v>539</v>
      </c>
      <c r="I16" s="87"/>
      <c r="J16" s="87" t="s">
        <v>16</v>
      </c>
      <c r="K16" s="1082">
        <f t="shared" si="0"/>
        <v>4350</v>
      </c>
      <c r="L16" s="336"/>
      <c r="M16" s="336"/>
    </row>
    <row r="17" spans="1:13" s="367" customFormat="1" ht="50.25" customHeight="1">
      <c r="A17" s="927">
        <v>13</v>
      </c>
      <c r="B17" s="87" t="s">
        <v>540</v>
      </c>
      <c r="C17" s="1151">
        <v>3550</v>
      </c>
      <c r="D17" s="707" t="s">
        <v>226</v>
      </c>
      <c r="E17" s="133" t="s">
        <v>541</v>
      </c>
      <c r="F17" s="87" t="s">
        <v>19</v>
      </c>
      <c r="G17" s="91" t="s">
        <v>517</v>
      </c>
      <c r="H17" s="93" t="s">
        <v>542</v>
      </c>
      <c r="I17" s="87"/>
      <c r="J17" s="87" t="s">
        <v>43</v>
      </c>
      <c r="K17" s="1082">
        <f t="shared" si="0"/>
        <v>3550</v>
      </c>
      <c r="L17" s="336"/>
      <c r="M17" s="336"/>
    </row>
    <row r="18" spans="1:13" s="336" customFormat="1" ht="56.25" customHeight="1">
      <c r="A18" s="927">
        <v>14</v>
      </c>
      <c r="B18" s="115" t="s">
        <v>543</v>
      </c>
      <c r="C18" s="1140">
        <v>4500</v>
      </c>
      <c r="D18" s="707" t="s">
        <v>226</v>
      </c>
      <c r="E18" s="380" t="s">
        <v>544</v>
      </c>
      <c r="F18" s="91" t="s">
        <v>19</v>
      </c>
      <c r="G18" s="91" t="s">
        <v>172</v>
      </c>
      <c r="H18" s="1144" t="s">
        <v>545</v>
      </c>
      <c r="I18" s="1145" t="s">
        <v>522</v>
      </c>
      <c r="J18" s="154" t="s">
        <v>43</v>
      </c>
      <c r="K18" s="1082">
        <f t="shared" si="0"/>
        <v>4500</v>
      </c>
    </row>
    <row r="19" spans="1:13" s="367" customFormat="1" ht="72" customHeight="1">
      <c r="A19" s="971">
        <v>15</v>
      </c>
      <c r="B19" s="87" t="s">
        <v>546</v>
      </c>
      <c r="C19" s="1146">
        <v>4600</v>
      </c>
      <c r="D19" s="707" t="s">
        <v>226</v>
      </c>
      <c r="E19" s="133" t="s">
        <v>547</v>
      </c>
      <c r="F19" s="87" t="s">
        <v>19</v>
      </c>
      <c r="G19" s="91" t="s">
        <v>172</v>
      </c>
      <c r="H19" s="1144" t="s">
        <v>548</v>
      </c>
      <c r="I19" s="1145" t="s">
        <v>522</v>
      </c>
      <c r="J19" s="87" t="s">
        <v>54</v>
      </c>
      <c r="K19" s="1082">
        <f t="shared" si="0"/>
        <v>4600</v>
      </c>
      <c r="L19" s="336"/>
      <c r="M19" s="336"/>
    </row>
    <row r="20" spans="1:13" s="367" customFormat="1" ht="42.75" customHeight="1">
      <c r="A20" s="706">
        <v>16</v>
      </c>
      <c r="B20" s="115" t="s">
        <v>549</v>
      </c>
      <c r="C20" s="1140">
        <v>3500</v>
      </c>
      <c r="D20" s="707" t="s">
        <v>226</v>
      </c>
      <c r="E20" s="380" t="s">
        <v>550</v>
      </c>
      <c r="F20" s="91" t="s">
        <v>19</v>
      </c>
      <c r="G20" s="91" t="s">
        <v>172</v>
      </c>
      <c r="H20" s="1144" t="s">
        <v>551</v>
      </c>
      <c r="I20" s="1168" t="s">
        <v>522</v>
      </c>
      <c r="J20" s="154" t="s">
        <v>84</v>
      </c>
      <c r="K20" s="1082">
        <f t="shared" si="0"/>
        <v>3500</v>
      </c>
      <c r="L20" s="1152"/>
      <c r="M20" s="853"/>
    </row>
    <row r="21" spans="1:13" s="336" customFormat="1" ht="56.25" customHeight="1">
      <c r="A21" s="971">
        <v>17</v>
      </c>
      <c r="B21" s="115" t="s">
        <v>552</v>
      </c>
      <c r="C21" s="1140">
        <v>3250</v>
      </c>
      <c r="D21" s="707" t="s">
        <v>226</v>
      </c>
      <c r="E21" s="380" t="s">
        <v>553</v>
      </c>
      <c r="F21" s="91" t="s">
        <v>19</v>
      </c>
      <c r="G21" s="91" t="s">
        <v>253</v>
      </c>
      <c r="H21" s="1144" t="s">
        <v>554</v>
      </c>
      <c r="I21" s="1153" t="s">
        <v>555</v>
      </c>
      <c r="J21" s="154" t="s">
        <v>89</v>
      </c>
      <c r="K21" s="1082">
        <f t="shared" si="0"/>
        <v>3250</v>
      </c>
    </row>
    <row r="22" spans="1:13" s="1155" customFormat="1" ht="68.25" customHeight="1">
      <c r="A22" s="1140">
        <v>18</v>
      </c>
      <c r="B22" s="1156" t="s">
        <v>534</v>
      </c>
      <c r="C22" s="1140">
        <v>4300</v>
      </c>
      <c r="D22" s="707" t="s">
        <v>226</v>
      </c>
      <c r="E22" s="1157" t="s">
        <v>556</v>
      </c>
      <c r="F22" s="1140" t="s">
        <v>19</v>
      </c>
      <c r="G22" s="1156" t="s">
        <v>172</v>
      </c>
      <c r="H22" s="1159" t="s">
        <v>557</v>
      </c>
      <c r="I22" s="1140" t="s">
        <v>558</v>
      </c>
      <c r="J22" s="1156" t="s">
        <v>89</v>
      </c>
      <c r="K22" s="1082">
        <f t="shared" si="0"/>
        <v>4300</v>
      </c>
      <c r="L22" s="1140"/>
      <c r="M22" s="1140"/>
    </row>
    <row r="23" spans="1:13" s="1154" customFormat="1" ht="44.25" customHeight="1">
      <c r="A23" s="1140">
        <v>19</v>
      </c>
      <c r="B23" s="1156" t="s">
        <v>559</v>
      </c>
      <c r="C23" s="1140">
        <v>3280</v>
      </c>
      <c r="D23" s="707" t="s">
        <v>226</v>
      </c>
      <c r="E23" s="1157" t="s">
        <v>560</v>
      </c>
      <c r="F23" s="1140" t="s">
        <v>19</v>
      </c>
      <c r="G23" s="1156" t="s">
        <v>517</v>
      </c>
      <c r="H23" s="1158" t="s">
        <v>542</v>
      </c>
      <c r="I23" s="1140" t="s">
        <v>561</v>
      </c>
      <c r="J23" s="1156" t="s">
        <v>89</v>
      </c>
      <c r="K23" s="1082">
        <f t="shared" si="0"/>
        <v>3280</v>
      </c>
      <c r="L23" s="1140"/>
      <c r="M23" s="1140"/>
    </row>
    <row r="24" spans="1:13" ht="59.25" hidden="1" customHeight="1">
      <c r="A24" s="1140">
        <v>20</v>
      </c>
      <c r="B24" s="1156" t="s">
        <v>562</v>
      </c>
      <c r="C24" s="1140">
        <v>2787</v>
      </c>
      <c r="D24" s="707" t="s">
        <v>226</v>
      </c>
      <c r="E24" s="1157" t="s">
        <v>563</v>
      </c>
      <c r="F24" s="1156" t="s">
        <v>19</v>
      </c>
      <c r="G24" s="1156" t="s">
        <v>172</v>
      </c>
      <c r="H24" s="1159" t="s">
        <v>533</v>
      </c>
      <c r="I24" s="1140"/>
      <c r="J24" s="1156" t="s">
        <v>514</v>
      </c>
      <c r="K24" s="1082">
        <f t="shared" si="0"/>
        <v>2787</v>
      </c>
      <c r="L24" s="1140"/>
      <c r="M24" s="1140"/>
    </row>
    <row r="25" spans="1:13" s="336" customFormat="1" ht="44.25" customHeight="1">
      <c r="A25" s="786">
        <v>21</v>
      </c>
      <c r="B25" s="87" t="s">
        <v>564</v>
      </c>
      <c r="C25" s="1160">
        <v>3030</v>
      </c>
      <c r="D25" s="707" t="s">
        <v>226</v>
      </c>
      <c r="E25" s="133" t="s">
        <v>565</v>
      </c>
      <c r="F25" s="87" t="s">
        <v>19</v>
      </c>
      <c r="G25" s="91" t="s">
        <v>517</v>
      </c>
      <c r="H25" s="93" t="s">
        <v>542</v>
      </c>
      <c r="I25" s="87"/>
      <c r="J25" s="87" t="s">
        <v>89</v>
      </c>
      <c r="K25" s="335">
        <f t="shared" si="0"/>
        <v>3030</v>
      </c>
    </row>
    <row r="26" spans="1:13" s="336" customFormat="1" ht="61.5" customHeight="1">
      <c r="A26" s="786">
        <v>22</v>
      </c>
      <c r="B26" s="87" t="s">
        <v>566</v>
      </c>
      <c r="C26" s="1160">
        <v>3400</v>
      </c>
      <c r="D26" s="707" t="s">
        <v>226</v>
      </c>
      <c r="E26" s="133" t="s">
        <v>567</v>
      </c>
      <c r="F26" s="87" t="s">
        <v>19</v>
      </c>
      <c r="G26" s="91" t="s">
        <v>517</v>
      </c>
      <c r="H26" s="93" t="s">
        <v>542</v>
      </c>
      <c r="I26" s="87"/>
      <c r="J26" s="87" t="s">
        <v>84</v>
      </c>
      <c r="K26" s="335">
        <f t="shared" si="0"/>
        <v>3400</v>
      </c>
    </row>
    <row r="27" spans="1:13" s="336" customFormat="1" ht="61.5" customHeight="1">
      <c r="A27" s="786">
        <v>23</v>
      </c>
      <c r="B27" s="87" t="s">
        <v>568</v>
      </c>
      <c r="C27" s="1160">
        <v>4700</v>
      </c>
      <c r="D27" s="707" t="s">
        <v>226</v>
      </c>
      <c r="E27" s="133" t="s">
        <v>569</v>
      </c>
      <c r="F27" s="87" t="s">
        <v>19</v>
      </c>
      <c r="G27" s="91" t="s">
        <v>123</v>
      </c>
      <c r="H27" s="93" t="s">
        <v>570</v>
      </c>
      <c r="I27" s="392" t="s">
        <v>571</v>
      </c>
      <c r="J27" s="87" t="s">
        <v>84</v>
      </c>
      <c r="K27" s="335">
        <f t="shared" si="0"/>
        <v>4700</v>
      </c>
    </row>
    <row r="28" spans="1:13" s="336" customFormat="1" ht="95.25" customHeight="1">
      <c r="A28" s="786">
        <v>24</v>
      </c>
      <c r="B28" s="87" t="s">
        <v>293</v>
      </c>
      <c r="C28" s="1160">
        <v>4720</v>
      </c>
      <c r="D28" s="707" t="s">
        <v>226</v>
      </c>
      <c r="E28" s="133" t="s">
        <v>572</v>
      </c>
      <c r="F28" s="87" t="s">
        <v>19</v>
      </c>
      <c r="G28" s="91" t="s">
        <v>172</v>
      </c>
      <c r="H28" s="93" t="s">
        <v>573</v>
      </c>
      <c r="I28" s="1161" t="s">
        <v>574</v>
      </c>
      <c r="J28" s="87" t="s">
        <v>16</v>
      </c>
      <c r="K28" s="335">
        <f t="shared" si="0"/>
        <v>4720</v>
      </c>
    </row>
    <row r="29" spans="1:13" s="336" customFormat="1" ht="93.75">
      <c r="A29" s="786">
        <v>25</v>
      </c>
      <c r="B29" s="87" t="s">
        <v>515</v>
      </c>
      <c r="C29" s="1160">
        <v>2910</v>
      </c>
      <c r="D29" s="707" t="s">
        <v>226</v>
      </c>
      <c r="E29" s="133" t="s">
        <v>575</v>
      </c>
      <c r="F29" s="87" t="s">
        <v>19</v>
      </c>
      <c r="G29" s="87" t="s">
        <v>199</v>
      </c>
      <c r="H29" s="93" t="s">
        <v>576</v>
      </c>
      <c r="I29" s="1162" t="s">
        <v>577</v>
      </c>
      <c r="J29" s="87" t="s">
        <v>89</v>
      </c>
      <c r="K29" s="335">
        <f t="shared" si="0"/>
        <v>2910</v>
      </c>
    </row>
    <row r="30" spans="1:13" s="336" customFormat="1" ht="56.25">
      <c r="A30" s="786">
        <v>26</v>
      </c>
      <c r="B30" s="87" t="s">
        <v>499</v>
      </c>
      <c r="C30" s="1160">
        <v>3250</v>
      </c>
      <c r="D30" s="707" t="s">
        <v>226</v>
      </c>
      <c r="E30" s="133" t="s">
        <v>578</v>
      </c>
      <c r="F30" s="87" t="s">
        <v>19</v>
      </c>
      <c r="G30" s="91" t="s">
        <v>172</v>
      </c>
      <c r="H30" s="93" t="s">
        <v>579</v>
      </c>
      <c r="I30" s="1163" t="s">
        <v>580</v>
      </c>
      <c r="J30" s="87" t="s">
        <v>89</v>
      </c>
      <c r="K30" s="335">
        <f t="shared" si="0"/>
        <v>3250</v>
      </c>
    </row>
    <row r="31" spans="1:13" s="336" customFormat="1" ht="80.25" customHeight="1">
      <c r="A31" s="789">
        <v>27</v>
      </c>
      <c r="B31" s="125" t="s">
        <v>581</v>
      </c>
      <c r="C31" s="1160">
        <v>3600</v>
      </c>
      <c r="D31" s="707" t="s">
        <v>226</v>
      </c>
      <c r="E31" s="133" t="s">
        <v>582</v>
      </c>
      <c r="F31" s="87" t="s">
        <v>19</v>
      </c>
      <c r="G31" s="91" t="s">
        <v>172</v>
      </c>
      <c r="H31" s="108" t="s">
        <v>583</v>
      </c>
      <c r="I31" s="969" t="s">
        <v>584</v>
      </c>
      <c r="J31" s="87" t="s">
        <v>54</v>
      </c>
      <c r="K31" s="335">
        <f t="shared" si="0"/>
        <v>3600</v>
      </c>
    </row>
    <row r="32" spans="1:13" s="336" customFormat="1" ht="57.75" customHeight="1">
      <c r="A32" s="789">
        <v>28</v>
      </c>
      <c r="B32" s="125" t="s">
        <v>585</v>
      </c>
      <c r="C32" s="1160">
        <v>1900</v>
      </c>
      <c r="D32" s="707" t="s">
        <v>226</v>
      </c>
      <c r="E32" s="133" t="s">
        <v>586</v>
      </c>
      <c r="F32" s="87" t="s">
        <v>19</v>
      </c>
      <c r="G32" s="91" t="s">
        <v>172</v>
      </c>
      <c r="H32" s="1124" t="s">
        <v>587</v>
      </c>
      <c r="I32" s="1227" t="s">
        <v>588</v>
      </c>
      <c r="J32" s="129" t="s">
        <v>16</v>
      </c>
      <c r="K32" s="335">
        <f t="shared" si="0"/>
        <v>1900</v>
      </c>
    </row>
    <row r="33" spans="1:13" s="336" customFormat="1" ht="36" customHeight="1">
      <c r="A33" s="789">
        <v>29</v>
      </c>
      <c r="B33" s="125" t="s">
        <v>589</v>
      </c>
      <c r="C33" s="1160">
        <v>4000</v>
      </c>
      <c r="D33" s="707" t="s">
        <v>226</v>
      </c>
      <c r="E33" s="133" t="s">
        <v>590</v>
      </c>
      <c r="F33" s="87" t="s">
        <v>19</v>
      </c>
      <c r="G33" s="91" t="s">
        <v>517</v>
      </c>
      <c r="H33" s="108" t="s">
        <v>591</v>
      </c>
      <c r="I33" s="1234" t="s">
        <v>588</v>
      </c>
      <c r="J33" s="87" t="s">
        <v>43</v>
      </c>
      <c r="K33" s="335">
        <f t="shared" si="0"/>
        <v>4000</v>
      </c>
    </row>
    <row r="34" spans="1:13" s="336" customFormat="1" ht="63" customHeight="1">
      <c r="A34" s="789">
        <v>30</v>
      </c>
      <c r="B34" s="125" t="s">
        <v>592</v>
      </c>
      <c r="C34" s="1160">
        <v>3150</v>
      </c>
      <c r="D34" s="707" t="s">
        <v>226</v>
      </c>
      <c r="E34" s="133" t="s">
        <v>593</v>
      </c>
      <c r="F34" s="87" t="s">
        <v>19</v>
      </c>
      <c r="G34" s="91" t="s">
        <v>172</v>
      </c>
      <c r="H34" s="93" t="s">
        <v>594</v>
      </c>
      <c r="I34" s="392"/>
      <c r="J34" s="87" t="s">
        <v>16</v>
      </c>
      <c r="K34" s="335">
        <f t="shared" si="0"/>
        <v>3150</v>
      </c>
    </row>
    <row r="35" spans="1:13" s="336" customFormat="1" ht="57.75" customHeight="1">
      <c r="A35" s="789">
        <v>31</v>
      </c>
      <c r="B35" s="816" t="s">
        <v>595</v>
      </c>
      <c r="C35" s="1160">
        <v>3750</v>
      </c>
      <c r="D35" s="133" t="s">
        <v>226</v>
      </c>
      <c r="E35" s="133" t="s">
        <v>596</v>
      </c>
      <c r="F35" s="87" t="s">
        <v>19</v>
      </c>
      <c r="G35" s="91" t="s">
        <v>517</v>
      </c>
      <c r="H35" s="93" t="s">
        <v>597</v>
      </c>
      <c r="I35" s="140" t="s">
        <v>598</v>
      </c>
      <c r="J35" s="87" t="s">
        <v>43</v>
      </c>
      <c r="K35" s="335">
        <f t="shared" si="0"/>
        <v>3750</v>
      </c>
    </row>
    <row r="36" spans="1:13" s="336" customFormat="1" ht="72" customHeight="1">
      <c r="A36" s="1005">
        <v>32</v>
      </c>
      <c r="B36" s="87" t="s">
        <v>599</v>
      </c>
      <c r="C36" s="1164">
        <v>3100</v>
      </c>
      <c r="D36" s="133" t="s">
        <v>226</v>
      </c>
      <c r="E36" s="380" t="s">
        <v>600</v>
      </c>
      <c r="F36" s="87" t="s">
        <v>19</v>
      </c>
      <c r="G36" s="91" t="s">
        <v>172</v>
      </c>
      <c r="H36" s="93" t="s">
        <v>601</v>
      </c>
      <c r="I36" s="392" t="s">
        <v>602</v>
      </c>
      <c r="J36" s="87" t="s">
        <v>84</v>
      </c>
      <c r="K36" s="335">
        <f t="shared" si="0"/>
        <v>3100</v>
      </c>
    </row>
    <row r="37" spans="1:13" s="336" customFormat="1" ht="112.5">
      <c r="A37" s="786">
        <v>33</v>
      </c>
      <c r="B37" s="87" t="s">
        <v>540</v>
      </c>
      <c r="C37" s="1146">
        <v>3550</v>
      </c>
      <c r="D37" s="133" t="s">
        <v>226</v>
      </c>
      <c r="E37" s="133" t="s">
        <v>603</v>
      </c>
      <c r="F37" s="87" t="s">
        <v>19</v>
      </c>
      <c r="G37" s="87" t="s">
        <v>517</v>
      </c>
      <c r="H37" s="93" t="s">
        <v>604</v>
      </c>
      <c r="I37" s="392"/>
      <c r="J37" s="87" t="s">
        <v>43</v>
      </c>
      <c r="K37" s="335">
        <f t="shared" si="0"/>
        <v>3550</v>
      </c>
    </row>
    <row r="38" spans="1:13" s="336" customFormat="1" ht="100.5" customHeight="1">
      <c r="A38" s="797">
        <v>34</v>
      </c>
      <c r="B38" s="91" t="s">
        <v>559</v>
      </c>
      <c r="C38" s="1140">
        <v>3250</v>
      </c>
      <c r="D38" s="133" t="s">
        <v>226</v>
      </c>
      <c r="E38" s="380" t="s">
        <v>605</v>
      </c>
      <c r="F38" s="154" t="s">
        <v>19</v>
      </c>
      <c r="G38" s="91" t="s">
        <v>517</v>
      </c>
      <c r="H38" s="119" t="s">
        <v>606</v>
      </c>
      <c r="I38" s="969" t="s">
        <v>607</v>
      </c>
      <c r="J38" s="91" t="s">
        <v>89</v>
      </c>
      <c r="K38" s="335">
        <f t="shared" si="0"/>
        <v>3250</v>
      </c>
    </row>
    <row r="39" spans="1:13" s="367" customFormat="1" ht="100.5" customHeight="1">
      <c r="A39" s="786">
        <v>35</v>
      </c>
      <c r="B39" s="87" t="s">
        <v>608</v>
      </c>
      <c r="C39" s="1146">
        <v>4300</v>
      </c>
      <c r="D39" s="133" t="s">
        <v>226</v>
      </c>
      <c r="E39" s="133" t="s">
        <v>609</v>
      </c>
      <c r="F39" s="87" t="s">
        <v>19</v>
      </c>
      <c r="G39" s="87" t="s">
        <v>172</v>
      </c>
      <c r="H39" s="93" t="s">
        <v>610</v>
      </c>
      <c r="I39" s="93" t="s">
        <v>611</v>
      </c>
      <c r="J39" s="87" t="s">
        <v>89</v>
      </c>
      <c r="K39" s="335">
        <f t="shared" si="0"/>
        <v>4300</v>
      </c>
      <c r="L39" s="336"/>
      <c r="M39" s="336"/>
    </row>
    <row r="40" spans="1:13" s="150" customFormat="1" ht="100.5" customHeight="1">
      <c r="A40" s="706">
        <v>36</v>
      </c>
      <c r="B40" s="177" t="s">
        <v>612</v>
      </c>
      <c r="C40" s="1165">
        <v>2950</v>
      </c>
      <c r="D40" s="133" t="s">
        <v>226</v>
      </c>
      <c r="E40" s="388" t="s">
        <v>613</v>
      </c>
      <c r="F40" s="177" t="s">
        <v>19</v>
      </c>
      <c r="G40" s="177" t="s">
        <v>172</v>
      </c>
      <c r="H40" s="188" t="s">
        <v>614</v>
      </c>
      <c r="I40" s="188" t="s">
        <v>615</v>
      </c>
      <c r="J40" s="177" t="s">
        <v>84</v>
      </c>
      <c r="K40" s="335">
        <f t="shared" si="0"/>
        <v>2950</v>
      </c>
      <c r="L40" s="1166">
        <f>C40-(950+950+850)</f>
        <v>200</v>
      </c>
    </row>
    <row r="41" spans="1:13" s="367" customFormat="1" ht="100.5" customHeight="1">
      <c r="A41" s="797">
        <v>37</v>
      </c>
      <c r="B41" s="91" t="s">
        <v>531</v>
      </c>
      <c r="C41" s="1140">
        <v>2787</v>
      </c>
      <c r="D41" s="133" t="s">
        <v>226</v>
      </c>
      <c r="E41" s="380" t="s">
        <v>616</v>
      </c>
      <c r="F41" s="91" t="s">
        <v>19</v>
      </c>
      <c r="G41" s="91" t="s">
        <v>172</v>
      </c>
      <c r="H41" s="119" t="s">
        <v>617</v>
      </c>
      <c r="I41" s="122" t="s">
        <v>618</v>
      </c>
      <c r="J41" s="91" t="s">
        <v>514</v>
      </c>
      <c r="K41" s="335">
        <f t="shared" si="0"/>
        <v>2787</v>
      </c>
      <c r="L41" s="336">
        <f>1450+1000+325</f>
        <v>2775</v>
      </c>
      <c r="M41" s="336"/>
    </row>
    <row r="42" spans="1:13" s="367" customFormat="1" ht="100.5" customHeight="1">
      <c r="A42" s="786">
        <v>38</v>
      </c>
      <c r="B42" s="87" t="s">
        <v>619</v>
      </c>
      <c r="C42" s="1146">
        <v>1920</v>
      </c>
      <c r="D42" s="133" t="s">
        <v>226</v>
      </c>
      <c r="E42" s="133"/>
      <c r="F42" s="87" t="s">
        <v>19</v>
      </c>
      <c r="G42" s="87" t="s">
        <v>172</v>
      </c>
      <c r="H42" s="93" t="s">
        <v>620</v>
      </c>
      <c r="I42" s="140"/>
      <c r="J42" s="87" t="s">
        <v>89</v>
      </c>
      <c r="K42" s="335">
        <f t="shared" si="0"/>
        <v>1920</v>
      </c>
      <c r="L42" s="336"/>
      <c r="M42" s="336"/>
    </row>
    <row r="43" spans="1:13" s="367" customFormat="1" ht="112.5">
      <c r="A43" s="786">
        <v>39</v>
      </c>
      <c r="B43" s="87" t="s">
        <v>621</v>
      </c>
      <c r="C43" s="1146">
        <v>4700</v>
      </c>
      <c r="D43" s="133" t="s">
        <v>226</v>
      </c>
      <c r="E43" s="133" t="s">
        <v>622</v>
      </c>
      <c r="F43" s="87" t="s">
        <v>19</v>
      </c>
      <c r="G43" s="87" t="s">
        <v>623</v>
      </c>
      <c r="H43" s="93" t="s">
        <v>624</v>
      </c>
      <c r="I43" s="140" t="s">
        <v>625</v>
      </c>
      <c r="J43" s="87" t="s">
        <v>16</v>
      </c>
      <c r="K43" s="335">
        <f t="shared" si="0"/>
        <v>4700</v>
      </c>
      <c r="L43" s="336"/>
      <c r="M43" s="336"/>
    </row>
    <row r="44" spans="1:13" s="367" customFormat="1" ht="100.5" customHeight="1">
      <c r="A44" s="786">
        <v>40</v>
      </c>
      <c r="B44" s="87" t="s">
        <v>626</v>
      </c>
      <c r="C44" s="1146">
        <v>3200</v>
      </c>
      <c r="D44" s="133" t="s">
        <v>226</v>
      </c>
      <c r="E44" s="133" t="s">
        <v>627</v>
      </c>
      <c r="F44" s="87" t="s">
        <v>19</v>
      </c>
      <c r="G44" s="87" t="s">
        <v>172</v>
      </c>
      <c r="H44" s="93" t="s">
        <v>628</v>
      </c>
      <c r="I44" s="140" t="s">
        <v>629</v>
      </c>
      <c r="J44" s="87" t="s">
        <v>84</v>
      </c>
      <c r="K44" s="335">
        <f t="shared" si="0"/>
        <v>3200</v>
      </c>
      <c r="L44" s="336"/>
      <c r="M44" s="336"/>
    </row>
    <row r="45" spans="1:13" s="367" customFormat="1" ht="100.5" customHeight="1">
      <c r="A45" s="797">
        <v>41</v>
      </c>
      <c r="B45" s="91" t="s">
        <v>515</v>
      </c>
      <c r="C45" s="1140">
        <v>2910</v>
      </c>
      <c r="D45" s="380" t="s">
        <v>226</v>
      </c>
      <c r="E45" s="380" t="s">
        <v>630</v>
      </c>
      <c r="F45" s="91" t="s">
        <v>19</v>
      </c>
      <c r="G45" s="91" t="s">
        <v>123</v>
      </c>
      <c r="H45" s="119" t="s">
        <v>631</v>
      </c>
      <c r="I45" s="122" t="s">
        <v>632</v>
      </c>
      <c r="J45" s="91" t="s">
        <v>89</v>
      </c>
      <c r="K45" s="335">
        <f t="shared" si="0"/>
        <v>2910</v>
      </c>
      <c r="L45" s="336"/>
      <c r="M45" s="336"/>
    </row>
    <row r="46" spans="1:13" s="367" customFormat="1" ht="100.5" customHeight="1">
      <c r="A46" s="786">
        <v>42</v>
      </c>
      <c r="B46" s="87" t="s">
        <v>633</v>
      </c>
      <c r="C46" s="1146">
        <v>4900</v>
      </c>
      <c r="D46" s="380" t="s">
        <v>226</v>
      </c>
      <c r="E46" s="133" t="s">
        <v>634</v>
      </c>
      <c r="F46" s="87" t="s">
        <v>19</v>
      </c>
      <c r="G46" s="388" t="s">
        <v>172</v>
      </c>
      <c r="H46" s="1168" t="s">
        <v>635</v>
      </c>
      <c r="I46" s="108"/>
      <c r="J46" s="87" t="s">
        <v>16</v>
      </c>
      <c r="K46" s="335">
        <f t="shared" si="0"/>
        <v>4900</v>
      </c>
      <c r="L46" s="336"/>
      <c r="M46" s="336"/>
    </row>
    <row r="47" spans="1:13" s="367" customFormat="1" ht="100.5" customHeight="1">
      <c r="A47" s="786">
        <v>43</v>
      </c>
      <c r="B47" s="87" t="s">
        <v>636</v>
      </c>
      <c r="C47" s="1146">
        <v>2950</v>
      </c>
      <c r="D47" s="380" t="s">
        <v>226</v>
      </c>
      <c r="E47" s="133" t="s">
        <v>634</v>
      </c>
      <c r="F47" s="87" t="s">
        <v>19</v>
      </c>
      <c r="G47" s="388" t="s">
        <v>172</v>
      </c>
      <c r="H47" s="149" t="s">
        <v>637</v>
      </c>
      <c r="I47" s="108"/>
      <c r="J47" s="87" t="s">
        <v>54</v>
      </c>
      <c r="K47" s="335">
        <f t="shared" si="0"/>
        <v>2950</v>
      </c>
      <c r="L47" s="336"/>
      <c r="M47" s="336"/>
    </row>
    <row r="48" spans="1:13" s="367" customFormat="1" ht="100.5" customHeight="1">
      <c r="A48" s="786">
        <v>44</v>
      </c>
      <c r="B48" s="87" t="s">
        <v>638</v>
      </c>
      <c r="C48" s="1146">
        <v>3800</v>
      </c>
      <c r="D48" s="380" t="s">
        <v>226</v>
      </c>
      <c r="E48" s="133" t="s">
        <v>639</v>
      </c>
      <c r="F48" s="87" t="s">
        <v>19</v>
      </c>
      <c r="G48" s="388" t="s">
        <v>74</v>
      </c>
      <c r="H48" s="149" t="s">
        <v>640</v>
      </c>
      <c r="I48" s="108" t="s">
        <v>641</v>
      </c>
      <c r="J48" s="87" t="s">
        <v>84</v>
      </c>
      <c r="K48" s="335">
        <f t="shared" si="0"/>
        <v>3800</v>
      </c>
      <c r="L48" s="336"/>
      <c r="M48" s="336"/>
    </row>
    <row r="49" spans="1:13" s="367" customFormat="1" ht="100.5" customHeight="1">
      <c r="A49" s="786">
        <v>45</v>
      </c>
      <c r="B49" s="87" t="s">
        <v>612</v>
      </c>
      <c r="C49" s="1146">
        <v>2950</v>
      </c>
      <c r="D49" s="380" t="s">
        <v>226</v>
      </c>
      <c r="E49" s="133" t="s">
        <v>642</v>
      </c>
      <c r="F49" s="87" t="s">
        <v>19</v>
      </c>
      <c r="G49" s="388" t="s">
        <v>172</v>
      </c>
      <c r="H49" s="1168" t="s">
        <v>643</v>
      </c>
      <c r="I49" s="1094" t="s">
        <v>644</v>
      </c>
      <c r="J49" s="87" t="s">
        <v>84</v>
      </c>
      <c r="K49" s="335">
        <f t="shared" si="0"/>
        <v>2950</v>
      </c>
      <c r="L49" s="336"/>
      <c r="M49" s="336"/>
    </row>
    <row r="50" spans="1:13" s="367" customFormat="1" ht="100.5" customHeight="1">
      <c r="A50" s="786">
        <v>46</v>
      </c>
      <c r="B50" s="87" t="s">
        <v>645</v>
      </c>
      <c r="C50" s="1146">
        <v>5300</v>
      </c>
      <c r="D50" s="380" t="s">
        <v>226</v>
      </c>
      <c r="E50" s="133" t="s">
        <v>646</v>
      </c>
      <c r="F50" s="87" t="s">
        <v>19</v>
      </c>
      <c r="G50" s="388" t="s">
        <v>517</v>
      </c>
      <c r="H50" s="1168" t="s">
        <v>647</v>
      </c>
      <c r="I50" s="1094" t="s">
        <v>644</v>
      </c>
      <c r="J50" s="87" t="s">
        <v>16</v>
      </c>
      <c r="K50" s="335">
        <f t="shared" si="0"/>
        <v>5300</v>
      </c>
      <c r="L50" s="336"/>
      <c r="M50" s="336"/>
    </row>
    <row r="51" spans="1:13" s="367" customFormat="1" ht="100.5" customHeight="1">
      <c r="A51" s="786">
        <v>47</v>
      </c>
      <c r="B51" s="87" t="s">
        <v>543</v>
      </c>
      <c r="C51" s="1146">
        <v>4500</v>
      </c>
      <c r="D51" s="380" t="s">
        <v>226</v>
      </c>
      <c r="E51" s="133" t="s">
        <v>648</v>
      </c>
      <c r="F51" s="87" t="s">
        <v>19</v>
      </c>
      <c r="G51" s="388" t="s">
        <v>172</v>
      </c>
      <c r="H51" s="1168" t="s">
        <v>649</v>
      </c>
      <c r="I51" s="1094" t="s">
        <v>644</v>
      </c>
      <c r="J51" s="87" t="s">
        <v>16</v>
      </c>
      <c r="K51" s="335">
        <f t="shared" si="0"/>
        <v>4500</v>
      </c>
      <c r="L51" s="336"/>
      <c r="M51" s="336"/>
    </row>
    <row r="52" spans="1:13" s="367" customFormat="1" ht="100.5" customHeight="1">
      <c r="A52" s="786">
        <v>48</v>
      </c>
      <c r="B52" s="87" t="s">
        <v>564</v>
      </c>
      <c r="C52" s="1146">
        <v>3050</v>
      </c>
      <c r="D52" s="380" t="s">
        <v>226</v>
      </c>
      <c r="E52" s="133" t="s">
        <v>650</v>
      </c>
      <c r="F52" s="87" t="s">
        <v>19</v>
      </c>
      <c r="G52" s="388" t="s">
        <v>172</v>
      </c>
      <c r="H52" s="149" t="s">
        <v>651</v>
      </c>
      <c r="I52" s="1094" t="s">
        <v>644</v>
      </c>
      <c r="J52" s="87" t="s">
        <v>89</v>
      </c>
      <c r="K52" s="335"/>
      <c r="L52" s="336"/>
      <c r="M52" s="336"/>
    </row>
    <row r="53" spans="1:13" s="855" customFormat="1" ht="100.5" customHeight="1">
      <c r="A53" s="706">
        <v>49</v>
      </c>
      <c r="B53" s="177" t="s">
        <v>599</v>
      </c>
      <c r="C53" s="1165">
        <v>3050</v>
      </c>
      <c r="D53" s="707" t="s">
        <v>226</v>
      </c>
      <c r="E53" s="388" t="s">
        <v>652</v>
      </c>
      <c r="F53" s="177" t="s">
        <v>19</v>
      </c>
      <c r="G53" s="388" t="s">
        <v>172</v>
      </c>
      <c r="H53" s="1168" t="s">
        <v>653</v>
      </c>
      <c r="I53" s="854" t="s">
        <v>644</v>
      </c>
      <c r="J53" s="177" t="s">
        <v>84</v>
      </c>
      <c r="K53" s="1127">
        <f>C53</f>
        <v>3050</v>
      </c>
      <c r="L53" s="150"/>
      <c r="M53" s="150"/>
    </row>
    <row r="54" spans="1:13" s="855" customFormat="1" ht="100.5" customHeight="1">
      <c r="A54" s="706">
        <v>50</v>
      </c>
      <c r="B54" s="177" t="s">
        <v>626</v>
      </c>
      <c r="C54" s="1165">
        <v>3200</v>
      </c>
      <c r="D54" s="707" t="s">
        <v>226</v>
      </c>
      <c r="E54" s="388" t="s">
        <v>654</v>
      </c>
      <c r="F54" s="177" t="s">
        <v>19</v>
      </c>
      <c r="G54" s="388" t="s">
        <v>172</v>
      </c>
      <c r="H54" s="149" t="s">
        <v>655</v>
      </c>
      <c r="I54" s="188" t="s">
        <v>656</v>
      </c>
      <c r="J54" s="177" t="s">
        <v>84</v>
      </c>
      <c r="K54" s="1127">
        <f>C54</f>
        <v>3200</v>
      </c>
      <c r="L54" s="150"/>
      <c r="M54" s="150"/>
    </row>
    <row r="55" spans="1:13" s="855" customFormat="1" ht="53.25" customHeight="1">
      <c r="A55" s="699">
        <v>51</v>
      </c>
      <c r="B55" s="180" t="s">
        <v>566</v>
      </c>
      <c r="C55" s="1170">
        <v>3400</v>
      </c>
      <c r="D55" s="707" t="s">
        <v>226</v>
      </c>
      <c r="E55" s="707" t="s">
        <v>657</v>
      </c>
      <c r="F55" s="180" t="s">
        <v>19</v>
      </c>
      <c r="G55" s="1097" t="s">
        <v>517</v>
      </c>
      <c r="H55" s="1235" t="s">
        <v>647</v>
      </c>
      <c r="I55" s="1171"/>
      <c r="J55" s="180" t="s">
        <v>84</v>
      </c>
      <c r="K55" s="1127"/>
      <c r="L55" s="150"/>
      <c r="M55" s="150"/>
    </row>
    <row r="56" spans="1:13" s="367" customFormat="1" ht="93.75">
      <c r="A56" s="786">
        <v>52</v>
      </c>
      <c r="B56" s="87" t="s">
        <v>559</v>
      </c>
      <c r="C56" s="1146">
        <v>3260</v>
      </c>
      <c r="D56" s="707" t="s">
        <v>226</v>
      </c>
      <c r="E56" s="133" t="s">
        <v>658</v>
      </c>
      <c r="F56" s="89" t="s">
        <v>19</v>
      </c>
      <c r="G56" s="87" t="s">
        <v>63</v>
      </c>
      <c r="H56" s="149" t="s">
        <v>659</v>
      </c>
      <c r="I56" s="1172"/>
      <c r="J56" s="129" t="s">
        <v>89</v>
      </c>
      <c r="K56" s="1173"/>
      <c r="L56" s="336"/>
      <c r="M56" s="336"/>
    </row>
    <row r="57" spans="1:13" s="367" customFormat="1" ht="112.5">
      <c r="A57" s="786">
        <v>53</v>
      </c>
      <c r="B57" s="87" t="s">
        <v>660</v>
      </c>
      <c r="C57" s="1146">
        <v>4300</v>
      </c>
      <c r="D57" s="707" t="s">
        <v>226</v>
      </c>
      <c r="E57" s="133" t="s">
        <v>661</v>
      </c>
      <c r="F57" s="87" t="s">
        <v>19</v>
      </c>
      <c r="G57" s="388" t="s">
        <v>172</v>
      </c>
      <c r="H57" s="1235" t="s">
        <v>662</v>
      </c>
      <c r="I57" s="392" t="s">
        <v>663</v>
      </c>
      <c r="J57" s="87" t="s">
        <v>89</v>
      </c>
      <c r="K57" s="335">
        <f>C57</f>
        <v>4300</v>
      </c>
      <c r="L57" s="336"/>
      <c r="M57" s="336"/>
    </row>
    <row r="58" spans="1:13" s="367" customFormat="1" ht="56.25">
      <c r="A58" s="786">
        <v>54</v>
      </c>
      <c r="B58" s="87" t="s">
        <v>503</v>
      </c>
      <c r="C58" s="1175">
        <v>4050</v>
      </c>
      <c r="D58" s="388" t="s">
        <v>226</v>
      </c>
      <c r="E58" s="349" t="s">
        <v>664</v>
      </c>
      <c r="F58" s="89" t="s">
        <v>19</v>
      </c>
      <c r="G58" s="89" t="s">
        <v>123</v>
      </c>
      <c r="H58" s="149" t="s">
        <v>665</v>
      </c>
      <c r="I58" s="1174"/>
      <c r="J58" s="129" t="s">
        <v>16</v>
      </c>
      <c r="K58" s="1066">
        <f>C58</f>
        <v>4050</v>
      </c>
      <c r="L58" s="336"/>
      <c r="M58" s="336"/>
    </row>
    <row r="59" spans="1:13" s="1" customFormat="1">
      <c r="A59" s="359">
        <v>55</v>
      </c>
      <c r="C59" s="1138"/>
      <c r="D59" s="271"/>
      <c r="E59" s="271"/>
      <c r="H59" s="9" t="s">
        <v>666</v>
      </c>
      <c r="I59" s="9"/>
      <c r="K59" s="804"/>
      <c r="L59" s="3"/>
      <c r="M59" s="3"/>
    </row>
    <row r="60" spans="1:13" s="1" customFormat="1">
      <c r="A60" s="359">
        <v>56</v>
      </c>
      <c r="C60" s="1138"/>
      <c r="D60" s="271"/>
      <c r="E60" s="271"/>
      <c r="H60" s="9"/>
      <c r="I60" s="9"/>
      <c r="K60" s="804"/>
      <c r="L60" s="3"/>
      <c r="M60" s="3"/>
    </row>
    <row r="61" spans="1:13" s="1" customFormat="1">
      <c r="A61" s="359">
        <v>57</v>
      </c>
      <c r="C61" s="1138"/>
      <c r="D61" s="271"/>
      <c r="E61" s="271"/>
      <c r="H61" s="3640" t="s">
        <v>667</v>
      </c>
      <c r="I61" s="9"/>
      <c r="K61" s="804"/>
      <c r="L61" s="3"/>
      <c r="M61" s="3"/>
    </row>
    <row r="62" spans="1:13" s="1" customFormat="1">
      <c r="A62" s="359">
        <v>58</v>
      </c>
      <c r="C62" s="1138"/>
      <c r="D62" s="271"/>
      <c r="E62" s="271"/>
      <c r="H62" s="3641"/>
      <c r="I62" s="9"/>
      <c r="K62" s="804"/>
      <c r="L62" s="3"/>
      <c r="M62" s="3"/>
    </row>
    <row r="63" spans="1:13" s="1" customFormat="1">
      <c r="A63" s="359">
        <v>59</v>
      </c>
      <c r="C63" s="1138"/>
      <c r="D63" s="271"/>
      <c r="E63" s="271"/>
      <c r="H63" s="3641"/>
      <c r="K63" s="804"/>
      <c r="L63" s="3"/>
      <c r="M63" s="3"/>
    </row>
    <row r="64" spans="1:13" s="1" customFormat="1">
      <c r="A64" s="359">
        <v>60</v>
      </c>
      <c r="C64" s="1138"/>
      <c r="D64" s="271"/>
      <c r="E64" s="271"/>
      <c r="H64" s="9"/>
      <c r="I64" s="9"/>
      <c r="K64" s="804"/>
      <c r="L64" s="3"/>
      <c r="M64" s="3"/>
    </row>
    <row r="65" spans="8:8">
      <c r="H65" s="9">
        <v>7.77777777777777E+52</v>
      </c>
    </row>
    <row r="84" spans="2:11">
      <c r="B84" s="102" t="s">
        <v>668</v>
      </c>
      <c r="C84" s="1148" t="s">
        <v>669</v>
      </c>
      <c r="D84" s="109" t="s">
        <v>670</v>
      </c>
      <c r="E84" s="109"/>
      <c r="F84" s="102" t="s">
        <v>19</v>
      </c>
      <c r="G84" s="102" t="s">
        <v>172</v>
      </c>
      <c r="H84" s="696" t="s">
        <v>525</v>
      </c>
      <c r="I84" s="1149" t="s">
        <v>671</v>
      </c>
      <c r="J84" s="102" t="s">
        <v>16</v>
      </c>
      <c r="K84" s="1150" t="str">
        <f>C84</f>
        <v>hủy</v>
      </c>
    </row>
    <row r="85" spans="2:11" s="1" customFormat="1">
      <c r="B85" s="102" t="s">
        <v>672</v>
      </c>
      <c r="C85" s="1135"/>
      <c r="D85" s="102" t="s">
        <v>673</v>
      </c>
      <c r="E85" s="102"/>
      <c r="F85" s="102" t="s">
        <v>19</v>
      </c>
      <c r="G85" s="102" t="s">
        <v>172</v>
      </c>
      <c r="H85" s="143"/>
      <c r="I85" s="102"/>
      <c r="J85" s="102" t="s">
        <v>89</v>
      </c>
      <c r="K85" s="1147"/>
    </row>
    <row r="86" spans="2:11" s="1" customFormat="1">
      <c r="B86" s="102" t="s">
        <v>674</v>
      </c>
      <c r="C86" s="1167" t="s">
        <v>675</v>
      </c>
      <c r="D86" s="109"/>
      <c r="E86" s="109" t="s">
        <v>676</v>
      </c>
      <c r="F86" s="102" t="s">
        <v>19</v>
      </c>
      <c r="G86" s="612" t="s">
        <v>517</v>
      </c>
      <c r="H86" s="1042"/>
      <c r="I86" s="157"/>
      <c r="J86" s="102" t="s">
        <v>84</v>
      </c>
      <c r="K86" s="1169" t="str">
        <f>C86</f>
        <v>HỦY</v>
      </c>
    </row>
  </sheetData>
  <autoFilter ref="A4:O65" xr:uid="{00000000-0009-0000-0000-000003000000}">
    <filterColumn colId="9">
      <filters>
        <filter val="Mặt Trời"/>
      </filters>
    </filterColumn>
  </autoFilter>
  <mergeCells count="4">
    <mergeCell ref="C1:I1"/>
    <mergeCell ref="A2:I2"/>
    <mergeCell ref="I3:J3"/>
    <mergeCell ref="H61:H63"/>
  </mergeCells>
  <conditionalFormatting sqref="A1:A3">
    <cfRule type="duplicateValues" dxfId="863" priority="15"/>
  </conditionalFormatting>
  <conditionalFormatting sqref="A4">
    <cfRule type="duplicateValues" dxfId="862" priority="11"/>
  </conditionalFormatting>
  <conditionalFormatting sqref="A5">
    <cfRule type="duplicateValues" dxfId="861" priority="2"/>
  </conditionalFormatting>
  <conditionalFormatting sqref="A6">
    <cfRule type="duplicateValues" dxfId="860" priority="6"/>
  </conditionalFormatting>
  <conditionalFormatting sqref="A7">
    <cfRule type="duplicateValues" dxfId="859" priority="5"/>
  </conditionalFormatting>
  <conditionalFormatting sqref="A10 A20">
    <cfRule type="duplicateValues" dxfId="858" priority="7"/>
  </conditionalFormatting>
  <conditionalFormatting sqref="A12">
    <cfRule type="duplicateValues" dxfId="857" priority="1064"/>
  </conditionalFormatting>
  <conditionalFormatting sqref="A25:A28 A30">
    <cfRule type="duplicateValues" dxfId="856" priority="1065"/>
  </conditionalFormatting>
  <conditionalFormatting sqref="B3">
    <cfRule type="duplicateValues" dxfId="855" priority="12"/>
    <cfRule type="duplicateValues" dxfId="854" priority="13"/>
    <cfRule type="duplicateValues" dxfId="853" priority="14"/>
  </conditionalFormatting>
  <conditionalFormatting sqref="B4">
    <cfRule type="duplicateValues" dxfId="852" priority="8"/>
    <cfRule type="duplicateValues" dxfId="851" priority="9"/>
    <cfRule type="duplicateValues" dxfId="850" priority="10"/>
  </conditionalFormatting>
  <pageMargins left="0.7" right="0.7" top="0.75" bottom="0.75" header="0.3" footer="0.3"/>
  <pageSetup paperSize="9" scale="53" orientation="landscape"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7213B8-EEE6-4EA9-8947-7262C020160A}">
  <sheetPr>
    <pageSetUpPr fitToPage="1"/>
  </sheetPr>
  <dimension ref="A1:O64"/>
  <sheetViews>
    <sheetView topLeftCell="A2" zoomScale="70" zoomScaleNormal="70" workbookViewId="0">
      <pane xSplit="3" ySplit="3" topLeftCell="D30" activePane="bottomRight" state="frozen"/>
      <selection pane="topRight" activeCell="D29" sqref="D29:E30"/>
      <selection pane="bottomLeft" activeCell="D29" sqref="D29:E30"/>
      <selection pane="bottomRight" activeCell="D29" sqref="D29:E30"/>
    </sheetView>
  </sheetViews>
  <sheetFormatPr defaultColWidth="25.5703125" defaultRowHeight="18.75"/>
  <cols>
    <col min="1" max="1" width="5" style="359" customWidth="1"/>
    <col min="2" max="2" width="33" style="1" customWidth="1"/>
    <col min="3" max="3" width="20" style="1138" customWidth="1"/>
    <col min="4" max="4" width="22.28515625" style="271" customWidth="1"/>
    <col min="5" max="5" width="30.42578125" style="271" customWidth="1"/>
    <col min="6" max="6" width="20.85546875" style="271" customWidth="1"/>
    <col min="7" max="7" width="15.140625" style="1" customWidth="1"/>
    <col min="8" max="8" width="24.140625" style="1" customWidth="1"/>
    <col min="9" max="9" width="59" style="9" customWidth="1"/>
    <col min="10" max="10" width="63" style="9" customWidth="1"/>
    <col min="11" max="11" width="24" style="9" customWidth="1"/>
    <col min="12" max="12" width="17.42578125" style="1" customWidth="1"/>
    <col min="13" max="13" width="10.28515625" style="804" hidden="1" customWidth="1"/>
    <col min="14" max="14" width="25.140625" style="3" customWidth="1"/>
    <col min="15" max="15" width="12.42578125" style="3" hidden="1" customWidth="1"/>
    <col min="16" max="16" width="34.5703125" style="3" customWidth="1"/>
    <col min="17" max="16384" width="25.5703125" style="3"/>
  </cols>
  <sheetData>
    <row r="1" spans="1:15" ht="17.25" customHeight="1">
      <c r="B1" s="10"/>
      <c r="C1" s="3624"/>
      <c r="D1" s="3624"/>
      <c r="E1" s="3624"/>
      <c r="F1" s="3624"/>
      <c r="G1" s="3624"/>
      <c r="H1" s="3624"/>
      <c r="I1" s="3624"/>
      <c r="J1" s="3624"/>
      <c r="K1" s="1349"/>
    </row>
    <row r="2" spans="1:15" ht="34.5" customHeight="1">
      <c r="A2" s="3637" t="s">
        <v>677</v>
      </c>
      <c r="B2" s="3637"/>
      <c r="C2" s="3637"/>
      <c r="D2" s="3637"/>
      <c r="E2" s="3637"/>
      <c r="F2" s="3637"/>
      <c r="G2" s="3637"/>
      <c r="H2" s="3637"/>
      <c r="I2" s="3637"/>
      <c r="J2" s="3637"/>
      <c r="K2" s="1348"/>
      <c r="L2" s="1176"/>
      <c r="M2" s="805"/>
      <c r="N2" s="1180"/>
      <c r="O2" s="287"/>
    </row>
    <row r="3" spans="1:15" ht="43.5" customHeight="1">
      <c r="A3" s="360"/>
      <c r="B3" s="385"/>
      <c r="C3" s="1177">
        <f>SUBTOTAL(9,C5:C309)</f>
        <v>300270</v>
      </c>
      <c r="D3" s="849"/>
      <c r="E3" s="849"/>
      <c r="F3" s="849"/>
      <c r="G3" s="199"/>
      <c r="H3" s="199"/>
      <c r="I3" s="202"/>
      <c r="J3" s="1350">
        <f ca="1">TODAY()</f>
        <v>45960</v>
      </c>
      <c r="K3" s="1350"/>
      <c r="L3" s="1350"/>
      <c r="M3" s="808"/>
      <c r="N3" s="287"/>
      <c r="O3" s="287"/>
    </row>
    <row r="4" spans="1:15" s="7" customFormat="1" ht="33">
      <c r="A4" s="810" t="s">
        <v>1</v>
      </c>
      <c r="B4" s="679" t="s">
        <v>339</v>
      </c>
      <c r="C4" s="1178" t="s">
        <v>3</v>
      </c>
      <c r="D4" s="679" t="s">
        <v>4</v>
      </c>
      <c r="E4" s="679" t="s">
        <v>6</v>
      </c>
      <c r="F4" s="679" t="s">
        <v>221</v>
      </c>
      <c r="G4" s="679" t="s">
        <v>8</v>
      </c>
      <c r="H4" s="679" t="s">
        <v>9</v>
      </c>
      <c r="I4" s="812" t="s">
        <v>10</v>
      </c>
      <c r="J4" s="679" t="s">
        <v>11</v>
      </c>
      <c r="K4" s="679" t="s">
        <v>13</v>
      </c>
      <c r="L4" s="679" t="s">
        <v>5</v>
      </c>
      <c r="M4" s="813" t="s">
        <v>340</v>
      </c>
      <c r="N4" s="325" t="s">
        <v>341</v>
      </c>
      <c r="O4" s="1283" t="e">
        <f>SUM(#REF!)</f>
        <v>#REF!</v>
      </c>
    </row>
    <row r="5" spans="1:15" s="367" customFormat="1" ht="222" customHeight="1">
      <c r="A5" s="362" cm="1">
        <f t="array" ref="A5:A64">_xlfn.SEQUENCE(60,1,1,)</f>
        <v>1</v>
      </c>
      <c r="B5" s="72" t="s">
        <v>678</v>
      </c>
      <c r="C5" s="1308">
        <v>16000</v>
      </c>
      <c r="D5" s="97" t="s">
        <v>226</v>
      </c>
      <c r="E5" s="97" t="s">
        <v>679</v>
      </c>
      <c r="F5" s="97"/>
      <c r="G5" s="185" t="s">
        <v>19</v>
      </c>
      <c r="H5" s="72" t="s">
        <v>172</v>
      </c>
      <c r="I5" s="74" t="s">
        <v>680</v>
      </c>
      <c r="J5" s="1311" t="s">
        <v>681</v>
      </c>
      <c r="K5" s="1311"/>
      <c r="L5" s="72" t="s">
        <v>43</v>
      </c>
      <c r="M5" s="1312"/>
      <c r="N5" s="1273">
        <f>C5-2270-1500-1972-4800-1700-1000</f>
        <v>2758</v>
      </c>
    </row>
    <row r="6" spans="1:15" s="367" customFormat="1" ht="139.5" customHeight="1">
      <c r="A6" s="362">
        <v>2</v>
      </c>
      <c r="B6" s="72" t="s">
        <v>279</v>
      </c>
      <c r="C6" s="1308">
        <v>16000</v>
      </c>
      <c r="D6" s="97" t="s">
        <v>226</v>
      </c>
      <c r="E6" s="97" t="s">
        <v>682</v>
      </c>
      <c r="F6" s="97"/>
      <c r="G6" s="185" t="s">
        <v>19</v>
      </c>
      <c r="H6" s="72" t="s">
        <v>172</v>
      </c>
      <c r="I6" s="74" t="s">
        <v>683</v>
      </c>
      <c r="J6" s="1313">
        <f>16000-2000-1400-2000-3300-7000</f>
        <v>300</v>
      </c>
      <c r="K6" s="1313"/>
      <c r="L6" s="72" t="s">
        <v>43</v>
      </c>
      <c r="M6" s="1312"/>
      <c r="N6" s="1273"/>
    </row>
    <row r="7" spans="1:15" s="367" customFormat="1" ht="150">
      <c r="A7" s="362">
        <v>3</v>
      </c>
      <c r="B7" s="72" t="s">
        <v>366</v>
      </c>
      <c r="C7" s="1308">
        <v>10200</v>
      </c>
      <c r="D7" s="97" t="s">
        <v>226</v>
      </c>
      <c r="E7" s="97" t="s">
        <v>684</v>
      </c>
      <c r="F7" s="97"/>
      <c r="G7" s="185" t="s">
        <v>19</v>
      </c>
      <c r="H7" s="72" t="s">
        <v>685</v>
      </c>
      <c r="I7" s="74" t="s">
        <v>686</v>
      </c>
      <c r="J7" s="1313" t="s">
        <v>687</v>
      </c>
      <c r="K7" s="1313"/>
      <c r="L7" s="72" t="s">
        <v>43</v>
      </c>
      <c r="M7" s="1312"/>
      <c r="N7" s="1273">
        <f>C7-3100-3000-1000-2000</f>
        <v>1100</v>
      </c>
    </row>
    <row r="8" spans="1:15" s="367" customFormat="1" ht="63" customHeight="1">
      <c r="A8" s="362">
        <v>4</v>
      </c>
      <c r="B8" s="72" t="s">
        <v>274</v>
      </c>
      <c r="C8" s="1308">
        <v>4250</v>
      </c>
      <c r="D8" s="97" t="s">
        <v>226</v>
      </c>
      <c r="E8" s="1271" t="s">
        <v>688</v>
      </c>
      <c r="F8" s="1271"/>
      <c r="G8" s="185" t="s">
        <v>19</v>
      </c>
      <c r="H8" s="97" t="s">
        <v>689</v>
      </c>
      <c r="I8" s="74" t="s">
        <v>690</v>
      </c>
      <c r="J8" s="72" t="s">
        <v>687</v>
      </c>
      <c r="K8" s="72"/>
      <c r="L8" s="72" t="s">
        <v>84</v>
      </c>
      <c r="M8" s="1272"/>
      <c r="N8" s="72"/>
    </row>
    <row r="9" spans="1:15" s="367" customFormat="1" ht="78.75" customHeight="1">
      <c r="A9" s="362">
        <v>5</v>
      </c>
      <c r="B9" s="72" t="s">
        <v>312</v>
      </c>
      <c r="C9" s="1308">
        <v>11800</v>
      </c>
      <c r="D9" s="97" t="s">
        <v>226</v>
      </c>
      <c r="E9" s="97" t="s">
        <v>691</v>
      </c>
      <c r="F9" s="97"/>
      <c r="G9" s="185" t="s">
        <v>19</v>
      </c>
      <c r="H9" s="72" t="s">
        <v>172</v>
      </c>
      <c r="I9" s="1276" t="s">
        <v>692</v>
      </c>
      <c r="J9" s="1315"/>
      <c r="K9" s="1315"/>
      <c r="L9" s="72" t="s">
        <v>43</v>
      </c>
      <c r="M9" s="1312"/>
      <c r="N9" s="72"/>
    </row>
    <row r="10" spans="1:15" s="367" customFormat="1" ht="63" customHeight="1">
      <c r="A10" s="362">
        <v>6</v>
      </c>
      <c r="B10" s="72" t="s">
        <v>693</v>
      </c>
      <c r="C10" s="1308">
        <v>5000</v>
      </c>
      <c r="D10" s="97" t="s">
        <v>226</v>
      </c>
      <c r="E10" s="97" t="s">
        <v>694</v>
      </c>
      <c r="F10" s="97"/>
      <c r="G10" s="185" t="s">
        <v>19</v>
      </c>
      <c r="H10" s="97" t="s">
        <v>286</v>
      </c>
      <c r="I10" s="74" t="s">
        <v>695</v>
      </c>
      <c r="J10" s="1316" t="s">
        <v>696</v>
      </c>
      <c r="K10" s="1316"/>
      <c r="L10" s="72" t="s">
        <v>387</v>
      </c>
      <c r="M10" s="1272"/>
      <c r="N10" s="1273"/>
    </row>
    <row r="11" spans="1:15" s="855" customFormat="1" ht="157.5" customHeight="1">
      <c r="A11" s="687">
        <v>7</v>
      </c>
      <c r="B11" s="1317" t="s">
        <v>697</v>
      </c>
      <c r="C11" s="1318">
        <v>16300</v>
      </c>
      <c r="D11" s="1319" t="s">
        <v>226</v>
      </c>
      <c r="E11" s="1319" t="s">
        <v>698</v>
      </c>
      <c r="F11" s="1319"/>
      <c r="G11" s="1317" t="s">
        <v>19</v>
      </c>
      <c r="H11" s="1319" t="s">
        <v>172</v>
      </c>
      <c r="I11" s="1333" t="s">
        <v>699</v>
      </c>
      <c r="J11" s="1320"/>
      <c r="K11" s="1320"/>
      <c r="L11" s="1317" t="s">
        <v>43</v>
      </c>
      <c r="M11" s="1321"/>
      <c r="N11" s="1322">
        <f>1200+3000+2500+1000+1000+500+300</f>
        <v>9500</v>
      </c>
    </row>
    <row r="12" spans="1:15" s="367" customFormat="1" ht="126" customHeight="1">
      <c r="A12" s="695">
        <v>8</v>
      </c>
      <c r="B12" s="76" t="s">
        <v>700</v>
      </c>
      <c r="C12" s="1323">
        <v>6770</v>
      </c>
      <c r="D12" s="1324" t="s">
        <v>226</v>
      </c>
      <c r="E12" s="1324" t="s">
        <v>701</v>
      </c>
      <c r="F12" s="1324"/>
      <c r="G12" s="1317" t="s">
        <v>19</v>
      </c>
      <c r="H12" s="1324" t="s">
        <v>172</v>
      </c>
      <c r="I12" s="1325" t="s">
        <v>702</v>
      </c>
      <c r="J12" s="1326" t="s">
        <v>703</v>
      </c>
      <c r="K12" s="1326"/>
      <c r="L12" s="76" t="s">
        <v>16</v>
      </c>
      <c r="M12" s="1327"/>
      <c r="N12" s="1328"/>
    </row>
    <row r="13" spans="1:15" s="367" customFormat="1" ht="66" customHeight="1">
      <c r="A13" s="362">
        <v>9</v>
      </c>
      <c r="B13" s="72" t="s">
        <v>270</v>
      </c>
      <c r="C13" s="1330">
        <v>3940</v>
      </c>
      <c r="D13" s="97" t="s">
        <v>226</v>
      </c>
      <c r="E13" s="97" t="s">
        <v>704</v>
      </c>
      <c r="F13" s="97"/>
      <c r="G13" s="185" t="s">
        <v>19</v>
      </c>
      <c r="H13" s="97" t="s">
        <v>705</v>
      </c>
      <c r="I13" s="74" t="s">
        <v>706</v>
      </c>
      <c r="J13" s="1331" t="s">
        <v>687</v>
      </c>
      <c r="K13" s="1331"/>
      <c r="L13" s="72" t="s">
        <v>84</v>
      </c>
      <c r="M13" s="1272"/>
      <c r="N13" s="1273"/>
    </row>
    <row r="14" spans="1:15" s="367" customFormat="1" ht="99" customHeight="1">
      <c r="A14" s="362">
        <v>10</v>
      </c>
      <c r="B14" s="72" t="s">
        <v>274</v>
      </c>
      <c r="C14" s="1308">
        <v>4250</v>
      </c>
      <c r="D14" s="97" t="s">
        <v>226</v>
      </c>
      <c r="E14" s="97" t="s">
        <v>707</v>
      </c>
      <c r="F14" s="97"/>
      <c r="G14" s="185" t="s">
        <v>19</v>
      </c>
      <c r="H14" s="97" t="s">
        <v>199</v>
      </c>
      <c r="I14" s="74" t="s">
        <v>708</v>
      </c>
      <c r="J14" s="1332"/>
      <c r="K14" s="1332"/>
      <c r="L14" s="72" t="s">
        <v>84</v>
      </c>
      <c r="M14" s="1272"/>
      <c r="N14" s="1273"/>
    </row>
    <row r="15" spans="1:15" s="367" customFormat="1" ht="150">
      <c r="A15" s="362">
        <v>11</v>
      </c>
      <c r="B15" s="72" t="s">
        <v>279</v>
      </c>
      <c r="C15" s="1308">
        <v>16000</v>
      </c>
      <c r="D15" s="97" t="s">
        <v>226</v>
      </c>
      <c r="E15" s="97" t="s">
        <v>709</v>
      </c>
      <c r="F15" s="97"/>
      <c r="G15" s="185" t="s">
        <v>19</v>
      </c>
      <c r="H15" s="97" t="s">
        <v>63</v>
      </c>
      <c r="I15" s="74" t="s">
        <v>710</v>
      </c>
      <c r="J15" s="1332" t="s">
        <v>711</v>
      </c>
      <c r="K15" s="1332"/>
      <c r="L15" s="72" t="s">
        <v>43</v>
      </c>
      <c r="M15" s="1272"/>
      <c r="N15" s="1273">
        <f>C15-1950-4900-2450-1950-300</f>
        <v>4450</v>
      </c>
    </row>
    <row r="16" spans="1:15" s="659" customFormat="1" ht="165" customHeight="1">
      <c r="A16" s="362">
        <v>12</v>
      </c>
      <c r="B16" s="72" t="s">
        <v>712</v>
      </c>
      <c r="C16" s="1308">
        <v>16000</v>
      </c>
      <c r="D16" s="97" t="s">
        <v>226</v>
      </c>
      <c r="E16" s="97" t="s">
        <v>713</v>
      </c>
      <c r="F16" s="97"/>
      <c r="G16" s="185" t="s">
        <v>19</v>
      </c>
      <c r="H16" s="97" t="s">
        <v>172</v>
      </c>
      <c r="I16" s="74" t="s">
        <v>714</v>
      </c>
      <c r="J16" s="1332" t="s">
        <v>715</v>
      </c>
      <c r="K16" s="1332"/>
      <c r="L16" s="72" t="s">
        <v>43</v>
      </c>
      <c r="M16" s="1329"/>
      <c r="N16" s="1305">
        <f>C16-3000-3200-2800-5000-300</f>
        <v>1700</v>
      </c>
    </row>
    <row r="17" spans="1:14" s="367" customFormat="1" ht="192.75" customHeight="1">
      <c r="A17" s="362">
        <v>13</v>
      </c>
      <c r="B17" s="72" t="s">
        <v>366</v>
      </c>
      <c r="C17" s="1308">
        <v>10200</v>
      </c>
      <c r="D17" s="97" t="s">
        <v>251</v>
      </c>
      <c r="E17" s="97" t="s">
        <v>716</v>
      </c>
      <c r="F17" s="97"/>
      <c r="G17" s="185" t="s">
        <v>19</v>
      </c>
      <c r="H17" s="97" t="s">
        <v>393</v>
      </c>
      <c r="I17" s="74" t="s">
        <v>717</v>
      </c>
      <c r="J17" s="1332" t="s">
        <v>687</v>
      </c>
      <c r="K17" s="1332"/>
      <c r="L17" s="72" t="s">
        <v>43</v>
      </c>
      <c r="M17" s="1272"/>
      <c r="N17" s="1273">
        <f>C17-3000-3800-300-1642-218-480</f>
        <v>760</v>
      </c>
    </row>
    <row r="18" spans="1:14" s="367" customFormat="1" ht="36.75" customHeight="1">
      <c r="A18" s="362">
        <v>14</v>
      </c>
      <c r="B18" s="72" t="s">
        <v>270</v>
      </c>
      <c r="C18" s="1308">
        <v>3940</v>
      </c>
      <c r="D18" s="97" t="s">
        <v>226</v>
      </c>
      <c r="E18" s="97" t="s">
        <v>718</v>
      </c>
      <c r="F18" s="97"/>
      <c r="G18" s="185" t="s">
        <v>19</v>
      </c>
      <c r="H18" s="97" t="s">
        <v>101</v>
      </c>
      <c r="I18" s="74" t="s">
        <v>719</v>
      </c>
      <c r="J18" s="1332"/>
      <c r="K18" s="1332"/>
      <c r="L18" s="72" t="s">
        <v>84</v>
      </c>
      <c r="M18" s="1272"/>
      <c r="N18" s="1273">
        <f>C18-1550-150-1500</f>
        <v>740</v>
      </c>
    </row>
    <row r="19" spans="1:14" s="367" customFormat="1" ht="75">
      <c r="A19" s="362">
        <v>15</v>
      </c>
      <c r="B19" s="72" t="s">
        <v>720</v>
      </c>
      <c r="C19" s="1308">
        <v>6000</v>
      </c>
      <c r="D19" s="97" t="s">
        <v>226</v>
      </c>
      <c r="E19" s="97" t="s">
        <v>721</v>
      </c>
      <c r="F19" s="97"/>
      <c r="G19" s="185" t="s">
        <v>19</v>
      </c>
      <c r="H19" s="97" t="s">
        <v>199</v>
      </c>
      <c r="I19" s="74" t="s">
        <v>722</v>
      </c>
      <c r="J19" s="1332" t="s">
        <v>723</v>
      </c>
      <c r="K19" s="1332"/>
      <c r="L19" s="72" t="s">
        <v>16</v>
      </c>
      <c r="M19" s="1272"/>
      <c r="N19" s="1273">
        <f>C19-3500</f>
        <v>2500</v>
      </c>
    </row>
    <row r="20" spans="1:14" s="367" customFormat="1" ht="339" customHeight="1">
      <c r="A20" s="362">
        <v>16</v>
      </c>
      <c r="B20" s="72" t="s">
        <v>724</v>
      </c>
      <c r="C20" s="1308">
        <v>16000</v>
      </c>
      <c r="D20" s="1334" t="s">
        <v>226</v>
      </c>
      <c r="E20" s="97" t="s">
        <v>725</v>
      </c>
      <c r="F20" s="97"/>
      <c r="G20" s="185" t="s">
        <v>19</v>
      </c>
      <c r="H20" s="97" t="s">
        <v>172</v>
      </c>
      <c r="I20" s="74" t="s">
        <v>726</v>
      </c>
      <c r="J20" s="1316"/>
      <c r="K20" s="1316"/>
      <c r="L20" s="72" t="s">
        <v>43</v>
      </c>
      <c r="M20" s="1272"/>
      <c r="N20" s="1273">
        <f>1600+1300+320+2000+400+1800+1000+3000+48+2000+300+1400</f>
        <v>15168</v>
      </c>
    </row>
    <row r="21" spans="1:14" s="367" customFormat="1" ht="51.75" customHeight="1">
      <c r="A21" s="362">
        <v>17</v>
      </c>
      <c r="B21" s="72" t="s">
        <v>274</v>
      </c>
      <c r="C21" s="1308">
        <v>4250</v>
      </c>
      <c r="D21" s="1334" t="s">
        <v>226</v>
      </c>
      <c r="E21" s="97" t="s">
        <v>727</v>
      </c>
      <c r="F21" s="97"/>
      <c r="G21" s="185" t="s">
        <v>19</v>
      </c>
      <c r="H21" s="97" t="s">
        <v>101</v>
      </c>
      <c r="I21" s="74" t="s">
        <v>728</v>
      </c>
      <c r="J21" s="1316">
        <f>2650+2500</f>
        <v>5150</v>
      </c>
      <c r="K21" s="1316"/>
      <c r="L21" s="72" t="s">
        <v>84</v>
      </c>
      <c r="M21" s="1272"/>
      <c r="N21" s="1273"/>
    </row>
    <row r="22" spans="1:14" s="367" customFormat="1" ht="106.5" customHeight="1">
      <c r="A22" s="362">
        <v>18</v>
      </c>
      <c r="B22" s="72" t="s">
        <v>700</v>
      </c>
      <c r="C22" s="1308">
        <v>6700</v>
      </c>
      <c r="D22" s="1334" t="s">
        <v>353</v>
      </c>
      <c r="E22" s="97" t="s">
        <v>729</v>
      </c>
      <c r="F22" s="97"/>
      <c r="G22" s="185" t="s">
        <v>19</v>
      </c>
      <c r="H22" s="97" t="s">
        <v>63</v>
      </c>
      <c r="I22" s="1276" t="s">
        <v>730</v>
      </c>
      <c r="J22" s="1332" t="s">
        <v>731</v>
      </c>
      <c r="K22" s="1332"/>
      <c r="L22" s="72" t="s">
        <v>16</v>
      </c>
      <c r="M22" s="1272"/>
      <c r="N22" s="1273">
        <f>C22-2000-2460-1000</f>
        <v>1240</v>
      </c>
    </row>
    <row r="23" spans="1:14" s="367" customFormat="1" ht="37.5">
      <c r="A23" s="362">
        <v>19</v>
      </c>
      <c r="B23" s="72" t="s">
        <v>732</v>
      </c>
      <c r="C23" s="1308">
        <v>10000</v>
      </c>
      <c r="D23" s="1334" t="s">
        <v>353</v>
      </c>
      <c r="E23" s="97" t="s">
        <v>733</v>
      </c>
      <c r="F23" s="97"/>
      <c r="G23" s="185" t="s">
        <v>19</v>
      </c>
      <c r="H23" s="97" t="s">
        <v>286</v>
      </c>
      <c r="I23" s="74" t="s">
        <v>734</v>
      </c>
      <c r="J23" s="1316"/>
      <c r="K23" s="1316"/>
      <c r="L23" s="72" t="s">
        <v>387</v>
      </c>
      <c r="M23" s="1272"/>
      <c r="N23" s="1273"/>
    </row>
    <row r="24" spans="1:14" s="367" customFormat="1" ht="167.25" customHeight="1">
      <c r="A24" s="362">
        <v>20</v>
      </c>
      <c r="B24" s="72" t="s">
        <v>270</v>
      </c>
      <c r="C24" s="1308">
        <v>3940</v>
      </c>
      <c r="D24" s="1334" t="s">
        <v>226</v>
      </c>
      <c r="E24" s="97" t="s">
        <v>735</v>
      </c>
      <c r="F24" s="97"/>
      <c r="G24" s="185" t="s">
        <v>19</v>
      </c>
      <c r="H24" s="97" t="s">
        <v>199</v>
      </c>
      <c r="I24" s="1276" t="s">
        <v>736</v>
      </c>
      <c r="J24" s="1316" t="s">
        <v>737</v>
      </c>
      <c r="K24" s="1316"/>
      <c r="L24" s="72" t="s">
        <v>84</v>
      </c>
      <c r="M24" s="1272"/>
      <c r="N24" s="1273">
        <f>C24-650-2550</f>
        <v>740</v>
      </c>
    </row>
    <row r="25" spans="1:14" s="1249" customFormat="1" ht="190.5" customHeight="1">
      <c r="A25" s="1284">
        <v>21</v>
      </c>
      <c r="B25" s="17" t="s">
        <v>279</v>
      </c>
      <c r="C25" s="1285">
        <v>16000</v>
      </c>
      <c r="D25" s="1336" t="s">
        <v>226</v>
      </c>
      <c r="E25" s="23" t="s">
        <v>738</v>
      </c>
      <c r="F25" s="23"/>
      <c r="G25" s="1287" t="s">
        <v>19</v>
      </c>
      <c r="H25" s="23" t="s">
        <v>172</v>
      </c>
      <c r="I25" s="21" t="s">
        <v>739</v>
      </c>
      <c r="J25" s="1337"/>
      <c r="K25" s="1337"/>
      <c r="L25" s="17" t="s">
        <v>43</v>
      </c>
      <c r="M25" s="1289"/>
      <c r="N25" s="1297">
        <f>2000+3000+2500+1300+300+900</f>
        <v>10000</v>
      </c>
    </row>
    <row r="26" spans="1:14" s="367" customFormat="1" ht="102.75" customHeight="1">
      <c r="A26" s="695">
        <v>22</v>
      </c>
      <c r="B26" s="76" t="s">
        <v>249</v>
      </c>
      <c r="C26" s="1323">
        <v>3000</v>
      </c>
      <c r="D26" s="1341" t="s">
        <v>226</v>
      </c>
      <c r="E26" s="1324" t="s">
        <v>740</v>
      </c>
      <c r="F26" s="1324"/>
      <c r="G26" s="1317" t="s">
        <v>19</v>
      </c>
      <c r="H26" s="1324" t="s">
        <v>741</v>
      </c>
      <c r="I26" s="84" t="s">
        <v>742</v>
      </c>
      <c r="J26" s="1342" t="s">
        <v>743</v>
      </c>
      <c r="K26" s="1342"/>
      <c r="L26" s="76" t="s">
        <v>84</v>
      </c>
      <c r="M26" s="1327"/>
      <c r="N26" s="1328"/>
    </row>
    <row r="27" spans="1:14" s="367" customFormat="1" ht="171.75" customHeight="1">
      <c r="A27" s="695">
        <v>23</v>
      </c>
      <c r="B27" s="76" t="s">
        <v>678</v>
      </c>
      <c r="C27" s="1323">
        <v>16000</v>
      </c>
      <c r="D27" s="1341" t="s">
        <v>226</v>
      </c>
      <c r="E27" s="1324" t="s">
        <v>744</v>
      </c>
      <c r="F27" s="1324"/>
      <c r="G27" s="1317" t="s">
        <v>19</v>
      </c>
      <c r="H27" s="1324" t="s">
        <v>172</v>
      </c>
      <c r="I27" s="84" t="s">
        <v>745</v>
      </c>
      <c r="J27" s="1343" t="s">
        <v>746</v>
      </c>
      <c r="K27" s="1343"/>
      <c r="L27" s="76" t="s">
        <v>43</v>
      </c>
      <c r="M27" s="1327"/>
      <c r="N27" s="1328"/>
    </row>
    <row r="28" spans="1:14" s="367" customFormat="1" ht="126" customHeight="1">
      <c r="A28" s="695">
        <v>24</v>
      </c>
      <c r="B28" s="76" t="s">
        <v>366</v>
      </c>
      <c r="C28" s="1323">
        <v>10200</v>
      </c>
      <c r="D28" s="1341" t="s">
        <v>226</v>
      </c>
      <c r="E28" s="1324" t="s">
        <v>747</v>
      </c>
      <c r="F28" s="1324" t="s">
        <v>748</v>
      </c>
      <c r="G28" s="1317" t="s">
        <v>19</v>
      </c>
      <c r="H28" s="1324" t="s">
        <v>393</v>
      </c>
      <c r="I28" s="84" t="s">
        <v>749</v>
      </c>
      <c r="J28" s="1342" t="s">
        <v>750</v>
      </c>
      <c r="K28" s="1342" t="s">
        <v>751</v>
      </c>
      <c r="L28" s="76" t="s">
        <v>43</v>
      </c>
      <c r="M28" s="1327"/>
      <c r="N28" s="1328">
        <f>10200-4950-950-1330-450</f>
        <v>2520</v>
      </c>
    </row>
    <row r="29" spans="1:14" s="367" customFormat="1" ht="87.75" customHeight="1">
      <c r="A29" s="695">
        <v>25</v>
      </c>
      <c r="B29" s="76" t="s">
        <v>274</v>
      </c>
      <c r="C29" s="1323">
        <v>4250</v>
      </c>
      <c r="D29" s="1341" t="s">
        <v>226</v>
      </c>
      <c r="E29" s="1324" t="s">
        <v>752</v>
      </c>
      <c r="F29" s="1324"/>
      <c r="G29" s="1317" t="s">
        <v>19</v>
      </c>
      <c r="H29" s="1324" t="s">
        <v>364</v>
      </c>
      <c r="I29" s="1353" t="s">
        <v>753</v>
      </c>
      <c r="J29" s="1354"/>
      <c r="K29" s="1354" t="s">
        <v>412</v>
      </c>
      <c r="L29" s="76" t="s">
        <v>84</v>
      </c>
      <c r="M29" s="1327"/>
      <c r="N29" s="1328">
        <f>C29-150-1550-1000</f>
        <v>1550</v>
      </c>
    </row>
    <row r="30" spans="1:14" s="367" customFormat="1" ht="148.5" customHeight="1">
      <c r="A30" s="362">
        <v>26</v>
      </c>
      <c r="B30" s="72" t="s">
        <v>700</v>
      </c>
      <c r="C30" s="1308">
        <v>6770</v>
      </c>
      <c r="D30" s="97" t="s">
        <v>226</v>
      </c>
      <c r="E30" s="1355" t="s">
        <v>754</v>
      </c>
      <c r="F30" s="1355" t="s">
        <v>755</v>
      </c>
      <c r="G30" s="185" t="s">
        <v>19</v>
      </c>
      <c r="H30" s="72" t="s">
        <v>63</v>
      </c>
      <c r="I30" s="1276" t="s">
        <v>756</v>
      </c>
      <c r="J30" s="1356">
        <f>C30-3300-2000-400</f>
        <v>1070</v>
      </c>
      <c r="K30" s="1357" t="s">
        <v>757</v>
      </c>
      <c r="L30" s="72" t="s">
        <v>16</v>
      </c>
      <c r="M30" s="1272"/>
      <c r="N30" s="72"/>
    </row>
    <row r="31" spans="1:14" s="367" customFormat="1" ht="47.25" customHeight="1">
      <c r="A31" s="695">
        <v>27</v>
      </c>
      <c r="B31" s="76" t="s">
        <v>409</v>
      </c>
      <c r="C31" s="1323">
        <v>12000</v>
      </c>
      <c r="D31" s="1341" t="s">
        <v>353</v>
      </c>
      <c r="E31" s="1324" t="s">
        <v>410</v>
      </c>
      <c r="F31" s="1368">
        <v>44572</v>
      </c>
      <c r="G31" s="1317" t="s">
        <v>19</v>
      </c>
      <c r="H31" s="1324" t="s">
        <v>286</v>
      </c>
      <c r="I31" s="1353" t="s">
        <v>411</v>
      </c>
      <c r="J31" s="1354"/>
      <c r="K31" s="1354" t="s">
        <v>412</v>
      </c>
      <c r="L31" s="76" t="s">
        <v>387</v>
      </c>
      <c r="M31" s="1327"/>
      <c r="N31" s="1328"/>
    </row>
    <row r="32" spans="1:14" s="367" customFormat="1" ht="87" customHeight="1">
      <c r="A32" s="695">
        <v>28</v>
      </c>
      <c r="B32" s="76" t="s">
        <v>413</v>
      </c>
      <c r="C32" s="1323">
        <v>14370</v>
      </c>
      <c r="D32" s="1324" t="s">
        <v>353</v>
      </c>
      <c r="E32" s="1369" t="s">
        <v>414</v>
      </c>
      <c r="F32" s="1370" t="s">
        <v>758</v>
      </c>
      <c r="G32" s="1317" t="s">
        <v>19</v>
      </c>
      <c r="H32" s="76" t="s">
        <v>172</v>
      </c>
      <c r="I32" s="1416" t="s">
        <v>416</v>
      </c>
      <c r="J32" s="1371" t="s">
        <v>417</v>
      </c>
      <c r="K32" s="1356" t="s">
        <v>412</v>
      </c>
      <c r="L32" s="76" t="s">
        <v>43</v>
      </c>
      <c r="M32" s="1327"/>
      <c r="N32" s="76"/>
    </row>
    <row r="33" spans="1:14" s="1" customFormat="1" ht="129" customHeight="1">
      <c r="A33" s="360">
        <v>29</v>
      </c>
      <c r="B33" s="41" t="s">
        <v>270</v>
      </c>
      <c r="C33" s="1282">
        <v>3940</v>
      </c>
      <c r="D33" s="90" t="s">
        <v>759</v>
      </c>
      <c r="E33" s="1335"/>
      <c r="F33" s="1335"/>
      <c r="G33" s="1254" t="s">
        <v>19</v>
      </c>
      <c r="H33" s="90" t="s">
        <v>199</v>
      </c>
      <c r="I33" s="1351" t="s">
        <v>760</v>
      </c>
      <c r="J33" s="41"/>
      <c r="K33" s="1338" t="s">
        <v>412</v>
      </c>
      <c r="L33" s="41" t="s">
        <v>84</v>
      </c>
      <c r="M33" s="1275"/>
      <c r="N33" s="41"/>
    </row>
    <row r="34" spans="1:14" s="1" customFormat="1" ht="70.5" customHeight="1">
      <c r="A34" s="1344">
        <v>30</v>
      </c>
      <c r="B34" s="144" t="s">
        <v>418</v>
      </c>
      <c r="C34" s="1339">
        <v>10200</v>
      </c>
      <c r="D34" s="111" t="s">
        <v>761</v>
      </c>
      <c r="E34" s="1345" t="s">
        <v>762</v>
      </c>
      <c r="F34" s="1345"/>
      <c r="G34" s="760" t="s">
        <v>19</v>
      </c>
      <c r="H34" s="111" t="s">
        <v>421</v>
      </c>
      <c r="I34" s="1346" t="s">
        <v>422</v>
      </c>
      <c r="J34" s="1352" t="s">
        <v>763</v>
      </c>
      <c r="K34" s="1340" t="s">
        <v>412</v>
      </c>
      <c r="L34" s="144" t="s">
        <v>43</v>
      </c>
      <c r="M34" s="1347"/>
      <c r="N34" s="144"/>
    </row>
    <row r="35" spans="1:14" s="1" customFormat="1" ht="130.5" customHeight="1">
      <c r="A35" s="360">
        <v>31</v>
      </c>
      <c r="B35" s="41" t="s">
        <v>279</v>
      </c>
      <c r="C35" s="1282">
        <v>16000</v>
      </c>
      <c r="D35" s="90" t="s">
        <v>764</v>
      </c>
      <c r="E35" s="1335"/>
      <c r="F35" s="1335"/>
      <c r="G35" s="1254" t="s">
        <v>19</v>
      </c>
      <c r="H35" s="41" t="s">
        <v>172</v>
      </c>
      <c r="I35" s="1351" t="s">
        <v>765</v>
      </c>
      <c r="J35" s="1291">
        <f>C35-1900-600-1500-2700-800</f>
        <v>8500</v>
      </c>
      <c r="K35" s="1338" t="s">
        <v>766</v>
      </c>
      <c r="L35" s="41" t="s">
        <v>43</v>
      </c>
      <c r="M35" s="1275"/>
      <c r="N35" s="41"/>
    </row>
    <row r="36" spans="1:14" s="1" customFormat="1" ht="20.25">
      <c r="A36" s="360">
        <v>32</v>
      </c>
      <c r="B36" s="41"/>
      <c r="C36" s="1358"/>
      <c r="D36" s="1361"/>
      <c r="E36" s="1359"/>
      <c r="F36" s="1360"/>
      <c r="G36" s="41"/>
      <c r="H36" s="41"/>
      <c r="I36" s="1293"/>
      <c r="J36" s="41"/>
      <c r="K36" s="41"/>
      <c r="L36" s="41"/>
      <c r="M36" s="1275"/>
      <c r="N36" s="41"/>
    </row>
    <row r="37" spans="1:14" s="1" customFormat="1" ht="45.75" customHeight="1">
      <c r="A37" s="359">
        <v>33</v>
      </c>
      <c r="C37" s="1179"/>
      <c r="D37" s="271"/>
      <c r="E37" s="271"/>
      <c r="F37" s="271"/>
      <c r="I37" s="477" t="s">
        <v>767</v>
      </c>
      <c r="M37" s="804"/>
    </row>
    <row r="38" spans="1:14" s="1" customFormat="1">
      <c r="A38" s="359">
        <v>34</v>
      </c>
      <c r="C38" s="1179"/>
      <c r="D38" s="271"/>
      <c r="E38" s="271"/>
      <c r="F38" s="271"/>
      <c r="I38" s="9" t="s">
        <v>768</v>
      </c>
      <c r="M38" s="804"/>
    </row>
    <row r="39" spans="1:14" s="1" customFormat="1">
      <c r="A39" s="359">
        <v>35</v>
      </c>
      <c r="C39" s="1179"/>
      <c r="D39" s="271"/>
      <c r="E39" s="271"/>
      <c r="F39" s="271"/>
      <c r="I39" s="9" t="s">
        <v>769</v>
      </c>
      <c r="M39" s="804"/>
    </row>
    <row r="40" spans="1:14" s="1" customFormat="1">
      <c r="A40" s="359">
        <v>36</v>
      </c>
      <c r="C40" s="1179"/>
      <c r="D40" s="271"/>
      <c r="E40" s="271"/>
      <c r="F40" s="271"/>
      <c r="I40" s="9"/>
      <c r="M40" s="804"/>
    </row>
    <row r="41" spans="1:14" s="1" customFormat="1">
      <c r="A41" s="359">
        <v>37</v>
      </c>
      <c r="C41" s="1179"/>
      <c r="D41" s="271"/>
      <c r="E41" s="271"/>
      <c r="F41" s="271"/>
      <c r="I41" s="9"/>
      <c r="M41" s="804"/>
    </row>
    <row r="42" spans="1:14" s="1" customFormat="1">
      <c r="A42" s="359">
        <v>38</v>
      </c>
      <c r="C42" s="1179"/>
      <c r="D42" s="271"/>
      <c r="E42" s="271"/>
      <c r="F42" s="271"/>
      <c r="I42" s="9"/>
      <c r="M42" s="804"/>
    </row>
    <row r="43" spans="1:14" s="1" customFormat="1">
      <c r="A43" s="359">
        <v>39</v>
      </c>
      <c r="C43" s="1179"/>
      <c r="D43" s="271"/>
      <c r="E43" s="271"/>
      <c r="F43" s="271"/>
      <c r="I43" s="9"/>
      <c r="M43" s="804"/>
    </row>
    <row r="44" spans="1:14" s="1" customFormat="1">
      <c r="A44" s="359">
        <v>40</v>
      </c>
      <c r="C44" s="1179"/>
      <c r="D44" s="271"/>
      <c r="E44" s="271"/>
      <c r="F44" s="271"/>
      <c r="I44" s="9"/>
      <c r="M44" s="804"/>
    </row>
    <row r="45" spans="1:14" s="1" customFormat="1">
      <c r="A45" s="359">
        <v>41</v>
      </c>
      <c r="C45" s="1179"/>
      <c r="D45" s="271"/>
      <c r="E45" s="271"/>
      <c r="F45" s="271"/>
      <c r="I45" s="9"/>
      <c r="M45" s="804"/>
    </row>
    <row r="46" spans="1:14" s="1" customFormat="1">
      <c r="A46" s="359">
        <v>42</v>
      </c>
      <c r="C46" s="1179"/>
      <c r="D46" s="271"/>
      <c r="E46" s="271"/>
      <c r="F46" s="271"/>
      <c r="I46" s="9"/>
      <c r="M46" s="804"/>
    </row>
    <row r="47" spans="1:14" s="1" customFormat="1">
      <c r="A47" s="359">
        <v>43</v>
      </c>
      <c r="C47" s="1179"/>
      <c r="D47" s="271"/>
      <c r="E47" s="271"/>
      <c r="F47" s="271"/>
      <c r="I47" s="9"/>
      <c r="M47" s="804"/>
    </row>
    <row r="48" spans="1:14" s="1" customFormat="1">
      <c r="A48" s="359">
        <v>44</v>
      </c>
      <c r="C48" s="1179"/>
      <c r="D48" s="271"/>
      <c r="E48" s="271"/>
      <c r="F48" s="271"/>
      <c r="I48" s="9"/>
      <c r="M48" s="804"/>
    </row>
    <row r="49" spans="1:15" s="1" customFormat="1">
      <c r="A49" s="359">
        <v>45</v>
      </c>
      <c r="C49" s="1179"/>
      <c r="D49" s="271"/>
      <c r="E49" s="271"/>
      <c r="F49" s="271"/>
      <c r="I49" s="9"/>
      <c r="M49" s="804"/>
    </row>
    <row r="50" spans="1:15" s="1" customFormat="1">
      <c r="A50" s="359">
        <v>46</v>
      </c>
      <c r="C50" s="1179"/>
      <c r="D50" s="271"/>
      <c r="E50" s="271"/>
      <c r="F50" s="271"/>
      <c r="I50" s="9"/>
      <c r="M50" s="804"/>
    </row>
    <row r="51" spans="1:15" s="1" customFormat="1">
      <c r="A51" s="359">
        <v>47</v>
      </c>
      <c r="C51" s="1179"/>
      <c r="D51" s="271"/>
      <c r="E51" s="271"/>
      <c r="F51" s="271"/>
      <c r="I51" s="9"/>
      <c r="M51" s="804"/>
    </row>
    <row r="52" spans="1:15" s="1" customFormat="1">
      <c r="A52" s="359">
        <v>48</v>
      </c>
      <c r="C52" s="1179"/>
      <c r="D52" s="271"/>
      <c r="E52" s="271"/>
      <c r="F52" s="271"/>
      <c r="I52" s="9"/>
      <c r="M52" s="804"/>
    </row>
    <row r="53" spans="1:15" s="1" customFormat="1">
      <c r="A53" s="359">
        <v>49</v>
      </c>
      <c r="C53" s="1179"/>
      <c r="D53" s="271"/>
      <c r="E53" s="271"/>
      <c r="F53" s="271"/>
      <c r="I53" s="9"/>
      <c r="M53" s="804"/>
    </row>
    <row r="54" spans="1:15" s="1" customFormat="1">
      <c r="A54" s="359">
        <v>50</v>
      </c>
      <c r="C54" s="1179"/>
      <c r="D54" s="271"/>
      <c r="E54" s="271"/>
      <c r="F54" s="271"/>
      <c r="I54" s="9"/>
      <c r="M54" s="804"/>
    </row>
    <row r="55" spans="1:15" s="1" customFormat="1">
      <c r="A55" s="359">
        <v>51</v>
      </c>
      <c r="C55" s="1179"/>
      <c r="D55" s="271"/>
      <c r="E55" s="271"/>
      <c r="F55" s="271"/>
      <c r="I55" s="9"/>
      <c r="M55" s="804"/>
      <c r="N55" s="3"/>
      <c r="O55" s="3"/>
    </row>
    <row r="56" spans="1:15" s="1" customFormat="1">
      <c r="A56" s="359">
        <v>52</v>
      </c>
      <c r="C56" s="1179"/>
      <c r="D56" s="271"/>
      <c r="E56" s="271"/>
      <c r="F56" s="271"/>
      <c r="I56" s="9"/>
      <c r="M56" s="804"/>
      <c r="N56" s="3"/>
      <c r="O56" s="3"/>
    </row>
    <row r="57" spans="1:15" s="1" customFormat="1">
      <c r="A57" s="359">
        <v>53</v>
      </c>
      <c r="C57" s="1138"/>
      <c r="D57" s="271"/>
      <c r="E57" s="271"/>
      <c r="F57" s="271"/>
      <c r="I57" s="9"/>
      <c r="J57" s="9"/>
      <c r="K57" s="9"/>
      <c r="M57" s="804"/>
      <c r="N57" s="3"/>
      <c r="O57" s="3"/>
    </row>
    <row r="58" spans="1:15" s="1" customFormat="1">
      <c r="A58" s="359">
        <v>54</v>
      </c>
      <c r="C58" s="1138"/>
      <c r="D58" s="271"/>
      <c r="E58" s="271"/>
      <c r="F58" s="271"/>
      <c r="I58" s="9"/>
      <c r="J58" s="9"/>
      <c r="K58" s="9"/>
      <c r="M58" s="804"/>
      <c r="N58" s="3"/>
      <c r="O58" s="3"/>
    </row>
    <row r="59" spans="1:15" s="1" customFormat="1">
      <c r="A59" s="359">
        <v>55</v>
      </c>
      <c r="C59" s="1138"/>
      <c r="D59" s="271"/>
      <c r="E59" s="271"/>
      <c r="F59" s="271"/>
      <c r="I59" s="9"/>
      <c r="J59" s="9"/>
      <c r="K59" s="9"/>
      <c r="M59" s="804"/>
      <c r="N59" s="3"/>
      <c r="O59" s="3"/>
    </row>
    <row r="60" spans="1:15" s="1" customFormat="1">
      <c r="A60" s="359">
        <v>56</v>
      </c>
      <c r="C60" s="1138"/>
      <c r="D60" s="271"/>
      <c r="E60" s="271"/>
      <c r="F60" s="271"/>
      <c r="I60" s="9"/>
      <c r="J60" s="9"/>
      <c r="K60" s="9"/>
      <c r="M60" s="804"/>
      <c r="N60" s="3"/>
      <c r="O60" s="3"/>
    </row>
    <row r="61" spans="1:15" s="1" customFormat="1">
      <c r="A61" s="359">
        <v>57</v>
      </c>
      <c r="C61" s="1138"/>
      <c r="D61" s="271"/>
      <c r="E61" s="271"/>
      <c r="F61" s="271"/>
      <c r="I61" s="9"/>
      <c r="J61" s="9"/>
      <c r="K61" s="9"/>
      <c r="M61" s="804"/>
      <c r="N61" s="3"/>
      <c r="O61" s="3"/>
    </row>
    <row r="62" spans="1:15" s="1" customFormat="1">
      <c r="A62" s="359">
        <v>58</v>
      </c>
      <c r="C62" s="1138"/>
      <c r="D62" s="271"/>
      <c r="E62" s="271"/>
      <c r="F62" s="271"/>
      <c r="I62" s="9"/>
      <c r="J62" s="9"/>
      <c r="K62" s="9"/>
      <c r="M62" s="804"/>
      <c r="N62" s="3"/>
      <c r="O62" s="3"/>
    </row>
    <row r="63" spans="1:15" s="1" customFormat="1">
      <c r="A63" s="359">
        <v>59</v>
      </c>
      <c r="C63" s="1138"/>
      <c r="D63" s="271"/>
      <c r="E63" s="271"/>
      <c r="F63" s="271"/>
      <c r="I63" s="9"/>
      <c r="J63" s="9"/>
      <c r="K63" s="9"/>
      <c r="M63" s="804"/>
      <c r="N63" s="3"/>
      <c r="O63" s="3"/>
    </row>
    <row r="64" spans="1:15" s="1" customFormat="1">
      <c r="A64" s="359">
        <v>60</v>
      </c>
      <c r="C64" s="1138"/>
      <c r="D64" s="271"/>
      <c r="E64" s="271"/>
      <c r="F64" s="271"/>
      <c r="I64" s="9"/>
      <c r="J64" s="9"/>
      <c r="K64" s="9"/>
      <c r="M64" s="804"/>
      <c r="N64" s="3"/>
      <c r="O64" s="3"/>
    </row>
  </sheetData>
  <autoFilter ref="A4:Q57" xr:uid="{00000000-0009-0000-0000-000001000000}"/>
  <mergeCells count="2">
    <mergeCell ref="C1:J1"/>
    <mergeCell ref="A2:J2"/>
  </mergeCells>
  <conditionalFormatting sqref="A1:A3">
    <cfRule type="duplicateValues" dxfId="849" priority="8"/>
  </conditionalFormatting>
  <conditionalFormatting sqref="A4">
    <cfRule type="duplicateValues" dxfId="848" priority="4"/>
  </conditionalFormatting>
  <conditionalFormatting sqref="B3">
    <cfRule type="duplicateValues" dxfId="847" priority="5"/>
    <cfRule type="duplicateValues" dxfId="846" priority="6"/>
    <cfRule type="duplicateValues" dxfId="845" priority="7"/>
  </conditionalFormatting>
  <conditionalFormatting sqref="B4">
    <cfRule type="duplicateValues" dxfId="844" priority="1"/>
    <cfRule type="duplicateValues" dxfId="843" priority="2"/>
    <cfRule type="duplicateValues" dxfId="842" priority="3"/>
  </conditionalFormatting>
  <pageMargins left="0.7" right="0.7" top="0.75" bottom="0.75" header="0.3" footer="0.3"/>
  <pageSetup paperSize="9" scale="56" orientation="landscape"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O64"/>
  <sheetViews>
    <sheetView topLeftCell="A2" zoomScale="70" zoomScaleNormal="70" workbookViewId="0">
      <pane xSplit="3" ySplit="3" topLeftCell="D5" activePane="bottomRight" state="frozen"/>
      <selection pane="topRight"/>
      <selection pane="bottomLeft"/>
      <selection pane="bottomRight"/>
    </sheetView>
  </sheetViews>
  <sheetFormatPr defaultColWidth="25.5703125" defaultRowHeight="18.75"/>
  <cols>
    <col min="1" max="1" width="5" style="359" customWidth="1"/>
    <col min="2" max="2" width="21.7109375" style="1" customWidth="1"/>
    <col min="3" max="3" width="18.7109375" style="1138" customWidth="1"/>
    <col min="4" max="4" width="19" style="271" customWidth="1"/>
    <col min="5" max="5" width="17.42578125" style="271" customWidth="1"/>
    <col min="6" max="6" width="12.42578125" style="1" customWidth="1"/>
    <col min="7" max="7" width="12" style="1" customWidth="1"/>
    <col min="8" max="8" width="67.42578125" style="9" customWidth="1"/>
    <col min="9" max="9" width="33.7109375" style="9" customWidth="1"/>
    <col min="10" max="10" width="15" style="1" customWidth="1"/>
    <col min="11" max="11" width="10.28515625" style="804" hidden="1" customWidth="1"/>
    <col min="12" max="12" width="25.140625" style="3" customWidth="1"/>
    <col min="13" max="13" width="12.42578125" style="3" hidden="1" customWidth="1"/>
    <col min="14" max="14" width="34.5703125" style="3" customWidth="1"/>
    <col min="15" max="16384" width="25.5703125" style="3"/>
  </cols>
  <sheetData>
    <row r="1" spans="1:15" ht="17.25" customHeight="1">
      <c r="B1" s="10"/>
      <c r="C1" s="3624"/>
      <c r="D1" s="3624"/>
      <c r="E1" s="3624"/>
      <c r="F1" s="3624"/>
      <c r="G1" s="3624"/>
      <c r="H1" s="3624"/>
      <c r="I1" s="3624"/>
    </row>
    <row r="2" spans="1:15" ht="34.5" customHeight="1">
      <c r="A2" s="3637" t="s">
        <v>770</v>
      </c>
      <c r="B2" s="3637"/>
      <c r="C2" s="3637"/>
      <c r="D2" s="3637"/>
      <c r="E2" s="3637"/>
      <c r="F2" s="3637"/>
      <c r="G2" s="3637"/>
      <c r="H2" s="3637"/>
      <c r="I2" s="3637"/>
      <c r="J2" s="1176"/>
      <c r="K2" s="805"/>
      <c r="L2" s="1180"/>
      <c r="M2" s="287"/>
    </row>
    <row r="3" spans="1:15" ht="13.5" customHeight="1">
      <c r="A3" s="360"/>
      <c r="B3" s="385"/>
      <c r="C3" s="1177">
        <f>SUBTOTAL(9,C5:C328)</f>
        <v>163233.79999999999</v>
      </c>
      <c r="D3" s="849"/>
      <c r="E3" s="849"/>
      <c r="F3" s="199"/>
      <c r="G3" s="199"/>
      <c r="H3" s="202"/>
      <c r="I3" s="3639">
        <f ca="1">TODAY()</f>
        <v>45960</v>
      </c>
      <c r="J3" s="3639"/>
      <c r="K3" s="808"/>
      <c r="L3" s="287"/>
      <c r="M3" s="287"/>
    </row>
    <row r="4" spans="1:15" s="7" customFormat="1" ht="49.5">
      <c r="A4" s="810" t="s">
        <v>1</v>
      </c>
      <c r="B4" s="679" t="s">
        <v>339</v>
      </c>
      <c r="C4" s="1178" t="s">
        <v>3</v>
      </c>
      <c r="D4" s="679" t="s">
        <v>4</v>
      </c>
      <c r="E4" s="679" t="s">
        <v>6</v>
      </c>
      <c r="F4" s="679" t="s">
        <v>8</v>
      </c>
      <c r="G4" s="679" t="s">
        <v>9</v>
      </c>
      <c r="H4" s="812" t="s">
        <v>10</v>
      </c>
      <c r="I4" s="679" t="s">
        <v>11</v>
      </c>
      <c r="J4" s="679" t="s">
        <v>5</v>
      </c>
      <c r="K4" s="813" t="s">
        <v>340</v>
      </c>
      <c r="L4" s="753" t="s">
        <v>341</v>
      </c>
      <c r="M4" s="1181">
        <f>SUM(M5:M9)</f>
        <v>30777</v>
      </c>
    </row>
    <row r="5" spans="1:15" s="336" customFormat="1" ht="82.5" customHeight="1">
      <c r="A5" s="786" cm="1">
        <f t="array" ref="A5:A64">_xlfn.SEQUENCE(60,1,1,)</f>
        <v>1</v>
      </c>
      <c r="B5" s="87" t="s">
        <v>771</v>
      </c>
      <c r="C5" s="118">
        <v>5100</v>
      </c>
      <c r="D5" s="133" t="s">
        <v>251</v>
      </c>
      <c r="E5" s="133" t="s">
        <v>772</v>
      </c>
      <c r="F5" s="87" t="s">
        <v>19</v>
      </c>
      <c r="G5" s="87" t="s">
        <v>517</v>
      </c>
      <c r="H5" s="93" t="s">
        <v>773</v>
      </c>
      <c r="I5" s="396" t="s">
        <v>774</v>
      </c>
      <c r="J5" s="87" t="s">
        <v>43</v>
      </c>
      <c r="K5" s="1082">
        <f t="shared" ref="K5:K10" si="0">C5</f>
        <v>5100</v>
      </c>
      <c r="L5" s="241" t="s">
        <v>43</v>
      </c>
      <c r="M5" s="1182">
        <f>SUMIF($J:$J,L5,K:K)</f>
        <v>17900</v>
      </c>
      <c r="N5" s="848"/>
    </row>
    <row r="6" spans="1:15" s="855" customFormat="1" ht="71.25" customHeight="1">
      <c r="A6" s="706">
        <v>2</v>
      </c>
      <c r="B6" s="177" t="s">
        <v>775</v>
      </c>
      <c r="C6" s="1183">
        <v>2950</v>
      </c>
      <c r="D6" s="133" t="s">
        <v>251</v>
      </c>
      <c r="E6" s="388" t="s">
        <v>776</v>
      </c>
      <c r="F6" s="177" t="s">
        <v>234</v>
      </c>
      <c r="G6" s="177" t="s">
        <v>172</v>
      </c>
      <c r="H6" s="188" t="s">
        <v>777</v>
      </c>
      <c r="I6" s="188" t="s">
        <v>778</v>
      </c>
      <c r="J6" s="181" t="s">
        <v>54</v>
      </c>
      <c r="K6" s="1082">
        <f t="shared" si="0"/>
        <v>2950</v>
      </c>
      <c r="L6" s="1070" t="s">
        <v>514</v>
      </c>
      <c r="M6" s="851">
        <f>SUMIF($J:$J,L6,K:K)</f>
        <v>0</v>
      </c>
      <c r="N6" s="150"/>
    </row>
    <row r="7" spans="1:15" s="336" customFormat="1" ht="119.25" customHeight="1">
      <c r="A7" s="786">
        <v>3</v>
      </c>
      <c r="B7" s="87" t="s">
        <v>779</v>
      </c>
      <c r="C7" s="118">
        <v>4850</v>
      </c>
      <c r="D7" s="133" t="s">
        <v>226</v>
      </c>
      <c r="E7" s="133" t="s">
        <v>780</v>
      </c>
      <c r="F7" s="87" t="s">
        <v>19</v>
      </c>
      <c r="G7" s="87" t="s">
        <v>505</v>
      </c>
      <c r="H7" s="188" t="s">
        <v>781</v>
      </c>
      <c r="I7" s="1184"/>
      <c r="J7" s="87" t="s">
        <v>16</v>
      </c>
      <c r="K7" s="1082">
        <f t="shared" si="0"/>
        <v>4850</v>
      </c>
      <c r="L7" s="852" t="s">
        <v>54</v>
      </c>
      <c r="M7" s="1182">
        <f>SUMIF($J:$J,L7,K:K)</f>
        <v>4780</v>
      </c>
    </row>
    <row r="8" spans="1:15" s="336" customFormat="1" ht="162.75" customHeight="1">
      <c r="A8" s="797">
        <v>4</v>
      </c>
      <c r="B8" s="91" t="s">
        <v>279</v>
      </c>
      <c r="C8" s="1185">
        <v>12800</v>
      </c>
      <c r="D8" s="133" t="s">
        <v>226</v>
      </c>
      <c r="E8" s="380" t="s">
        <v>782</v>
      </c>
      <c r="F8" s="91" t="s">
        <v>19</v>
      </c>
      <c r="G8" s="91" t="s">
        <v>517</v>
      </c>
      <c r="H8" s="184" t="s">
        <v>783</v>
      </c>
      <c r="I8" s="1186" t="s">
        <v>784</v>
      </c>
      <c r="J8" s="87" t="s">
        <v>43</v>
      </c>
      <c r="K8" s="1082">
        <f t="shared" si="0"/>
        <v>12800</v>
      </c>
      <c r="L8" s="180" t="s">
        <v>89</v>
      </c>
      <c r="M8" s="1187">
        <f>C8-5000-515-983-535-1520-1000</f>
        <v>3247</v>
      </c>
      <c r="N8" s="848">
        <f>512-209-22-43-23-22-69</f>
        <v>124</v>
      </c>
      <c r="O8" s="336">
        <f>12800-5000-515-983-535-500-1520</f>
        <v>3747</v>
      </c>
    </row>
    <row r="9" spans="1:15" s="336" customFormat="1" ht="69" customHeight="1">
      <c r="A9" s="797">
        <v>5</v>
      </c>
      <c r="B9" s="91" t="s">
        <v>785</v>
      </c>
      <c r="C9" s="1185">
        <v>1830</v>
      </c>
      <c r="D9" s="133" t="s">
        <v>226</v>
      </c>
      <c r="E9" s="380" t="s">
        <v>786</v>
      </c>
      <c r="F9" s="91" t="s">
        <v>234</v>
      </c>
      <c r="G9" s="91" t="s">
        <v>172</v>
      </c>
      <c r="H9" s="184" t="s">
        <v>787</v>
      </c>
      <c r="I9" s="1186" t="s">
        <v>778</v>
      </c>
      <c r="J9" s="87" t="s">
        <v>54</v>
      </c>
      <c r="K9" s="1082">
        <f t="shared" si="0"/>
        <v>1830</v>
      </c>
      <c r="L9" s="247" t="s">
        <v>16</v>
      </c>
      <c r="M9" s="1182">
        <f>SUMIF($J:$J,L9,K:K)</f>
        <v>4850</v>
      </c>
      <c r="N9" s="848"/>
    </row>
    <row r="10" spans="1:15" s="367" customFormat="1" ht="351" customHeight="1">
      <c r="A10" s="699">
        <v>6</v>
      </c>
      <c r="B10" s="115" t="s">
        <v>788</v>
      </c>
      <c r="C10" s="1185">
        <v>28300</v>
      </c>
      <c r="D10" s="734" t="s">
        <v>226</v>
      </c>
      <c r="E10" s="379" t="s">
        <v>789</v>
      </c>
      <c r="F10" s="91" t="s">
        <v>19</v>
      </c>
      <c r="G10" s="152" t="s">
        <v>172</v>
      </c>
      <c r="H10" s="1144" t="s">
        <v>790</v>
      </c>
      <c r="I10" s="1199" t="s">
        <v>791</v>
      </c>
      <c r="J10" s="380" t="s">
        <v>792</v>
      </c>
      <c r="K10" s="1200">
        <f t="shared" si="0"/>
        <v>28300</v>
      </c>
      <c r="L10" s="1201" t="s">
        <v>793</v>
      </c>
      <c r="M10" s="91"/>
      <c r="N10" s="336">
        <f>3000+2000+280+800+1000+3000+2800+400+1200+284+2000+2000+2337-28300</f>
        <v>-7199</v>
      </c>
    </row>
    <row r="11" spans="1:15" s="659" customFormat="1" ht="28.5" customHeight="1">
      <c r="A11" s="1188">
        <v>7</v>
      </c>
      <c r="B11" s="1189" t="s">
        <v>794</v>
      </c>
      <c r="C11" s="1190" t="s">
        <v>675</v>
      </c>
      <c r="D11" s="1191" t="s">
        <v>675</v>
      </c>
      <c r="E11" s="1192"/>
      <c r="F11" s="653" t="s">
        <v>234</v>
      </c>
      <c r="G11" s="1193" t="s">
        <v>123</v>
      </c>
      <c r="H11" s="1231" t="s">
        <v>795</v>
      </c>
      <c r="I11" s="1194" t="s">
        <v>796</v>
      </c>
      <c r="J11" s="1195" t="s">
        <v>16</v>
      </c>
      <c r="K11" s="1196"/>
      <c r="L11" s="1197"/>
      <c r="M11" s="653"/>
      <c r="N11" s="841"/>
    </row>
    <row r="12" spans="1:15" s="336" customFormat="1" ht="240.75" customHeight="1">
      <c r="A12" s="797">
        <v>8</v>
      </c>
      <c r="B12" s="91" t="s">
        <v>797</v>
      </c>
      <c r="C12" s="1185">
        <v>20300</v>
      </c>
      <c r="D12" s="734" t="s">
        <v>226</v>
      </c>
      <c r="E12" s="1202" t="s">
        <v>798</v>
      </c>
      <c r="F12" s="91" t="s">
        <v>19</v>
      </c>
      <c r="G12" s="91" t="s">
        <v>517</v>
      </c>
      <c r="H12" s="119" t="s">
        <v>799</v>
      </c>
      <c r="I12" s="1199" t="s">
        <v>800</v>
      </c>
      <c r="J12" s="380" t="s">
        <v>792</v>
      </c>
      <c r="K12" s="1076">
        <f>C12</f>
        <v>20300</v>
      </c>
      <c r="L12" s="91"/>
      <c r="M12" s="1203">
        <f>20300-900-1600-7400-1000-100-1000-100-1900-100</f>
        <v>6200</v>
      </c>
      <c r="N12" s="848"/>
    </row>
    <row r="13" spans="1:15" s="367" customFormat="1" ht="77.25" customHeight="1">
      <c r="A13" s="786">
        <v>9</v>
      </c>
      <c r="B13" s="87" t="s">
        <v>697</v>
      </c>
      <c r="C13" s="118">
        <v>7313</v>
      </c>
      <c r="D13" s="734" t="s">
        <v>226</v>
      </c>
      <c r="E13" s="133"/>
      <c r="F13" s="87" t="s">
        <v>19</v>
      </c>
      <c r="G13" s="87" t="s">
        <v>517</v>
      </c>
      <c r="H13" s="93" t="s">
        <v>801</v>
      </c>
      <c r="I13" s="87"/>
      <c r="J13" s="87" t="s">
        <v>43</v>
      </c>
      <c r="K13" s="1204"/>
      <c r="L13" s="87"/>
      <c r="M13" s="87">
        <f>7313-1000</f>
        <v>6313</v>
      </c>
      <c r="N13" s="336"/>
    </row>
    <row r="14" spans="1:15" s="367" customFormat="1" ht="177" customHeight="1">
      <c r="A14" s="797">
        <v>10</v>
      </c>
      <c r="B14" s="91" t="s">
        <v>279</v>
      </c>
      <c r="C14" s="1185">
        <v>12800</v>
      </c>
      <c r="D14" s="734" t="s">
        <v>226</v>
      </c>
      <c r="E14" s="380"/>
      <c r="F14" s="91" t="s">
        <v>19</v>
      </c>
      <c r="G14" s="91" t="s">
        <v>172</v>
      </c>
      <c r="H14" s="119" t="s">
        <v>802</v>
      </c>
      <c r="I14" s="1205"/>
      <c r="J14" s="91" t="s">
        <v>43</v>
      </c>
      <c r="K14" s="1206"/>
      <c r="L14" s="91"/>
      <c r="M14" s="1203">
        <f>C14-2300-2000-816-228-4060-500</f>
        <v>2896</v>
      </c>
      <c r="N14" s="336"/>
    </row>
    <row r="15" spans="1:15" s="367" customFormat="1" ht="63" customHeight="1">
      <c r="A15" s="797">
        <v>11</v>
      </c>
      <c r="B15" s="91" t="s">
        <v>803</v>
      </c>
      <c r="C15" s="1185">
        <v>2950</v>
      </c>
      <c r="D15" s="734" t="s">
        <v>226</v>
      </c>
      <c r="E15" s="380" t="s">
        <v>804</v>
      </c>
      <c r="F15" s="154" t="s">
        <v>19</v>
      </c>
      <c r="G15" s="91" t="s">
        <v>123</v>
      </c>
      <c r="H15" s="286" t="s">
        <v>805</v>
      </c>
      <c r="I15" s="1205"/>
      <c r="J15" s="91" t="s">
        <v>16</v>
      </c>
      <c r="K15" s="1206"/>
      <c r="L15" s="91"/>
      <c r="M15" s="91"/>
      <c r="N15" s="336"/>
    </row>
    <row r="16" spans="1:15" s="87" customFormat="1" ht="107.25" customHeight="1">
      <c r="A16" s="797">
        <v>12</v>
      </c>
      <c r="B16" s="91" t="s">
        <v>366</v>
      </c>
      <c r="C16" s="1185">
        <v>5163.8</v>
      </c>
      <c r="D16" s="734" t="s">
        <v>226</v>
      </c>
      <c r="E16" s="380" t="s">
        <v>806</v>
      </c>
      <c r="F16" s="91" t="s">
        <v>19</v>
      </c>
      <c r="G16" s="91" t="s">
        <v>123</v>
      </c>
      <c r="H16" s="286" t="s">
        <v>807</v>
      </c>
      <c r="I16" s="1209" t="s">
        <v>808</v>
      </c>
      <c r="J16" s="91" t="s">
        <v>43</v>
      </c>
      <c r="K16" s="1206"/>
      <c r="L16" s="91"/>
      <c r="M16" s="1210">
        <f>C16-1229-169-2048-750</f>
        <v>967.80000000000018</v>
      </c>
      <c r="N16" s="850"/>
    </row>
    <row r="17" spans="1:14" s="367" customFormat="1" ht="83.25" customHeight="1">
      <c r="A17" s="786">
        <v>13</v>
      </c>
      <c r="B17" s="87" t="s">
        <v>697</v>
      </c>
      <c r="C17" s="1146">
        <v>7313</v>
      </c>
      <c r="D17" s="734" t="s">
        <v>226</v>
      </c>
      <c r="E17" s="133" t="s">
        <v>809</v>
      </c>
      <c r="F17" s="87" t="s">
        <v>19</v>
      </c>
      <c r="G17" s="87" t="s">
        <v>172</v>
      </c>
      <c r="H17" s="155" t="s">
        <v>810</v>
      </c>
      <c r="I17" s="87" t="s">
        <v>811</v>
      </c>
      <c r="J17" s="87" t="s">
        <v>43</v>
      </c>
      <c r="K17" s="1204"/>
      <c r="L17" s="1211"/>
      <c r="M17" s="1151">
        <f>C17</f>
        <v>7313</v>
      </c>
      <c r="N17" s="336"/>
    </row>
    <row r="18" spans="1:14" s="367" customFormat="1" ht="89.25" customHeight="1">
      <c r="A18" s="786">
        <v>14</v>
      </c>
      <c r="B18" s="87" t="s">
        <v>812</v>
      </c>
      <c r="C18" s="1146">
        <v>12500</v>
      </c>
      <c r="D18" s="133" t="s">
        <v>813</v>
      </c>
      <c r="E18" s="734" t="s">
        <v>226</v>
      </c>
      <c r="F18" s="87" t="s">
        <v>19</v>
      </c>
      <c r="G18" s="87" t="s">
        <v>172</v>
      </c>
      <c r="H18" s="188" t="s">
        <v>814</v>
      </c>
      <c r="I18" s="133"/>
      <c r="J18" s="87" t="s">
        <v>16</v>
      </c>
      <c r="K18" s="1204"/>
      <c r="L18" s="1211"/>
      <c r="M18" s="1151">
        <f>C18</f>
        <v>12500</v>
      </c>
      <c r="N18" s="336"/>
    </row>
    <row r="19" spans="1:14" s="467" customFormat="1" ht="65.25" customHeight="1">
      <c r="A19" s="486">
        <v>15</v>
      </c>
      <c r="B19" s="439" t="s">
        <v>279</v>
      </c>
      <c r="C19" s="1212">
        <v>12800</v>
      </c>
      <c r="D19" s="443" t="s">
        <v>815</v>
      </c>
      <c r="E19" s="443" t="s">
        <v>353</v>
      </c>
      <c r="F19" s="439" t="s">
        <v>19</v>
      </c>
      <c r="G19" s="439" t="s">
        <v>517</v>
      </c>
      <c r="H19" s="452" t="s">
        <v>816</v>
      </c>
      <c r="I19" s="439" t="s">
        <v>817</v>
      </c>
      <c r="J19" s="439" t="s">
        <v>43</v>
      </c>
      <c r="K19" s="1213"/>
      <c r="L19" s="439"/>
      <c r="M19" s="1214">
        <f>C19</f>
        <v>12800</v>
      </c>
      <c r="N19" s="139"/>
    </row>
    <row r="20" spans="1:14" s="467" customFormat="1" ht="132" customHeight="1">
      <c r="A20" s="486">
        <v>16</v>
      </c>
      <c r="B20" s="439" t="s">
        <v>818</v>
      </c>
      <c r="C20" s="1212">
        <v>20700</v>
      </c>
      <c r="D20" s="443" t="s">
        <v>819</v>
      </c>
      <c r="E20" s="443" t="s">
        <v>353</v>
      </c>
      <c r="F20" s="439" t="s">
        <v>19</v>
      </c>
      <c r="G20" s="439" t="s">
        <v>517</v>
      </c>
      <c r="H20" s="452" t="s">
        <v>820</v>
      </c>
      <c r="I20" s="443" t="s">
        <v>821</v>
      </c>
      <c r="J20" s="439" t="s">
        <v>43</v>
      </c>
      <c r="K20" s="1213"/>
      <c r="L20" s="1215"/>
      <c r="M20" s="1214"/>
      <c r="N20" s="139"/>
    </row>
    <row r="21" spans="1:14" s="1" customFormat="1" ht="69.75" customHeight="1">
      <c r="A21" s="738">
        <v>17</v>
      </c>
      <c r="B21" s="102" t="s">
        <v>366</v>
      </c>
      <c r="C21" s="1167">
        <v>5164</v>
      </c>
      <c r="D21" s="109" t="s">
        <v>822</v>
      </c>
      <c r="E21" s="443" t="s">
        <v>353</v>
      </c>
      <c r="F21" s="102" t="s">
        <v>19</v>
      </c>
      <c r="G21" s="102" t="s">
        <v>172</v>
      </c>
      <c r="H21" s="670" t="s">
        <v>823</v>
      </c>
      <c r="I21" s="1216"/>
      <c r="J21" s="102" t="s">
        <v>43</v>
      </c>
      <c r="K21" s="1207"/>
      <c r="L21" s="1208">
        <v>12000</v>
      </c>
      <c r="M21" s="1135"/>
      <c r="N21" s="3"/>
    </row>
    <row r="22" spans="1:14" s="1" customFormat="1" ht="63" customHeight="1">
      <c r="A22" s="738">
        <v>18</v>
      </c>
      <c r="B22" s="102" t="s">
        <v>824</v>
      </c>
      <c r="C22" s="1167" t="s">
        <v>669</v>
      </c>
      <c r="D22" s="109" t="s">
        <v>825</v>
      </c>
      <c r="E22" s="109"/>
      <c r="F22" s="102" t="s">
        <v>19</v>
      </c>
      <c r="G22" s="102" t="s">
        <v>517</v>
      </c>
      <c r="H22" s="670"/>
      <c r="I22" s="102" t="s">
        <v>826</v>
      </c>
      <c r="J22" s="102" t="s">
        <v>84</v>
      </c>
      <c r="K22" s="1207"/>
      <c r="L22" s="102"/>
      <c r="M22" s="1135" t="str">
        <f>C22</f>
        <v>hủy</v>
      </c>
      <c r="N22" s="3"/>
    </row>
    <row r="23" spans="1:14" s="1" customFormat="1" ht="39" customHeight="1">
      <c r="A23" s="738">
        <v>19</v>
      </c>
      <c r="B23" s="102" t="s">
        <v>785</v>
      </c>
      <c r="C23" s="1167">
        <v>400</v>
      </c>
      <c r="D23" s="109" t="s">
        <v>827</v>
      </c>
      <c r="E23" s="109"/>
      <c r="F23" s="102" t="s">
        <v>828</v>
      </c>
      <c r="G23" s="102" t="s">
        <v>172</v>
      </c>
      <c r="H23" s="1232" t="s">
        <v>829</v>
      </c>
      <c r="I23" s="102" t="s">
        <v>830</v>
      </c>
      <c r="J23" s="102" t="s">
        <v>54</v>
      </c>
      <c r="K23" s="1207"/>
      <c r="L23" s="102"/>
      <c r="M23" s="102"/>
      <c r="N23" s="3"/>
    </row>
    <row r="24" spans="1:14" ht="31.5" customHeight="1">
      <c r="A24" s="359">
        <v>20</v>
      </c>
      <c r="C24" s="1179"/>
      <c r="I24" s="1"/>
      <c r="L24" s="1"/>
      <c r="M24" s="1"/>
    </row>
    <row r="25" spans="1:14" s="1" customFormat="1" ht="31.5" customHeight="1">
      <c r="A25" s="359">
        <v>21</v>
      </c>
      <c r="C25" s="1179"/>
      <c r="D25" s="271"/>
      <c r="E25" s="271"/>
      <c r="H25" s="1217" t="s">
        <v>831</v>
      </c>
      <c r="K25" s="804"/>
      <c r="N25" s="3"/>
    </row>
    <row r="26" spans="1:14" s="1" customFormat="1" ht="31.5" customHeight="1">
      <c r="A26" s="359">
        <v>22</v>
      </c>
      <c r="C26" s="1179"/>
      <c r="D26" s="271"/>
      <c r="E26" s="271"/>
      <c r="H26" s="9"/>
      <c r="K26" s="804"/>
      <c r="N26" s="3"/>
    </row>
    <row r="27" spans="1:14" s="1" customFormat="1" ht="31.5" customHeight="1">
      <c r="A27" s="359">
        <v>23</v>
      </c>
      <c r="C27" s="1179"/>
      <c r="D27" s="271"/>
      <c r="E27" s="271"/>
      <c r="G27" s="1" t="s">
        <v>172</v>
      </c>
      <c r="H27" s="477" t="s">
        <v>832</v>
      </c>
      <c r="K27" s="804"/>
      <c r="N27" s="3"/>
    </row>
    <row r="28" spans="1:14" s="1" customFormat="1" ht="53.25" customHeight="1">
      <c r="A28" s="359">
        <v>24</v>
      </c>
      <c r="C28" s="1179"/>
      <c r="D28" s="271"/>
      <c r="E28" s="271"/>
      <c r="H28" s="477" t="s">
        <v>833</v>
      </c>
      <c r="K28" s="804"/>
      <c r="N28" s="3"/>
    </row>
    <row r="29" spans="1:14" s="1" customFormat="1" ht="54.75" customHeight="1">
      <c r="A29" s="359">
        <v>25</v>
      </c>
      <c r="C29" s="1179"/>
      <c r="D29" s="271"/>
      <c r="E29" s="271"/>
      <c r="G29" s="1" t="s">
        <v>505</v>
      </c>
      <c r="H29" s="477" t="s">
        <v>834</v>
      </c>
      <c r="I29" s="271" t="s">
        <v>835</v>
      </c>
      <c r="K29" s="804"/>
      <c r="N29" s="3"/>
    </row>
    <row r="30" spans="1:14" s="1" customFormat="1">
      <c r="A30" s="359">
        <v>26</v>
      </c>
      <c r="C30" s="1179"/>
      <c r="D30" s="271"/>
      <c r="E30" s="271"/>
      <c r="H30" s="9"/>
      <c r="K30" s="804"/>
      <c r="N30" s="3"/>
    </row>
    <row r="31" spans="1:14" s="1" customFormat="1">
      <c r="A31" s="359">
        <v>27</v>
      </c>
      <c r="C31" s="1179"/>
      <c r="D31" s="271"/>
      <c r="E31" s="271"/>
      <c r="H31" s="9"/>
      <c r="K31" s="804"/>
      <c r="N31" s="3"/>
    </row>
    <row r="32" spans="1:14" s="1" customFormat="1">
      <c r="A32" s="359">
        <v>28</v>
      </c>
      <c r="C32" s="1179"/>
      <c r="D32" s="271"/>
      <c r="E32" s="271"/>
      <c r="H32" s="9"/>
      <c r="K32" s="804"/>
      <c r="N32" s="3"/>
    </row>
    <row r="33" spans="1:14" s="1" customFormat="1">
      <c r="A33" s="359">
        <v>29</v>
      </c>
      <c r="C33" s="1179"/>
      <c r="D33" s="271"/>
      <c r="E33" s="271"/>
      <c r="H33" s="9"/>
      <c r="K33" s="804"/>
      <c r="N33" s="3"/>
    </row>
    <row r="34" spans="1:14" s="1" customFormat="1">
      <c r="A34" s="359">
        <v>30</v>
      </c>
      <c r="C34" s="1179"/>
      <c r="D34" s="271"/>
      <c r="E34" s="271"/>
      <c r="H34" s="9"/>
      <c r="K34" s="804"/>
      <c r="N34" s="3"/>
    </row>
    <row r="35" spans="1:14" s="1" customFormat="1">
      <c r="A35" s="359">
        <v>31</v>
      </c>
      <c r="C35" s="1179"/>
      <c r="D35" s="271"/>
      <c r="E35" s="271"/>
      <c r="H35" s="9"/>
      <c r="K35" s="804"/>
      <c r="N35" s="3"/>
    </row>
    <row r="36" spans="1:14" s="1" customFormat="1">
      <c r="A36" s="359">
        <v>32</v>
      </c>
      <c r="C36" s="1179"/>
      <c r="D36" s="271"/>
      <c r="E36" s="271"/>
      <c r="H36" s="9"/>
      <c r="K36" s="804"/>
      <c r="N36" s="3"/>
    </row>
    <row r="37" spans="1:14" s="1" customFormat="1">
      <c r="A37" s="359">
        <v>33</v>
      </c>
      <c r="C37" s="1179"/>
      <c r="D37" s="271"/>
      <c r="E37" s="271"/>
      <c r="H37" s="9"/>
      <c r="K37" s="804"/>
      <c r="N37" s="3"/>
    </row>
    <row r="38" spans="1:14" s="1" customFormat="1">
      <c r="A38" s="359">
        <v>34</v>
      </c>
      <c r="C38" s="1179"/>
      <c r="D38" s="271"/>
      <c r="E38" s="271"/>
      <c r="H38" s="9"/>
      <c r="K38" s="804"/>
      <c r="N38" s="3"/>
    </row>
    <row r="39" spans="1:14" s="1" customFormat="1">
      <c r="A39" s="359">
        <v>35</v>
      </c>
      <c r="C39" s="1179"/>
      <c r="D39" s="271"/>
      <c r="E39" s="271"/>
      <c r="H39" s="9"/>
      <c r="K39" s="804"/>
      <c r="N39" s="3"/>
    </row>
    <row r="40" spans="1:14" s="1" customFormat="1">
      <c r="A40" s="359">
        <v>36</v>
      </c>
      <c r="C40" s="1179"/>
      <c r="D40" s="271"/>
      <c r="E40" s="271"/>
      <c r="H40" s="9"/>
      <c r="K40" s="804"/>
      <c r="N40" s="3"/>
    </row>
    <row r="41" spans="1:14" s="1" customFormat="1">
      <c r="A41" s="359">
        <v>37</v>
      </c>
      <c r="C41" s="1179"/>
      <c r="D41" s="271"/>
      <c r="E41" s="271"/>
      <c r="H41" s="9"/>
      <c r="K41" s="804"/>
      <c r="N41" s="3"/>
    </row>
    <row r="42" spans="1:14" s="1" customFormat="1">
      <c r="A42" s="359">
        <v>38</v>
      </c>
      <c r="C42" s="1179"/>
      <c r="D42" s="271"/>
      <c r="E42" s="271"/>
      <c r="H42" s="9"/>
      <c r="K42" s="804"/>
      <c r="N42" s="3"/>
    </row>
    <row r="43" spans="1:14" s="1" customFormat="1">
      <c r="A43" s="359">
        <v>39</v>
      </c>
      <c r="C43" s="1179"/>
      <c r="D43" s="271"/>
      <c r="E43" s="271"/>
      <c r="H43" s="9"/>
      <c r="K43" s="804"/>
      <c r="N43" s="3"/>
    </row>
    <row r="44" spans="1:14" s="1" customFormat="1">
      <c r="A44" s="359">
        <v>40</v>
      </c>
      <c r="C44" s="1179"/>
      <c r="D44" s="271"/>
      <c r="E44" s="271"/>
      <c r="H44" s="9"/>
      <c r="K44" s="804"/>
      <c r="N44" s="3"/>
    </row>
    <row r="45" spans="1:14" s="1" customFormat="1">
      <c r="A45" s="359">
        <v>41</v>
      </c>
      <c r="C45" s="1179"/>
      <c r="D45" s="271"/>
      <c r="E45" s="271"/>
      <c r="H45" s="9"/>
      <c r="K45" s="804"/>
      <c r="N45" s="3"/>
    </row>
    <row r="46" spans="1:14" s="1" customFormat="1">
      <c r="A46" s="359">
        <v>42</v>
      </c>
      <c r="C46" s="1179"/>
      <c r="D46" s="271"/>
      <c r="E46" s="271"/>
      <c r="H46" s="9"/>
      <c r="K46" s="804"/>
      <c r="N46" s="3"/>
    </row>
    <row r="47" spans="1:14" s="1" customFormat="1">
      <c r="A47" s="359">
        <v>43</v>
      </c>
      <c r="C47" s="1179"/>
      <c r="D47" s="271"/>
      <c r="E47" s="271"/>
      <c r="H47" s="9"/>
      <c r="K47" s="804"/>
      <c r="N47" s="3"/>
    </row>
    <row r="48" spans="1:14" s="1" customFormat="1">
      <c r="A48" s="359">
        <v>44</v>
      </c>
      <c r="C48" s="1179"/>
      <c r="D48" s="271"/>
      <c r="E48" s="271"/>
      <c r="H48" s="9"/>
      <c r="K48" s="804"/>
      <c r="N48" s="3"/>
    </row>
    <row r="49" spans="1:14" s="1" customFormat="1">
      <c r="A49" s="359">
        <v>45</v>
      </c>
      <c r="C49" s="1179"/>
      <c r="D49" s="271"/>
      <c r="E49" s="271"/>
      <c r="H49" s="9"/>
      <c r="K49" s="804"/>
      <c r="N49" s="3"/>
    </row>
    <row r="50" spans="1:14" s="1" customFormat="1">
      <c r="A50" s="359">
        <v>46</v>
      </c>
      <c r="C50" s="1179"/>
      <c r="D50" s="271"/>
      <c r="E50" s="271"/>
      <c r="H50" s="9"/>
      <c r="K50" s="804"/>
      <c r="N50" s="3"/>
    </row>
    <row r="51" spans="1:14" s="1" customFormat="1">
      <c r="A51" s="359">
        <v>47</v>
      </c>
      <c r="C51" s="1179"/>
      <c r="D51" s="271"/>
      <c r="E51" s="271"/>
      <c r="H51" s="9"/>
      <c r="K51" s="804"/>
      <c r="N51" s="3"/>
    </row>
    <row r="52" spans="1:14" s="1" customFormat="1">
      <c r="A52" s="359">
        <v>48</v>
      </c>
      <c r="C52" s="1179"/>
      <c r="D52" s="271"/>
      <c r="E52" s="271"/>
      <c r="H52" s="9"/>
      <c r="K52" s="804"/>
      <c r="N52" s="3"/>
    </row>
    <row r="53" spans="1:14" s="1" customFormat="1">
      <c r="A53" s="359">
        <v>49</v>
      </c>
      <c r="C53" s="1179"/>
      <c r="D53" s="271"/>
      <c r="E53" s="271"/>
      <c r="H53" s="9"/>
      <c r="K53" s="804"/>
      <c r="N53" s="3"/>
    </row>
    <row r="54" spans="1:14" s="1" customFormat="1">
      <c r="A54" s="359">
        <v>50</v>
      </c>
      <c r="C54" s="1179"/>
      <c r="D54" s="271"/>
      <c r="E54" s="271"/>
      <c r="H54" s="9"/>
      <c r="K54" s="804"/>
      <c r="N54" s="3"/>
    </row>
    <row r="55" spans="1:14" s="1" customFormat="1">
      <c r="A55" s="359">
        <v>51</v>
      </c>
      <c r="C55" s="1179"/>
      <c r="D55" s="271"/>
      <c r="E55" s="271"/>
      <c r="H55" s="9"/>
      <c r="K55" s="804"/>
      <c r="N55" s="3"/>
    </row>
    <row r="56" spans="1:14" s="1" customFormat="1">
      <c r="A56" s="359">
        <v>52</v>
      </c>
      <c r="C56" s="1179"/>
      <c r="D56" s="271"/>
      <c r="E56" s="271"/>
      <c r="H56" s="9"/>
      <c r="K56" s="804"/>
      <c r="N56" s="3"/>
    </row>
    <row r="57" spans="1:14" s="1" customFormat="1">
      <c r="A57" s="359">
        <v>53</v>
      </c>
      <c r="C57" s="1179"/>
      <c r="D57" s="271"/>
      <c r="E57" s="271"/>
      <c r="H57" s="9"/>
      <c r="K57" s="804"/>
      <c r="N57" s="3"/>
    </row>
    <row r="58" spans="1:14" s="1" customFormat="1">
      <c r="A58" s="359">
        <v>54</v>
      </c>
      <c r="C58" s="1179"/>
      <c r="D58" s="271"/>
      <c r="E58" s="271"/>
      <c r="H58" s="9"/>
      <c r="K58" s="804"/>
      <c r="N58" s="3"/>
    </row>
    <row r="59" spans="1:14" s="1" customFormat="1">
      <c r="A59" s="359">
        <v>55</v>
      </c>
      <c r="C59" s="1179"/>
      <c r="D59" s="271"/>
      <c r="E59" s="271"/>
      <c r="H59" s="9"/>
      <c r="K59" s="804"/>
      <c r="N59" s="3"/>
    </row>
    <row r="60" spans="1:14" s="1" customFormat="1">
      <c r="A60" s="359">
        <v>56</v>
      </c>
      <c r="C60" s="1179"/>
      <c r="D60" s="271"/>
      <c r="E60" s="271"/>
      <c r="H60" s="9"/>
      <c r="K60" s="804"/>
      <c r="N60" s="3"/>
    </row>
    <row r="61" spans="1:14" s="1" customFormat="1">
      <c r="A61" s="359">
        <v>57</v>
      </c>
      <c r="C61" s="1179"/>
      <c r="D61" s="271"/>
      <c r="E61" s="271"/>
      <c r="H61" s="9"/>
      <c r="K61" s="804"/>
      <c r="N61" s="3"/>
    </row>
    <row r="62" spans="1:14" s="1" customFormat="1">
      <c r="A62" s="359">
        <v>58</v>
      </c>
      <c r="C62" s="1179"/>
      <c r="D62" s="271"/>
      <c r="E62" s="271"/>
      <c r="H62" s="9"/>
      <c r="K62" s="804"/>
      <c r="N62" s="3"/>
    </row>
    <row r="63" spans="1:14" s="1" customFormat="1">
      <c r="A63" s="359">
        <v>59</v>
      </c>
      <c r="C63" s="1179"/>
      <c r="D63" s="271"/>
      <c r="E63" s="271"/>
      <c r="H63" s="9"/>
      <c r="K63" s="804"/>
      <c r="N63" s="3"/>
    </row>
    <row r="64" spans="1:14" s="1" customFormat="1">
      <c r="A64" s="359">
        <v>60</v>
      </c>
      <c r="C64" s="1179"/>
      <c r="D64" s="271"/>
      <c r="E64" s="271"/>
      <c r="H64" s="9"/>
      <c r="K64" s="804"/>
      <c r="N64" s="3"/>
    </row>
  </sheetData>
  <autoFilter ref="A4:O76" xr:uid="{00000000-0009-0000-0000-000002000000}"/>
  <mergeCells count="3">
    <mergeCell ref="C1:I1"/>
    <mergeCell ref="A2:I2"/>
    <mergeCell ref="I3:J3"/>
  </mergeCells>
  <conditionalFormatting sqref="A1:A3">
    <cfRule type="duplicateValues" dxfId="841" priority="13"/>
  </conditionalFormatting>
  <conditionalFormatting sqref="A4">
    <cfRule type="duplicateValues" dxfId="840" priority="9"/>
  </conditionalFormatting>
  <conditionalFormatting sqref="A5">
    <cfRule type="duplicateValues" dxfId="839" priority="2"/>
  </conditionalFormatting>
  <conditionalFormatting sqref="A7:A9">
    <cfRule type="duplicateValues" dxfId="838" priority="1069"/>
  </conditionalFormatting>
  <conditionalFormatting sqref="A10:A11">
    <cfRule type="duplicateValues" dxfId="837" priority="1067"/>
  </conditionalFormatting>
  <conditionalFormatting sqref="A12">
    <cfRule type="duplicateValues" dxfId="836" priority="1"/>
  </conditionalFormatting>
  <conditionalFormatting sqref="B3">
    <cfRule type="duplicateValues" dxfId="835" priority="10"/>
    <cfRule type="duplicateValues" dxfId="834" priority="11"/>
    <cfRule type="duplicateValues" dxfId="833" priority="12"/>
  </conditionalFormatting>
  <conditionalFormatting sqref="B4">
    <cfRule type="duplicateValues" dxfId="832" priority="6"/>
    <cfRule type="duplicateValues" dxfId="831" priority="7"/>
    <cfRule type="duplicateValues" dxfId="830" priority="8"/>
  </conditionalFormatting>
  <pageMargins left="0.7" right="0.7" top="0.75" bottom="0.75" header="0.3" footer="0.3"/>
  <pageSetup paperSize="9" scale="42" orientation="landscape" r:id="rId1"/>
  <legacy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CFA237-3AE4-4E48-9953-EAA19F506AE3}">
  <sheetPr>
    <pageSetUpPr fitToPage="1"/>
  </sheetPr>
  <dimension ref="A1:N64"/>
  <sheetViews>
    <sheetView topLeftCell="A2" zoomScale="70" zoomScaleNormal="70" workbookViewId="0">
      <pane xSplit="3" ySplit="3" topLeftCell="D5" activePane="bottomRight" state="frozen"/>
      <selection pane="topRight"/>
      <selection pane="bottomLeft"/>
      <selection pane="bottomRight"/>
    </sheetView>
  </sheetViews>
  <sheetFormatPr defaultColWidth="25.5703125" defaultRowHeight="18.75"/>
  <cols>
    <col min="1" max="1" width="5" style="359" customWidth="1"/>
    <col min="2" max="2" width="28.42578125" style="1" customWidth="1"/>
    <col min="3" max="3" width="18.7109375" style="1138" customWidth="1"/>
    <col min="4" max="4" width="22.28515625" style="271" customWidth="1"/>
    <col min="5" max="5" width="28.42578125" style="271" customWidth="1"/>
    <col min="6" max="6" width="15.140625" style="1" customWidth="1"/>
    <col min="7" max="7" width="24.140625" style="1" customWidth="1"/>
    <col min="8" max="8" width="90.42578125" style="9" customWidth="1"/>
    <col min="9" max="9" width="84.42578125" style="9" bestFit="1" customWidth="1"/>
    <col min="10" max="10" width="17.42578125" style="1" customWidth="1"/>
    <col min="11" max="11" width="10.28515625" style="804" hidden="1" customWidth="1"/>
    <col min="12" max="12" width="25.140625" style="3" customWidth="1"/>
    <col min="13" max="13" width="12.42578125" style="3" hidden="1" customWidth="1"/>
    <col min="14" max="14" width="34.5703125" style="3" customWidth="1"/>
    <col min="15" max="16384" width="25.5703125" style="3"/>
  </cols>
  <sheetData>
    <row r="1" spans="1:14" ht="17.25" customHeight="1">
      <c r="B1" s="10"/>
      <c r="C1" s="3624"/>
      <c r="D1" s="3624"/>
      <c r="E1" s="3624"/>
      <c r="F1" s="3624"/>
      <c r="G1" s="3624"/>
      <c r="H1" s="3624"/>
      <c r="I1" s="3624"/>
    </row>
    <row r="2" spans="1:14" ht="34.5" customHeight="1">
      <c r="A2" s="3637" t="s">
        <v>836</v>
      </c>
      <c r="B2" s="3637"/>
      <c r="C2" s="3637"/>
      <c r="D2" s="3637"/>
      <c r="E2" s="3637"/>
      <c r="F2" s="3637"/>
      <c r="G2" s="3637"/>
      <c r="H2" s="3637"/>
      <c r="I2" s="3637"/>
      <c r="J2" s="1176"/>
      <c r="K2" s="805"/>
      <c r="L2" s="1180"/>
      <c r="M2" s="287"/>
    </row>
    <row r="3" spans="1:14" ht="45" customHeight="1">
      <c r="A3" s="360"/>
      <c r="B3" s="385"/>
      <c r="C3" s="1177">
        <f>SUBTOTAL(9,C5:C308)</f>
        <v>250740</v>
      </c>
      <c r="D3" s="849"/>
      <c r="E3" s="849"/>
      <c r="F3" s="199"/>
      <c r="G3" s="199"/>
      <c r="H3" s="202"/>
      <c r="I3" s="3639">
        <f ca="1">TODAY()</f>
        <v>45960</v>
      </c>
      <c r="J3" s="3639"/>
      <c r="K3" s="808"/>
      <c r="L3" s="287"/>
      <c r="M3" s="287"/>
    </row>
    <row r="4" spans="1:14" s="7" customFormat="1" ht="33">
      <c r="A4" s="810" t="s">
        <v>1</v>
      </c>
      <c r="B4" s="679" t="s">
        <v>339</v>
      </c>
      <c r="C4" s="1178" t="s">
        <v>3</v>
      </c>
      <c r="D4" s="679" t="s">
        <v>4</v>
      </c>
      <c r="E4" s="679" t="s">
        <v>6</v>
      </c>
      <c r="F4" s="679" t="s">
        <v>8</v>
      </c>
      <c r="G4" s="679" t="s">
        <v>9</v>
      </c>
      <c r="H4" s="812" t="s">
        <v>10</v>
      </c>
      <c r="I4" s="679" t="s">
        <v>11</v>
      </c>
      <c r="J4" s="679" t="s">
        <v>5</v>
      </c>
      <c r="K4" s="813" t="s">
        <v>340</v>
      </c>
      <c r="L4" s="325" t="s">
        <v>341</v>
      </c>
      <c r="M4" s="1283" t="e">
        <f>SUM(#REF!)</f>
        <v>#REF!</v>
      </c>
    </row>
    <row r="5" spans="1:14" s="367" customFormat="1" ht="129" customHeight="1">
      <c r="A5" s="362" cm="1">
        <f t="array" ref="A5:A64">_xlfn.SEQUENCE(60,1,1,)</f>
        <v>1</v>
      </c>
      <c r="B5" s="1271" t="s">
        <v>700</v>
      </c>
      <c r="C5" s="1270">
        <v>6700</v>
      </c>
      <c r="D5" s="1271" t="s">
        <v>226</v>
      </c>
      <c r="E5" s="1271" t="s">
        <v>837</v>
      </c>
      <c r="F5" s="185" t="s">
        <v>19</v>
      </c>
      <c r="G5" s="185" t="s">
        <v>63</v>
      </c>
      <c r="H5" s="1276" t="s">
        <v>838</v>
      </c>
      <c r="I5" s="1278" t="s">
        <v>839</v>
      </c>
      <c r="J5" s="72" t="s">
        <v>16</v>
      </c>
      <c r="K5" s="1272"/>
      <c r="L5" s="72"/>
      <c r="M5" s="1279">
        <f>C5</f>
        <v>6700</v>
      </c>
      <c r="N5" s="336"/>
    </row>
    <row r="6" spans="1:14" s="367" customFormat="1" ht="96.75" customHeight="1">
      <c r="A6" s="362">
        <v>2</v>
      </c>
      <c r="B6" s="1271" t="s">
        <v>279</v>
      </c>
      <c r="C6" s="1270">
        <v>16000</v>
      </c>
      <c r="D6" s="1271" t="s">
        <v>226</v>
      </c>
      <c r="E6" s="1271" t="s">
        <v>840</v>
      </c>
      <c r="F6" s="185" t="s">
        <v>19</v>
      </c>
      <c r="G6" s="185" t="s">
        <v>172</v>
      </c>
      <c r="H6" s="1276" t="s">
        <v>841</v>
      </c>
      <c r="I6" s="1278" t="s">
        <v>842</v>
      </c>
      <c r="J6" s="72" t="s">
        <v>43</v>
      </c>
      <c r="K6" s="1272"/>
      <c r="L6" s="72"/>
      <c r="M6" s="1279"/>
      <c r="N6" s="336"/>
    </row>
    <row r="7" spans="1:14" s="367" customFormat="1" ht="129.75" customHeight="1">
      <c r="A7" s="362">
        <v>3</v>
      </c>
      <c r="B7" s="1271" t="s">
        <v>366</v>
      </c>
      <c r="C7" s="1270">
        <v>10200</v>
      </c>
      <c r="D7" s="1271" t="s">
        <v>226</v>
      </c>
      <c r="E7" s="1271" t="s">
        <v>843</v>
      </c>
      <c r="F7" s="185" t="s">
        <v>19</v>
      </c>
      <c r="G7" s="185" t="s">
        <v>63</v>
      </c>
      <c r="H7" s="1276" t="s">
        <v>844</v>
      </c>
      <c r="I7" s="1278"/>
      <c r="J7" s="72" t="s">
        <v>43</v>
      </c>
      <c r="K7" s="1272"/>
      <c r="L7" s="72">
        <f>C7-2150-1450-2000-750-1000-3000</f>
        <v>-150</v>
      </c>
      <c r="M7" s="1279"/>
      <c r="N7" s="336"/>
    </row>
    <row r="8" spans="1:14" s="367" customFormat="1" ht="150" customHeight="1">
      <c r="A8" s="362">
        <v>4</v>
      </c>
      <c r="B8" s="1271" t="s">
        <v>697</v>
      </c>
      <c r="C8" s="1270">
        <v>16300</v>
      </c>
      <c r="D8" s="1271" t="s">
        <v>251</v>
      </c>
      <c r="E8" s="1271" t="s">
        <v>845</v>
      </c>
      <c r="F8" s="185" t="s">
        <v>19</v>
      </c>
      <c r="G8" s="185" t="s">
        <v>172</v>
      </c>
      <c r="H8" s="1276" t="s">
        <v>846</v>
      </c>
      <c r="I8" s="1278"/>
      <c r="J8" s="72" t="s">
        <v>43</v>
      </c>
      <c r="K8" s="1272"/>
      <c r="L8" s="72">
        <f>16300-2000-2840-7030-550</f>
        <v>3880</v>
      </c>
      <c r="M8" s="1279"/>
      <c r="N8" s="336"/>
    </row>
    <row r="9" spans="1:14" s="367" customFormat="1" ht="48" customHeight="1">
      <c r="A9" s="362">
        <v>5</v>
      </c>
      <c r="B9" s="1271" t="s">
        <v>847</v>
      </c>
      <c r="C9" s="1270">
        <v>6250</v>
      </c>
      <c r="D9" s="1271" t="s">
        <v>226</v>
      </c>
      <c r="E9" s="1271" t="s">
        <v>848</v>
      </c>
      <c r="F9" s="185" t="s">
        <v>19</v>
      </c>
      <c r="G9" s="185" t="s">
        <v>172</v>
      </c>
      <c r="H9" s="1276" t="s">
        <v>849</v>
      </c>
      <c r="I9" s="1278" t="s">
        <v>850</v>
      </c>
      <c r="J9" s="72" t="s">
        <v>89</v>
      </c>
      <c r="K9" s="1272"/>
      <c r="L9" s="72"/>
      <c r="M9" s="1279"/>
      <c r="N9" s="336"/>
    </row>
    <row r="10" spans="1:14" s="367" customFormat="1" ht="68.25" customHeight="1">
      <c r="A10" s="362">
        <v>6</v>
      </c>
      <c r="B10" s="1271" t="s">
        <v>274</v>
      </c>
      <c r="C10" s="1270">
        <v>4200</v>
      </c>
      <c r="D10" s="1271" t="s">
        <v>226</v>
      </c>
      <c r="E10" s="1271" t="s">
        <v>851</v>
      </c>
      <c r="F10" s="185" t="s">
        <v>19</v>
      </c>
      <c r="G10" s="185" t="s">
        <v>172</v>
      </c>
      <c r="H10" s="1276" t="s">
        <v>852</v>
      </c>
      <c r="I10" s="1280" t="s">
        <v>850</v>
      </c>
      <c r="J10" s="72" t="s">
        <v>84</v>
      </c>
      <c r="K10" s="1272"/>
      <c r="L10" s="72"/>
      <c r="M10" s="1281"/>
      <c r="N10" s="336"/>
    </row>
    <row r="11" spans="1:14" s="367" customFormat="1" ht="141.75" customHeight="1">
      <c r="A11" s="362">
        <v>7</v>
      </c>
      <c r="B11" s="1271" t="s">
        <v>700</v>
      </c>
      <c r="C11" s="1270">
        <v>6700</v>
      </c>
      <c r="D11" s="1271" t="s">
        <v>226</v>
      </c>
      <c r="E11" s="1271" t="s">
        <v>853</v>
      </c>
      <c r="F11" s="185" t="s">
        <v>19</v>
      </c>
      <c r="G11" s="185" t="s">
        <v>63</v>
      </c>
      <c r="H11" s="1276" t="s">
        <v>854</v>
      </c>
      <c r="I11" s="1280" t="s">
        <v>855</v>
      </c>
      <c r="J11" s="72" t="s">
        <v>16</v>
      </c>
      <c r="K11" s="1272"/>
      <c r="L11" s="72"/>
      <c r="M11" s="1281"/>
      <c r="N11" s="336"/>
    </row>
    <row r="12" spans="1:14" s="367" customFormat="1" ht="197.25" customHeight="1">
      <c r="A12" s="362">
        <v>8</v>
      </c>
      <c r="B12" s="1271" t="s">
        <v>856</v>
      </c>
      <c r="C12" s="1270">
        <v>12400</v>
      </c>
      <c r="D12" s="1271" t="s">
        <v>226</v>
      </c>
      <c r="E12" s="1271" t="s">
        <v>857</v>
      </c>
      <c r="F12" s="185" t="s">
        <v>19</v>
      </c>
      <c r="G12" s="185" t="s">
        <v>172</v>
      </c>
      <c r="H12" s="1276" t="s">
        <v>858</v>
      </c>
      <c r="I12" s="1280" t="s">
        <v>859</v>
      </c>
      <c r="J12" s="72" t="s">
        <v>43</v>
      </c>
      <c r="K12" s="1272"/>
      <c r="L12" s="72">
        <f>12400-1000-1500-2500-5220</f>
        <v>2180</v>
      </c>
      <c r="M12" s="1281"/>
      <c r="N12" s="336">
        <f>9100-3880</f>
        <v>5220</v>
      </c>
    </row>
    <row r="13" spans="1:14" s="367" customFormat="1" ht="176.25" customHeight="1">
      <c r="A13" s="362">
        <v>9</v>
      </c>
      <c r="B13" s="1271" t="s">
        <v>279</v>
      </c>
      <c r="C13" s="1270">
        <v>16000</v>
      </c>
      <c r="D13" s="1271" t="s">
        <v>251</v>
      </c>
      <c r="E13" s="1271" t="s">
        <v>860</v>
      </c>
      <c r="F13" s="185" t="s">
        <v>19</v>
      </c>
      <c r="G13" s="185" t="s">
        <v>63</v>
      </c>
      <c r="H13" s="1276" t="s">
        <v>861</v>
      </c>
      <c r="I13" s="1280" t="s">
        <v>862</v>
      </c>
      <c r="J13" s="72" t="s">
        <v>43</v>
      </c>
      <c r="K13" s="1272"/>
      <c r="L13" s="72">
        <f>C13-(2000+7000+5000+400+1000)</f>
        <v>600</v>
      </c>
      <c r="M13" s="1281"/>
      <c r="N13" s="336"/>
    </row>
    <row r="14" spans="1:14" s="367" customFormat="1" ht="186" customHeight="1">
      <c r="A14" s="362">
        <v>10</v>
      </c>
      <c r="B14" s="1271" t="s">
        <v>366</v>
      </c>
      <c r="C14" s="1270">
        <v>10200</v>
      </c>
      <c r="D14" s="1271" t="s">
        <v>251</v>
      </c>
      <c r="E14" s="1271" t="s">
        <v>863</v>
      </c>
      <c r="F14" s="185" t="s">
        <v>19</v>
      </c>
      <c r="G14" s="185" t="s">
        <v>172</v>
      </c>
      <c r="H14" s="1276" t="s">
        <v>864</v>
      </c>
      <c r="I14" s="1280" t="s">
        <v>865</v>
      </c>
      <c r="J14" s="72" t="s">
        <v>43</v>
      </c>
      <c r="K14" s="1272"/>
      <c r="L14" s="72">
        <f>10200-2100-1200-500-2500-2500-150-960</f>
        <v>290</v>
      </c>
      <c r="M14" s="1281"/>
      <c r="N14" s="336"/>
    </row>
    <row r="15" spans="1:14" s="1249" customFormat="1" ht="132.75" customHeight="1">
      <c r="A15" s="1284">
        <v>11</v>
      </c>
      <c r="B15" s="17" t="s">
        <v>697</v>
      </c>
      <c r="C15" s="1285">
        <v>16300</v>
      </c>
      <c r="D15" s="1286" t="s">
        <v>251</v>
      </c>
      <c r="E15" s="23" t="s">
        <v>866</v>
      </c>
      <c r="F15" s="1287" t="s">
        <v>19</v>
      </c>
      <c r="G15" s="17" t="s">
        <v>172</v>
      </c>
      <c r="H15" s="1314" t="s">
        <v>867</v>
      </c>
      <c r="I15" s="1288" t="s">
        <v>868</v>
      </c>
      <c r="J15" s="17" t="s">
        <v>43</v>
      </c>
      <c r="K15" s="1289"/>
      <c r="L15" s="17">
        <f>16300-3200-970-3200-430-5000</f>
        <v>3500</v>
      </c>
      <c r="N15" s="1251"/>
    </row>
    <row r="16" spans="1:14" s="1249" customFormat="1" ht="78" customHeight="1">
      <c r="A16" s="1284">
        <v>12</v>
      </c>
      <c r="B16" s="17" t="s">
        <v>700</v>
      </c>
      <c r="C16" s="1285">
        <v>6770</v>
      </c>
      <c r="D16" s="1292" t="s">
        <v>251</v>
      </c>
      <c r="E16" s="23" t="s">
        <v>869</v>
      </c>
      <c r="F16" s="1287" t="s">
        <v>19</v>
      </c>
      <c r="G16" s="17" t="s">
        <v>63</v>
      </c>
      <c r="H16" s="1314" t="s">
        <v>870</v>
      </c>
      <c r="I16" s="1288" t="s">
        <v>871</v>
      </c>
      <c r="J16" s="17" t="s">
        <v>16</v>
      </c>
      <c r="K16" s="1289"/>
      <c r="L16" s="17"/>
      <c r="N16" s="1251"/>
    </row>
    <row r="17" spans="1:14" s="1249" customFormat="1" ht="66" customHeight="1">
      <c r="A17" s="1284">
        <v>13</v>
      </c>
      <c r="B17" s="17" t="s">
        <v>274</v>
      </c>
      <c r="C17" s="1285">
        <v>4200</v>
      </c>
      <c r="D17" s="1292" t="s">
        <v>251</v>
      </c>
      <c r="E17" s="23" t="s">
        <v>872</v>
      </c>
      <c r="F17" s="1287" t="s">
        <v>19</v>
      </c>
      <c r="G17" s="17" t="s">
        <v>123</v>
      </c>
      <c r="H17" s="1314" t="s">
        <v>873</v>
      </c>
      <c r="I17" s="1288"/>
      <c r="J17" s="17" t="s">
        <v>84</v>
      </c>
      <c r="K17" s="1289"/>
      <c r="L17" s="17"/>
      <c r="N17" s="1251"/>
    </row>
    <row r="18" spans="1:14" s="1249" customFormat="1" ht="66" customHeight="1">
      <c r="A18" s="1284">
        <v>14</v>
      </c>
      <c r="B18" s="17" t="s">
        <v>243</v>
      </c>
      <c r="C18" s="1285">
        <v>6000</v>
      </c>
      <c r="D18" s="1292" t="s">
        <v>251</v>
      </c>
      <c r="E18" s="23" t="s">
        <v>874</v>
      </c>
      <c r="F18" s="1287" t="s">
        <v>19</v>
      </c>
      <c r="G18" s="17" t="s">
        <v>74</v>
      </c>
      <c r="H18" s="1314" t="s">
        <v>875</v>
      </c>
      <c r="I18" s="1288"/>
      <c r="J18" s="17" t="s">
        <v>16</v>
      </c>
      <c r="K18" s="1289"/>
      <c r="L18" s="17"/>
      <c r="N18" s="1251"/>
    </row>
    <row r="19" spans="1:14" s="1249" customFormat="1" ht="129.75" customHeight="1">
      <c r="A19" s="1284">
        <v>15</v>
      </c>
      <c r="B19" s="17" t="s">
        <v>366</v>
      </c>
      <c r="C19" s="1285">
        <v>10200</v>
      </c>
      <c r="D19" s="1292" t="s">
        <v>251</v>
      </c>
      <c r="E19" s="1295"/>
      <c r="F19" s="1287" t="s">
        <v>19</v>
      </c>
      <c r="G19" s="17" t="s">
        <v>63</v>
      </c>
      <c r="H19" s="21" t="s">
        <v>876</v>
      </c>
      <c r="I19" s="1296" t="s">
        <v>877</v>
      </c>
      <c r="J19" s="17" t="s">
        <v>43</v>
      </c>
      <c r="K19" s="1289"/>
      <c r="L19" s="1297">
        <f>C19-4950-2000</f>
        <v>3250</v>
      </c>
      <c r="N19" s="1251"/>
    </row>
    <row r="20" spans="1:14" s="1249" customFormat="1" ht="153.75" customHeight="1">
      <c r="A20" s="1284">
        <v>16</v>
      </c>
      <c r="B20" s="17" t="s">
        <v>878</v>
      </c>
      <c r="C20" s="1285">
        <v>16000</v>
      </c>
      <c r="D20" s="1292" t="s">
        <v>251</v>
      </c>
      <c r="E20" s="23" t="s">
        <v>879</v>
      </c>
      <c r="F20" s="1287" t="s">
        <v>19</v>
      </c>
      <c r="G20" s="17" t="s">
        <v>172</v>
      </c>
      <c r="H20" s="21" t="s">
        <v>880</v>
      </c>
      <c r="I20" s="1298" t="s">
        <v>251</v>
      </c>
      <c r="J20" s="17" t="s">
        <v>43</v>
      </c>
      <c r="K20" s="1289"/>
      <c r="L20" s="17"/>
      <c r="N20" s="1251"/>
    </row>
    <row r="21" spans="1:14" s="367" customFormat="1" ht="81.75" customHeight="1">
      <c r="A21" s="362">
        <v>17</v>
      </c>
      <c r="B21" s="72" t="s">
        <v>700</v>
      </c>
      <c r="C21" s="1308">
        <v>6770</v>
      </c>
      <c r="D21" s="1309" t="s">
        <v>251</v>
      </c>
      <c r="E21" s="97" t="s">
        <v>881</v>
      </c>
      <c r="F21" s="185" t="s">
        <v>19</v>
      </c>
      <c r="G21" s="97" t="s">
        <v>172</v>
      </c>
      <c r="H21" s="74" t="s">
        <v>882</v>
      </c>
      <c r="I21" s="1310" t="s">
        <v>883</v>
      </c>
      <c r="J21" s="72" t="s">
        <v>16</v>
      </c>
      <c r="K21" s="1272"/>
      <c r="L21" s="1273">
        <f>C21-4800-1976</f>
        <v>-6</v>
      </c>
      <c r="N21" s="336"/>
    </row>
    <row r="22" spans="1:14" s="659" customFormat="1" ht="222" customHeight="1">
      <c r="A22" s="1299">
        <v>18</v>
      </c>
      <c r="B22" s="1300" t="s">
        <v>678</v>
      </c>
      <c r="C22" s="1301">
        <v>16000</v>
      </c>
      <c r="D22" s="1302" t="s">
        <v>353</v>
      </c>
      <c r="E22" s="1302" t="s">
        <v>679</v>
      </c>
      <c r="F22" s="1303" t="s">
        <v>19</v>
      </c>
      <c r="G22" s="1300" t="s">
        <v>172</v>
      </c>
      <c r="H22" s="1304" t="s">
        <v>680</v>
      </c>
      <c r="I22" s="3642" t="s">
        <v>884</v>
      </c>
      <c r="J22" s="1300" t="s">
        <v>43</v>
      </c>
      <c r="K22" s="1306"/>
      <c r="L22" s="1305">
        <f>C22-2270-1500-1972-4800-1700-1000</f>
        <v>2758</v>
      </c>
      <c r="N22" s="841"/>
    </row>
    <row r="23" spans="1:14" s="659" customFormat="1" ht="139.5" customHeight="1">
      <c r="A23" s="1299">
        <v>19</v>
      </c>
      <c r="B23" s="1300" t="s">
        <v>279</v>
      </c>
      <c r="C23" s="1301">
        <v>16000</v>
      </c>
      <c r="D23" s="1302" t="s">
        <v>353</v>
      </c>
      <c r="E23" s="1302" t="s">
        <v>682</v>
      </c>
      <c r="F23" s="1303" t="s">
        <v>19</v>
      </c>
      <c r="G23" s="1300" t="s">
        <v>172</v>
      </c>
      <c r="H23" s="1304" t="s">
        <v>885</v>
      </c>
      <c r="I23" s="3643"/>
      <c r="J23" s="1300" t="s">
        <v>43</v>
      </c>
      <c r="K23" s="1306"/>
      <c r="L23" s="1305"/>
      <c r="N23" s="841"/>
    </row>
    <row r="24" spans="1:14" s="659" customFormat="1" ht="139.5" customHeight="1">
      <c r="A24" s="1299">
        <v>20</v>
      </c>
      <c r="B24" s="1300" t="s">
        <v>366</v>
      </c>
      <c r="C24" s="1301">
        <v>10200</v>
      </c>
      <c r="D24" s="1302" t="s">
        <v>353</v>
      </c>
      <c r="E24" s="1302" t="s">
        <v>684</v>
      </c>
      <c r="F24" s="1303" t="s">
        <v>19</v>
      </c>
      <c r="G24" s="1300" t="s">
        <v>685</v>
      </c>
      <c r="H24" s="1304" t="s">
        <v>886</v>
      </c>
      <c r="I24" s="3643"/>
      <c r="J24" s="1300" t="s">
        <v>43</v>
      </c>
      <c r="K24" s="1306"/>
      <c r="L24" s="1305">
        <f>C24-3100-3000-1000-2000</f>
        <v>1100</v>
      </c>
      <c r="N24" s="841"/>
    </row>
    <row r="25" spans="1:14" s="1" customFormat="1" ht="78.75" customHeight="1">
      <c r="A25" s="360">
        <v>21</v>
      </c>
      <c r="B25" s="41" t="s">
        <v>312</v>
      </c>
      <c r="C25" s="1282">
        <v>11800</v>
      </c>
      <c r="D25" s="90" t="s">
        <v>887</v>
      </c>
      <c r="E25" s="90"/>
      <c r="F25" s="1254" t="s">
        <v>19</v>
      </c>
      <c r="G25" s="41" t="s">
        <v>172</v>
      </c>
      <c r="H25" s="1293" t="s">
        <v>888</v>
      </c>
      <c r="I25" s="3643"/>
      <c r="J25" s="41" t="s">
        <v>43</v>
      </c>
      <c r="K25" s="1290"/>
      <c r="L25" s="41"/>
      <c r="N25" s="3"/>
    </row>
    <row r="26" spans="1:14" s="1" customFormat="1" ht="103.5" customHeight="1">
      <c r="A26" s="360">
        <v>22</v>
      </c>
      <c r="B26" s="41" t="s">
        <v>697</v>
      </c>
      <c r="C26" s="1282">
        <v>16300</v>
      </c>
      <c r="D26" s="90" t="s">
        <v>889</v>
      </c>
      <c r="E26" s="90" t="s">
        <v>890</v>
      </c>
      <c r="F26" s="1254" t="s">
        <v>19</v>
      </c>
      <c r="G26" s="41" t="s">
        <v>172</v>
      </c>
      <c r="H26" s="1293" t="s">
        <v>891</v>
      </c>
      <c r="I26" s="3643"/>
      <c r="J26" s="41" t="s">
        <v>43</v>
      </c>
      <c r="K26" s="1290"/>
      <c r="L26" s="1307">
        <f>1200+3000+2500+1000</f>
        <v>7700</v>
      </c>
      <c r="N26" s="3"/>
    </row>
    <row r="27" spans="1:14" s="1" customFormat="1" ht="33" customHeight="1">
      <c r="A27" s="360">
        <v>23</v>
      </c>
      <c r="B27" s="41" t="s">
        <v>693</v>
      </c>
      <c r="C27" s="1282">
        <v>5000</v>
      </c>
      <c r="D27" s="90" t="s">
        <v>892</v>
      </c>
      <c r="E27" s="90" t="s">
        <v>893</v>
      </c>
      <c r="F27" s="1254" t="s">
        <v>19</v>
      </c>
      <c r="G27" s="90" t="s">
        <v>286</v>
      </c>
      <c r="H27" s="507" t="s">
        <v>695</v>
      </c>
      <c r="I27" s="3643"/>
      <c r="J27" s="41" t="s">
        <v>387</v>
      </c>
      <c r="K27" s="1275"/>
      <c r="L27" s="1291"/>
      <c r="N27" s="3"/>
    </row>
    <row r="28" spans="1:14" s="1" customFormat="1" ht="51" customHeight="1">
      <c r="A28" s="360">
        <v>24</v>
      </c>
      <c r="B28" s="41" t="s">
        <v>274</v>
      </c>
      <c r="C28" s="1282">
        <v>4250</v>
      </c>
      <c r="D28" s="90" t="s">
        <v>892</v>
      </c>
      <c r="E28" s="1294"/>
      <c r="F28" s="1254" t="s">
        <v>19</v>
      </c>
      <c r="G28" s="90" t="s">
        <v>689</v>
      </c>
      <c r="H28" s="507" t="s">
        <v>690</v>
      </c>
      <c r="I28" s="3644"/>
      <c r="J28" s="41" t="s">
        <v>84</v>
      </c>
      <c r="K28" s="1275"/>
      <c r="L28" s="41"/>
      <c r="N28" s="3"/>
    </row>
    <row r="29" spans="1:14" s="1" customFormat="1" ht="45.75" customHeight="1">
      <c r="A29" s="359">
        <v>25</v>
      </c>
      <c r="C29" s="1179"/>
      <c r="D29" s="271"/>
      <c r="E29" s="271"/>
      <c r="H29" s="9"/>
      <c r="K29" s="804"/>
      <c r="N29" s="3"/>
    </row>
    <row r="30" spans="1:14" s="1" customFormat="1">
      <c r="A30" s="359">
        <v>26</v>
      </c>
      <c r="C30" s="1179"/>
      <c r="D30" s="271"/>
      <c r="E30" s="271"/>
      <c r="G30" s="271" t="s">
        <v>63</v>
      </c>
      <c r="H30" s="9" t="s">
        <v>894</v>
      </c>
      <c r="K30" s="804"/>
      <c r="N30" s="3"/>
    </row>
    <row r="31" spans="1:14" s="1" customFormat="1">
      <c r="A31" s="359">
        <v>27</v>
      </c>
      <c r="C31" s="1179"/>
      <c r="D31" s="271"/>
      <c r="E31" s="271"/>
      <c r="H31" s="9" t="s">
        <v>895</v>
      </c>
      <c r="K31" s="804"/>
      <c r="N31" s="3"/>
    </row>
    <row r="32" spans="1:14" s="1" customFormat="1" ht="56.25">
      <c r="A32" s="359">
        <v>28</v>
      </c>
      <c r="C32" s="1179"/>
      <c r="D32" s="271"/>
      <c r="E32" s="271"/>
      <c r="H32" s="475" t="s">
        <v>896</v>
      </c>
      <c r="K32" s="804"/>
      <c r="N32" s="3"/>
    </row>
    <row r="33" spans="1:14" s="1" customFormat="1">
      <c r="A33" s="359">
        <v>29</v>
      </c>
      <c r="C33" s="1179"/>
      <c r="D33" s="271"/>
      <c r="E33" s="271"/>
      <c r="H33" s="9"/>
      <c r="K33" s="804"/>
      <c r="N33" s="3"/>
    </row>
    <row r="34" spans="1:14" s="1" customFormat="1">
      <c r="A34" s="359">
        <v>30</v>
      </c>
      <c r="C34" s="1179"/>
      <c r="D34" s="271"/>
      <c r="E34" s="271"/>
      <c r="H34" s="9" t="s">
        <v>897</v>
      </c>
      <c r="K34" s="804"/>
      <c r="N34" s="3"/>
    </row>
    <row r="35" spans="1:14" s="1" customFormat="1">
      <c r="A35" s="359">
        <v>31</v>
      </c>
      <c r="C35" s="1179"/>
      <c r="D35" s="271"/>
      <c r="E35" s="271"/>
      <c r="G35" s="1" t="s">
        <v>123</v>
      </c>
      <c r="H35" s="9" t="s">
        <v>898</v>
      </c>
      <c r="K35" s="804"/>
      <c r="N35" s="3"/>
    </row>
    <row r="36" spans="1:14" s="1" customFormat="1">
      <c r="A36" s="359">
        <v>32</v>
      </c>
      <c r="C36" s="1179"/>
      <c r="D36" s="271"/>
      <c r="E36" s="271"/>
      <c r="H36" s="9"/>
      <c r="K36" s="804"/>
      <c r="N36" s="3"/>
    </row>
    <row r="37" spans="1:14" s="1" customFormat="1">
      <c r="A37" s="359">
        <v>33</v>
      </c>
      <c r="C37" s="1179"/>
      <c r="D37" s="271"/>
      <c r="E37" s="271"/>
      <c r="H37" s="9"/>
      <c r="K37" s="804"/>
      <c r="N37" s="3"/>
    </row>
    <row r="38" spans="1:14" s="1" customFormat="1">
      <c r="A38" s="359">
        <v>34</v>
      </c>
      <c r="C38" s="1179"/>
      <c r="D38" s="271"/>
      <c r="E38" s="271"/>
      <c r="H38" s="9"/>
      <c r="K38" s="804"/>
      <c r="N38" s="3"/>
    </row>
    <row r="39" spans="1:14" s="1" customFormat="1">
      <c r="A39" s="359">
        <v>35</v>
      </c>
      <c r="C39" s="1179"/>
      <c r="D39" s="271"/>
      <c r="E39" s="271"/>
      <c r="H39" s="9"/>
      <c r="K39" s="804"/>
      <c r="N39" s="3"/>
    </row>
    <row r="40" spans="1:14" s="1" customFormat="1">
      <c r="A40" s="359">
        <v>36</v>
      </c>
      <c r="C40" s="1179"/>
      <c r="D40" s="271"/>
      <c r="E40" s="271"/>
      <c r="H40" s="9"/>
      <c r="K40" s="804"/>
      <c r="N40" s="3"/>
    </row>
    <row r="41" spans="1:14" s="1" customFormat="1">
      <c r="A41" s="359">
        <v>37</v>
      </c>
      <c r="C41" s="1179"/>
      <c r="D41" s="271"/>
      <c r="E41" s="271"/>
      <c r="H41" s="9"/>
      <c r="K41" s="804"/>
      <c r="N41" s="3"/>
    </row>
    <row r="42" spans="1:14" s="1" customFormat="1">
      <c r="A42" s="359">
        <v>38</v>
      </c>
      <c r="C42" s="1179"/>
      <c r="D42" s="271"/>
      <c r="E42" s="271"/>
      <c r="H42" s="9"/>
      <c r="K42" s="804"/>
      <c r="N42" s="3"/>
    </row>
    <row r="43" spans="1:14" s="1" customFormat="1">
      <c r="A43" s="359">
        <v>39</v>
      </c>
      <c r="C43" s="1179"/>
      <c r="D43" s="271"/>
      <c r="E43" s="271"/>
      <c r="H43" s="9"/>
      <c r="K43" s="804"/>
      <c r="N43" s="3"/>
    </row>
    <row r="44" spans="1:14" s="1" customFormat="1">
      <c r="A44" s="359">
        <v>40</v>
      </c>
      <c r="C44" s="1179"/>
      <c r="D44" s="271"/>
      <c r="E44" s="271"/>
      <c r="H44" s="9"/>
      <c r="K44" s="804"/>
      <c r="N44" s="3"/>
    </row>
    <row r="45" spans="1:14" s="1" customFormat="1">
      <c r="A45" s="359">
        <v>41</v>
      </c>
      <c r="C45" s="1179"/>
      <c r="D45" s="271"/>
      <c r="E45" s="271"/>
      <c r="H45" s="9"/>
      <c r="K45" s="804"/>
      <c r="N45" s="3"/>
    </row>
    <row r="46" spans="1:14" s="1" customFormat="1">
      <c r="A46" s="359">
        <v>42</v>
      </c>
      <c r="C46" s="1179"/>
      <c r="D46" s="271"/>
      <c r="E46" s="271"/>
      <c r="H46" s="9"/>
      <c r="K46" s="804"/>
      <c r="N46" s="3"/>
    </row>
    <row r="47" spans="1:14" s="1" customFormat="1">
      <c r="A47" s="359">
        <v>43</v>
      </c>
      <c r="C47" s="1179"/>
      <c r="D47" s="271"/>
      <c r="E47" s="271"/>
      <c r="H47" s="9"/>
      <c r="K47" s="804"/>
      <c r="N47" s="3"/>
    </row>
    <row r="48" spans="1:14" s="1" customFormat="1">
      <c r="A48" s="359">
        <v>44</v>
      </c>
      <c r="C48" s="1179"/>
      <c r="D48" s="271"/>
      <c r="E48" s="271"/>
      <c r="H48" s="9"/>
      <c r="K48" s="804"/>
      <c r="N48" s="3"/>
    </row>
    <row r="49" spans="1:14" s="1" customFormat="1">
      <c r="A49" s="359">
        <v>45</v>
      </c>
      <c r="C49" s="1179"/>
      <c r="D49" s="271"/>
      <c r="E49" s="271"/>
      <c r="H49" s="9"/>
      <c r="K49" s="804"/>
      <c r="N49" s="3"/>
    </row>
    <row r="50" spans="1:14" s="1" customFormat="1">
      <c r="A50" s="359">
        <v>46</v>
      </c>
      <c r="C50" s="1179"/>
      <c r="D50" s="271"/>
      <c r="E50" s="271"/>
      <c r="H50" s="9"/>
      <c r="K50" s="804"/>
      <c r="N50" s="3"/>
    </row>
    <row r="51" spans="1:14" s="1" customFormat="1">
      <c r="A51" s="359">
        <v>47</v>
      </c>
      <c r="C51" s="1179"/>
      <c r="D51" s="271"/>
      <c r="E51" s="271"/>
      <c r="H51" s="9"/>
      <c r="K51" s="804"/>
      <c r="N51" s="3"/>
    </row>
    <row r="52" spans="1:14" s="1" customFormat="1">
      <c r="A52" s="359">
        <v>48</v>
      </c>
      <c r="C52" s="1179"/>
      <c r="D52" s="271"/>
      <c r="E52" s="271"/>
      <c r="H52" s="9"/>
      <c r="K52" s="804"/>
      <c r="N52" s="3"/>
    </row>
    <row r="53" spans="1:14" s="1" customFormat="1">
      <c r="A53" s="359">
        <v>49</v>
      </c>
      <c r="C53" s="1179"/>
      <c r="D53" s="271"/>
      <c r="E53" s="271"/>
      <c r="H53" s="9"/>
      <c r="K53" s="804"/>
      <c r="N53" s="3"/>
    </row>
    <row r="54" spans="1:14" s="1" customFormat="1">
      <c r="A54" s="359">
        <v>50</v>
      </c>
      <c r="C54" s="1179"/>
      <c r="D54" s="271"/>
      <c r="E54" s="271"/>
      <c r="H54" s="9"/>
      <c r="K54" s="804"/>
      <c r="L54" s="3"/>
      <c r="M54" s="3"/>
      <c r="N54" s="3"/>
    </row>
    <row r="55" spans="1:14" s="1" customFormat="1">
      <c r="A55" s="359">
        <v>51</v>
      </c>
      <c r="C55" s="1179"/>
      <c r="D55" s="271"/>
      <c r="E55" s="271"/>
      <c r="H55" s="9"/>
      <c r="K55" s="804"/>
      <c r="L55" s="3"/>
      <c r="M55" s="3"/>
      <c r="N55" s="3"/>
    </row>
    <row r="56" spans="1:14" s="1" customFormat="1">
      <c r="A56" s="359">
        <v>52</v>
      </c>
      <c r="C56" s="1138"/>
      <c r="D56" s="271"/>
      <c r="E56" s="271"/>
      <c r="H56" s="9"/>
      <c r="I56" s="9"/>
      <c r="K56" s="804"/>
      <c r="L56" s="3"/>
      <c r="M56" s="3"/>
      <c r="N56" s="3"/>
    </row>
    <row r="57" spans="1:14" s="1" customFormat="1">
      <c r="A57" s="359">
        <v>53</v>
      </c>
      <c r="C57" s="1138"/>
      <c r="D57" s="271"/>
      <c r="E57" s="271"/>
      <c r="H57" s="9"/>
      <c r="I57" s="9"/>
      <c r="K57" s="804"/>
      <c r="L57" s="3"/>
      <c r="M57" s="3"/>
      <c r="N57" s="3"/>
    </row>
    <row r="58" spans="1:14" s="1" customFormat="1">
      <c r="A58" s="359">
        <v>54</v>
      </c>
      <c r="C58" s="1138"/>
      <c r="D58" s="271"/>
      <c r="E58" s="271"/>
      <c r="H58" s="9"/>
      <c r="I58" s="9"/>
      <c r="K58" s="804"/>
      <c r="L58" s="3"/>
      <c r="M58" s="3"/>
      <c r="N58" s="3"/>
    </row>
    <row r="59" spans="1:14" s="1" customFormat="1">
      <c r="A59" s="359">
        <v>55</v>
      </c>
      <c r="C59" s="1138"/>
      <c r="D59" s="271"/>
      <c r="E59" s="271"/>
      <c r="H59" s="9"/>
      <c r="I59" s="9"/>
      <c r="K59" s="804"/>
      <c r="L59" s="3"/>
      <c r="M59" s="3"/>
      <c r="N59" s="3"/>
    </row>
    <row r="60" spans="1:14" s="1" customFormat="1">
      <c r="A60" s="359">
        <v>56</v>
      </c>
      <c r="C60" s="1138"/>
      <c r="D60" s="271"/>
      <c r="E60" s="271"/>
      <c r="H60" s="9"/>
      <c r="I60" s="9"/>
      <c r="K60" s="804"/>
      <c r="L60" s="3"/>
      <c r="M60" s="3"/>
      <c r="N60" s="3"/>
    </row>
    <row r="61" spans="1:14" s="1" customFormat="1">
      <c r="A61" s="359">
        <v>57</v>
      </c>
      <c r="C61" s="1138"/>
      <c r="D61" s="271"/>
      <c r="E61" s="271"/>
      <c r="H61" s="9"/>
      <c r="I61" s="9"/>
      <c r="K61" s="804"/>
      <c r="L61" s="3"/>
      <c r="M61" s="3"/>
      <c r="N61" s="3"/>
    </row>
    <row r="62" spans="1:14" s="1" customFormat="1">
      <c r="A62" s="359">
        <v>58</v>
      </c>
      <c r="C62" s="1138"/>
      <c r="D62" s="271"/>
      <c r="E62" s="271"/>
      <c r="H62" s="9"/>
      <c r="I62" s="9"/>
      <c r="K62" s="804"/>
      <c r="L62" s="3"/>
      <c r="M62" s="3"/>
      <c r="N62" s="3"/>
    </row>
    <row r="63" spans="1:14" s="1" customFormat="1">
      <c r="A63" s="359">
        <v>59</v>
      </c>
      <c r="C63" s="1138"/>
      <c r="D63" s="271"/>
      <c r="E63" s="271"/>
      <c r="H63" s="9"/>
      <c r="I63" s="9"/>
      <c r="K63" s="804"/>
      <c r="L63" s="3"/>
      <c r="M63" s="3"/>
      <c r="N63" s="3"/>
    </row>
    <row r="64" spans="1:14" s="1" customFormat="1">
      <c r="A64" s="359">
        <v>60</v>
      </c>
      <c r="C64" s="1138"/>
      <c r="D64" s="271"/>
      <c r="E64" s="271"/>
      <c r="H64" s="9"/>
      <c r="I64" s="9"/>
      <c r="K64" s="804"/>
      <c r="L64" s="3"/>
      <c r="M64" s="3"/>
      <c r="N64" s="3"/>
    </row>
  </sheetData>
  <autoFilter ref="A4:O56" xr:uid="{00000000-0009-0000-0000-000001000000}"/>
  <mergeCells count="4">
    <mergeCell ref="C1:I1"/>
    <mergeCell ref="A2:I2"/>
    <mergeCell ref="I3:J3"/>
    <mergeCell ref="I22:I28"/>
  </mergeCells>
  <conditionalFormatting sqref="A1:A3">
    <cfRule type="duplicateValues" dxfId="829" priority="8"/>
  </conditionalFormatting>
  <conditionalFormatting sqref="A4">
    <cfRule type="duplicateValues" dxfId="828" priority="4"/>
  </conditionalFormatting>
  <conditionalFormatting sqref="B3">
    <cfRule type="duplicateValues" dxfId="827" priority="5"/>
    <cfRule type="duplicateValues" dxfId="826" priority="6"/>
    <cfRule type="duplicateValues" dxfId="825" priority="7"/>
  </conditionalFormatting>
  <conditionalFormatting sqref="B4">
    <cfRule type="duplicateValues" dxfId="824" priority="1"/>
    <cfRule type="duplicateValues" dxfId="823" priority="2"/>
    <cfRule type="duplicateValues" dxfId="822" priority="3"/>
  </conditionalFormatting>
  <pageMargins left="0.7" right="0.7" top="0.75" bottom="0.75" header="0.3" footer="0.3"/>
  <pageSetup paperSize="9" scale="56" orientation="landscape"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M64"/>
  <sheetViews>
    <sheetView topLeftCell="A2" zoomScale="70" zoomScaleNormal="70" workbookViewId="0">
      <pane xSplit="3" ySplit="3" topLeftCell="D5" activePane="bottomRight" state="frozen"/>
      <selection pane="topRight" activeCell="D29" sqref="D29:E30"/>
      <selection pane="bottomLeft" activeCell="D29" sqref="D29:E30"/>
      <selection pane="bottomRight" activeCell="D29" sqref="D29:E30"/>
    </sheetView>
  </sheetViews>
  <sheetFormatPr defaultColWidth="25.5703125" defaultRowHeight="18.75"/>
  <cols>
    <col min="1" max="1" width="5" style="359" customWidth="1"/>
    <col min="2" max="2" width="28.5703125" style="1" customWidth="1"/>
    <col min="3" max="3" width="19.140625" style="803" customWidth="1"/>
    <col min="4" max="4" width="18.85546875" style="271" customWidth="1"/>
    <col min="5" max="5" width="19.85546875" style="271" customWidth="1"/>
    <col min="6" max="6" width="17.42578125" style="1" customWidth="1"/>
    <col min="7" max="7" width="20" style="1" customWidth="1"/>
    <col min="8" max="8" width="60.42578125" style="9" customWidth="1"/>
    <col min="9" max="9" width="52.85546875" style="9" customWidth="1"/>
    <col min="10" max="10" width="25.5703125" style="1" customWidth="1"/>
    <col min="11" max="11" width="10.28515625" style="804" customWidth="1"/>
    <col min="12" max="12" width="25.5703125" style="3" customWidth="1"/>
    <col min="13" max="13" width="15.42578125" style="3" customWidth="1"/>
    <col min="14" max="14" width="34.5703125" style="3" customWidth="1"/>
    <col min="15" max="16384" width="25.5703125" style="3"/>
  </cols>
  <sheetData>
    <row r="1" spans="1:13" ht="17.25" customHeight="1">
      <c r="B1" s="10"/>
      <c r="C1" s="3624"/>
      <c r="D1" s="3624"/>
      <c r="E1" s="3624"/>
      <c r="F1" s="3624"/>
      <c r="G1" s="3624"/>
      <c r="H1" s="3624"/>
      <c r="I1" s="3624"/>
    </row>
    <row r="2" spans="1:13" ht="34.5" customHeight="1">
      <c r="A2" s="3637" t="s">
        <v>899</v>
      </c>
      <c r="B2" s="3637"/>
      <c r="C2" s="3637"/>
      <c r="D2" s="3637"/>
      <c r="E2" s="3637"/>
      <c r="F2" s="3637"/>
      <c r="G2" s="3637"/>
      <c r="H2" s="3637"/>
      <c r="I2" s="3637"/>
      <c r="J2" s="1116" t="s">
        <v>900</v>
      </c>
      <c r="K2" s="805"/>
      <c r="L2" s="196"/>
      <c r="M2" s="197"/>
    </row>
    <row r="3" spans="1:13" ht="13.5" customHeight="1">
      <c r="A3" s="360"/>
      <c r="B3" s="385"/>
      <c r="C3" s="806">
        <f>SUBTOTAL(9,C5:C390)</f>
        <v>181349</v>
      </c>
      <c r="D3" s="378"/>
      <c r="E3" s="849"/>
      <c r="F3" s="201"/>
      <c r="G3" s="199"/>
      <c r="H3" s="202"/>
      <c r="I3" s="3639">
        <f ca="1">TODAY()</f>
        <v>45960</v>
      </c>
      <c r="J3" s="3639"/>
      <c r="K3" s="808"/>
      <c r="L3" s="197"/>
      <c r="M3" s="197"/>
    </row>
    <row r="4" spans="1:13" s="7" customFormat="1" ht="49.5">
      <c r="A4" s="810" t="s">
        <v>1</v>
      </c>
      <c r="B4" s="679" t="s">
        <v>339</v>
      </c>
      <c r="C4" s="811" t="s">
        <v>3</v>
      </c>
      <c r="D4" s="679" t="s">
        <v>4</v>
      </c>
      <c r="E4" s="679" t="s">
        <v>6</v>
      </c>
      <c r="F4" s="679" t="s">
        <v>8</v>
      </c>
      <c r="G4" s="679" t="s">
        <v>9</v>
      </c>
      <c r="H4" s="812" t="s">
        <v>10</v>
      </c>
      <c r="I4" s="679" t="s">
        <v>11</v>
      </c>
      <c r="J4" s="679" t="s">
        <v>5</v>
      </c>
      <c r="K4" s="813" t="s">
        <v>340</v>
      </c>
      <c r="L4" s="753" t="s">
        <v>341</v>
      </c>
      <c r="M4" s="754">
        <f>SUM(M5:M10)</f>
        <v>175829</v>
      </c>
    </row>
    <row r="5" spans="1:13" s="336" customFormat="1" ht="45" customHeight="1">
      <c r="A5" s="797" cm="1">
        <f t="array" ref="A5:A64">_xlfn.SEQUENCE(60,1,1,)</f>
        <v>1</v>
      </c>
      <c r="B5" s="87" t="s">
        <v>519</v>
      </c>
      <c r="C5" s="94">
        <v>1150</v>
      </c>
      <c r="D5" s="133" t="s">
        <v>226</v>
      </c>
      <c r="E5" s="133" t="s">
        <v>901</v>
      </c>
      <c r="F5" s="91" t="s">
        <v>19</v>
      </c>
      <c r="G5" s="89" t="s">
        <v>172</v>
      </c>
      <c r="H5" s="108" t="s">
        <v>902</v>
      </c>
      <c r="I5" s="108"/>
      <c r="J5" s="87" t="s">
        <v>54</v>
      </c>
      <c r="K5" s="335">
        <f t="shared" ref="K5:K12" si="0">C5</f>
        <v>1150</v>
      </c>
      <c r="L5" s="1070" t="s">
        <v>514</v>
      </c>
      <c r="M5" s="242">
        <f t="shared" ref="M5:M10" si="1">SUMIF($J:$J,L5,K:K)</f>
        <v>8361</v>
      </c>
    </row>
    <row r="6" spans="1:13" s="336" customFormat="1" ht="48.75" customHeight="1">
      <c r="A6" s="797">
        <v>2</v>
      </c>
      <c r="B6" s="87" t="s">
        <v>636</v>
      </c>
      <c r="C6" s="94">
        <v>2950</v>
      </c>
      <c r="D6" s="133" t="s">
        <v>226</v>
      </c>
      <c r="E6" s="133" t="s">
        <v>903</v>
      </c>
      <c r="F6" s="91" t="s">
        <v>19</v>
      </c>
      <c r="G6" s="89" t="s">
        <v>172</v>
      </c>
      <c r="H6" s="93" t="s">
        <v>904</v>
      </c>
      <c r="I6" s="108" t="s">
        <v>905</v>
      </c>
      <c r="J6" s="87" t="s">
        <v>54</v>
      </c>
      <c r="K6" s="335">
        <f t="shared" si="0"/>
        <v>2950</v>
      </c>
      <c r="L6" s="1070" t="s">
        <v>84</v>
      </c>
      <c r="M6" s="242">
        <f t="shared" si="1"/>
        <v>56380</v>
      </c>
    </row>
    <row r="7" spans="1:13" s="367" customFormat="1" ht="56.25">
      <c r="A7" s="706">
        <v>3</v>
      </c>
      <c r="B7" s="129" t="s">
        <v>906</v>
      </c>
      <c r="C7" s="94">
        <v>4550</v>
      </c>
      <c r="D7" s="133" t="s">
        <v>226</v>
      </c>
      <c r="E7" s="133" t="s">
        <v>907</v>
      </c>
      <c r="F7" s="91" t="s">
        <v>19</v>
      </c>
      <c r="G7" s="89" t="s">
        <v>199</v>
      </c>
      <c r="H7" s="93" t="s">
        <v>908</v>
      </c>
      <c r="I7" s="93"/>
      <c r="J7" s="87" t="s">
        <v>89</v>
      </c>
      <c r="K7" s="335">
        <f t="shared" si="0"/>
        <v>4550</v>
      </c>
      <c r="L7" s="241" t="s">
        <v>43</v>
      </c>
      <c r="M7" s="242">
        <f t="shared" si="1"/>
        <v>34653</v>
      </c>
    </row>
    <row r="8" spans="1:13" s="336" customFormat="1" ht="48.75" customHeight="1">
      <c r="A8" s="786">
        <v>4</v>
      </c>
      <c r="B8" s="129" t="s">
        <v>909</v>
      </c>
      <c r="C8" s="94">
        <v>4520</v>
      </c>
      <c r="D8" s="133" t="s">
        <v>226</v>
      </c>
      <c r="E8" s="133" t="s">
        <v>910</v>
      </c>
      <c r="F8" s="91" t="s">
        <v>19</v>
      </c>
      <c r="G8" s="89" t="s">
        <v>911</v>
      </c>
      <c r="H8" s="93" t="s">
        <v>912</v>
      </c>
      <c r="I8" s="1115" t="s">
        <v>913</v>
      </c>
      <c r="J8" s="87" t="s">
        <v>16</v>
      </c>
      <c r="K8" s="335">
        <f t="shared" si="0"/>
        <v>4520</v>
      </c>
      <c r="L8" s="247" t="s">
        <v>16</v>
      </c>
      <c r="M8" s="242">
        <f t="shared" si="1"/>
        <v>33160</v>
      </c>
    </row>
    <row r="9" spans="1:13" s="336" customFormat="1" ht="76.5" customHeight="1">
      <c r="A9" s="786">
        <v>5</v>
      </c>
      <c r="B9" s="129" t="s">
        <v>914</v>
      </c>
      <c r="C9" s="94">
        <v>3550</v>
      </c>
      <c r="D9" s="133" t="s">
        <v>226</v>
      </c>
      <c r="E9" s="133" t="s">
        <v>915</v>
      </c>
      <c r="F9" s="91" t="s">
        <v>19</v>
      </c>
      <c r="G9" s="87" t="s">
        <v>172</v>
      </c>
      <c r="H9" s="340" t="s">
        <v>916</v>
      </c>
      <c r="I9" s="1117">
        <f>3550-140-380-1600</f>
        <v>1430</v>
      </c>
      <c r="J9" s="113" t="s">
        <v>89</v>
      </c>
      <c r="K9" s="330">
        <f t="shared" si="0"/>
        <v>3550</v>
      </c>
      <c r="L9" s="177" t="s">
        <v>89</v>
      </c>
      <c r="M9" s="242">
        <f t="shared" si="1"/>
        <v>39175</v>
      </c>
    </row>
    <row r="10" spans="1:13" s="336" customFormat="1" ht="90" customHeight="1">
      <c r="A10" s="786">
        <v>6</v>
      </c>
      <c r="B10" s="129" t="s">
        <v>626</v>
      </c>
      <c r="C10" s="94">
        <v>3200</v>
      </c>
      <c r="D10" s="133" t="s">
        <v>226</v>
      </c>
      <c r="E10" s="133" t="s">
        <v>917</v>
      </c>
      <c r="F10" s="91" t="s">
        <v>19</v>
      </c>
      <c r="G10" s="87" t="s">
        <v>172</v>
      </c>
      <c r="H10" s="93" t="s">
        <v>918</v>
      </c>
      <c r="I10" s="1118"/>
      <c r="J10" s="91" t="s">
        <v>84</v>
      </c>
      <c r="K10" s="1076">
        <f t="shared" si="0"/>
        <v>3200</v>
      </c>
      <c r="L10" s="698" t="s">
        <v>54</v>
      </c>
      <c r="M10" s="242">
        <f t="shared" si="1"/>
        <v>4100</v>
      </c>
    </row>
    <row r="11" spans="1:13" s="150" customFormat="1" ht="80.25" customHeight="1">
      <c r="A11" s="706">
        <v>7</v>
      </c>
      <c r="B11" s="87" t="s">
        <v>515</v>
      </c>
      <c r="C11" s="94">
        <v>2915</v>
      </c>
      <c r="D11" s="133" t="s">
        <v>226</v>
      </c>
      <c r="E11" s="133" t="s">
        <v>919</v>
      </c>
      <c r="F11" s="91" t="s">
        <v>19</v>
      </c>
      <c r="G11" s="87" t="s">
        <v>74</v>
      </c>
      <c r="H11" s="93" t="s">
        <v>920</v>
      </c>
      <c r="I11" s="1119"/>
      <c r="J11" s="87" t="s">
        <v>89</v>
      </c>
      <c r="K11" s="335">
        <f t="shared" si="0"/>
        <v>2915</v>
      </c>
      <c r="L11" s="336"/>
      <c r="M11" s="336"/>
    </row>
    <row r="12" spans="1:13" s="336" customFormat="1" ht="76.5" customHeight="1">
      <c r="A12" s="786">
        <v>8</v>
      </c>
      <c r="B12" s="129" t="s">
        <v>921</v>
      </c>
      <c r="C12" s="94">
        <v>4500</v>
      </c>
      <c r="D12" s="133" t="s">
        <v>226</v>
      </c>
      <c r="E12" s="133" t="s">
        <v>922</v>
      </c>
      <c r="F12" s="91" t="s">
        <v>222</v>
      </c>
      <c r="G12" s="133" t="s">
        <v>923</v>
      </c>
      <c r="H12" s="93" t="s">
        <v>924</v>
      </c>
      <c r="I12" s="1118"/>
      <c r="J12" s="87" t="s">
        <v>84</v>
      </c>
      <c r="K12" s="335">
        <f t="shared" si="0"/>
        <v>4500</v>
      </c>
    </row>
    <row r="13" spans="1:13" s="336" customFormat="1" ht="100.5" customHeight="1">
      <c r="A13" s="789">
        <v>9</v>
      </c>
      <c r="B13" s="1120" t="s">
        <v>925</v>
      </c>
      <c r="C13" s="94">
        <v>7650</v>
      </c>
      <c r="D13" s="133" t="s">
        <v>226</v>
      </c>
      <c r="E13" s="133" t="s">
        <v>926</v>
      </c>
      <c r="F13" s="91" t="s">
        <v>19</v>
      </c>
      <c r="G13" s="87" t="s">
        <v>927</v>
      </c>
      <c r="H13" s="93" t="s">
        <v>928</v>
      </c>
      <c r="I13" s="1121"/>
      <c r="J13" s="87" t="s">
        <v>16</v>
      </c>
      <c r="K13" s="335">
        <f>C13-730-1900-1390-1500</f>
        <v>2130</v>
      </c>
    </row>
    <row r="14" spans="1:13" s="336" customFormat="1" ht="69.75" customHeight="1">
      <c r="A14" s="789">
        <v>10</v>
      </c>
      <c r="B14" s="1120" t="s">
        <v>526</v>
      </c>
      <c r="C14" s="94">
        <v>3400</v>
      </c>
      <c r="D14" s="133" t="s">
        <v>226</v>
      </c>
      <c r="E14" s="133" t="s">
        <v>929</v>
      </c>
      <c r="F14" s="91" t="s">
        <v>19</v>
      </c>
      <c r="G14" s="87" t="s">
        <v>741</v>
      </c>
      <c r="H14" s="93" t="s">
        <v>930</v>
      </c>
      <c r="I14" s="1122" t="s">
        <v>905</v>
      </c>
      <c r="J14" s="87" t="s">
        <v>43</v>
      </c>
      <c r="K14" s="335">
        <f t="shared" ref="K14:K52" si="2">C14</f>
        <v>3400</v>
      </c>
      <c r="L14" s="848">
        <f>C19-2700-750</f>
        <v>210</v>
      </c>
    </row>
    <row r="15" spans="1:13" s="336" customFormat="1" ht="92.25" customHeight="1">
      <c r="A15" s="786">
        <v>11</v>
      </c>
      <c r="B15" s="129" t="s">
        <v>931</v>
      </c>
      <c r="C15" s="94">
        <v>4650</v>
      </c>
      <c r="D15" s="133" t="s">
        <v>226</v>
      </c>
      <c r="E15" s="133" t="s">
        <v>932</v>
      </c>
      <c r="F15" s="91" t="s">
        <v>19</v>
      </c>
      <c r="G15" s="87" t="s">
        <v>933</v>
      </c>
      <c r="H15" s="93" t="s">
        <v>934</v>
      </c>
      <c r="I15" s="1118"/>
      <c r="J15" s="87" t="s">
        <v>16</v>
      </c>
      <c r="K15" s="335">
        <f t="shared" si="2"/>
        <v>4650</v>
      </c>
      <c r="L15" s="367"/>
      <c r="M15" s="1123"/>
    </row>
    <row r="16" spans="1:13" s="150" customFormat="1" ht="80.25" customHeight="1">
      <c r="A16" s="706">
        <v>12</v>
      </c>
      <c r="B16" s="1120" t="s">
        <v>562</v>
      </c>
      <c r="C16" s="94">
        <v>2787</v>
      </c>
      <c r="D16" s="133" t="s">
        <v>226</v>
      </c>
      <c r="E16" s="133" t="s">
        <v>935</v>
      </c>
      <c r="F16" s="91" t="s">
        <v>19</v>
      </c>
      <c r="G16" s="87" t="s">
        <v>172</v>
      </c>
      <c r="H16" s="93" t="s">
        <v>936</v>
      </c>
      <c r="I16" s="1122" t="s">
        <v>905</v>
      </c>
      <c r="J16" s="87" t="s">
        <v>514</v>
      </c>
      <c r="K16" s="335">
        <f t="shared" si="2"/>
        <v>2787</v>
      </c>
      <c r="L16" s="336"/>
      <c r="M16" s="336"/>
    </row>
    <row r="17" spans="1:13" s="150" customFormat="1" ht="77.25" customHeight="1">
      <c r="A17" s="706">
        <v>13</v>
      </c>
      <c r="B17" s="129" t="s">
        <v>937</v>
      </c>
      <c r="C17" s="94">
        <v>1900</v>
      </c>
      <c r="D17" s="133" t="s">
        <v>226</v>
      </c>
      <c r="E17" s="133" t="s">
        <v>938</v>
      </c>
      <c r="F17" s="91" t="s">
        <v>19</v>
      </c>
      <c r="G17" s="87" t="s">
        <v>172</v>
      </c>
      <c r="H17" s="93" t="s">
        <v>939</v>
      </c>
      <c r="I17" s="1124"/>
      <c r="J17" s="87" t="s">
        <v>16</v>
      </c>
      <c r="K17" s="335">
        <f t="shared" si="2"/>
        <v>1900</v>
      </c>
      <c r="L17" s="336"/>
      <c r="M17" s="336"/>
    </row>
    <row r="18" spans="1:13" s="150" customFormat="1" ht="60.75" customHeight="1">
      <c r="A18" s="706">
        <v>14</v>
      </c>
      <c r="B18" s="181" t="s">
        <v>589</v>
      </c>
      <c r="C18" s="94">
        <v>4000</v>
      </c>
      <c r="D18" s="133" t="s">
        <v>226</v>
      </c>
      <c r="E18" s="133" t="s">
        <v>940</v>
      </c>
      <c r="F18" s="91" t="s">
        <v>19</v>
      </c>
      <c r="G18" s="87" t="s">
        <v>172</v>
      </c>
      <c r="H18" s="93" t="s">
        <v>941</v>
      </c>
      <c r="I18" s="1125"/>
      <c r="J18" s="87" t="s">
        <v>43</v>
      </c>
      <c r="K18" s="335">
        <f t="shared" si="2"/>
        <v>4000</v>
      </c>
      <c r="L18" s="336"/>
      <c r="M18" s="336"/>
    </row>
    <row r="19" spans="1:13" s="150" customFormat="1" ht="51.75" customHeight="1">
      <c r="A19" s="904">
        <v>15</v>
      </c>
      <c r="B19" s="177" t="s">
        <v>942</v>
      </c>
      <c r="C19" s="186">
        <v>3660</v>
      </c>
      <c r="D19" s="133" t="s">
        <v>226</v>
      </c>
      <c r="E19" s="388" t="s">
        <v>943</v>
      </c>
      <c r="F19" s="180" t="s">
        <v>19</v>
      </c>
      <c r="G19" s="177" t="s">
        <v>101</v>
      </c>
      <c r="H19" s="188" t="s">
        <v>944</v>
      </c>
      <c r="I19" s="1126" t="s">
        <v>945</v>
      </c>
      <c r="J19" s="177" t="s">
        <v>89</v>
      </c>
      <c r="K19" s="1127">
        <f t="shared" si="2"/>
        <v>3660</v>
      </c>
    </row>
    <row r="20" spans="1:13" s="150" customFormat="1" ht="77.25" customHeight="1">
      <c r="A20" s="706">
        <v>16</v>
      </c>
      <c r="B20" s="1120" t="s">
        <v>946</v>
      </c>
      <c r="C20" s="94">
        <v>3180</v>
      </c>
      <c r="D20" s="133" t="s">
        <v>226</v>
      </c>
      <c r="E20" s="133" t="s">
        <v>947</v>
      </c>
      <c r="F20" s="91" t="s">
        <v>19</v>
      </c>
      <c r="G20" s="133" t="s">
        <v>923</v>
      </c>
      <c r="H20" s="93" t="s">
        <v>948</v>
      </c>
      <c r="I20" s="1121" t="s">
        <v>949</v>
      </c>
      <c r="J20" s="87" t="s">
        <v>84</v>
      </c>
      <c r="K20" s="335">
        <f t="shared" si="2"/>
        <v>3180</v>
      </c>
      <c r="L20" s="336"/>
      <c r="M20" s="336"/>
    </row>
    <row r="21" spans="1:13" s="367" customFormat="1" ht="98.25" customHeight="1">
      <c r="A21" s="797">
        <v>17</v>
      </c>
      <c r="B21" s="180" t="s">
        <v>950</v>
      </c>
      <c r="C21" s="120">
        <v>5500</v>
      </c>
      <c r="D21" s="133" t="s">
        <v>226</v>
      </c>
      <c r="E21" s="707" t="s">
        <v>951</v>
      </c>
      <c r="F21" s="91" t="s">
        <v>19</v>
      </c>
      <c r="G21" s="87" t="s">
        <v>172</v>
      </c>
      <c r="H21" s="119" t="s">
        <v>952</v>
      </c>
      <c r="I21" s="119"/>
      <c r="J21" s="91" t="s">
        <v>84</v>
      </c>
      <c r="K21" s="1076">
        <f t="shared" si="2"/>
        <v>5500</v>
      </c>
      <c r="L21" s="336"/>
      <c r="M21" s="336"/>
    </row>
    <row r="22" spans="1:13" s="150" customFormat="1" ht="90" customHeight="1">
      <c r="A22" s="706">
        <v>18</v>
      </c>
      <c r="B22" s="177" t="s">
        <v>581</v>
      </c>
      <c r="C22" s="94">
        <v>3500</v>
      </c>
      <c r="D22" s="133" t="s">
        <v>226</v>
      </c>
      <c r="E22" s="693" t="s">
        <v>953</v>
      </c>
      <c r="F22" s="87" t="s">
        <v>19</v>
      </c>
      <c r="G22" s="87" t="s">
        <v>172</v>
      </c>
      <c r="H22" s="93" t="s">
        <v>954</v>
      </c>
      <c r="I22" s="1113"/>
      <c r="J22" s="87" t="s">
        <v>84</v>
      </c>
      <c r="K22" s="335">
        <f t="shared" si="2"/>
        <v>3500</v>
      </c>
      <c r="L22" s="336"/>
      <c r="M22" s="336"/>
    </row>
    <row r="23" spans="1:13" s="855" customFormat="1" ht="73.5" customHeight="1">
      <c r="A23" s="706">
        <v>19</v>
      </c>
      <c r="B23" s="181" t="s">
        <v>668</v>
      </c>
      <c r="C23" s="186">
        <v>5500</v>
      </c>
      <c r="D23" s="693" t="s">
        <v>226</v>
      </c>
      <c r="E23" s="693" t="s">
        <v>955</v>
      </c>
      <c r="F23" s="180" t="s">
        <v>19</v>
      </c>
      <c r="G23" s="177" t="s">
        <v>172</v>
      </c>
      <c r="H23" s="188" t="s">
        <v>956</v>
      </c>
      <c r="I23" s="1126"/>
      <c r="J23" s="177" t="s">
        <v>84</v>
      </c>
      <c r="K23" s="1127">
        <f t="shared" si="2"/>
        <v>5500</v>
      </c>
      <c r="L23" s="150"/>
      <c r="M23" s="150"/>
    </row>
    <row r="24" spans="1:13" s="150" customFormat="1" ht="51.75" customHeight="1">
      <c r="A24" s="706">
        <v>20</v>
      </c>
      <c r="B24" s="87" t="s">
        <v>957</v>
      </c>
      <c r="C24" s="94">
        <v>3550</v>
      </c>
      <c r="D24" s="693" t="s">
        <v>226</v>
      </c>
      <c r="E24" s="133" t="s">
        <v>958</v>
      </c>
      <c r="F24" s="87" t="s">
        <v>19</v>
      </c>
      <c r="G24" s="87" t="s">
        <v>959</v>
      </c>
      <c r="H24" s="93" t="s">
        <v>960</v>
      </c>
      <c r="I24" s="93"/>
      <c r="J24" s="87" t="s">
        <v>43</v>
      </c>
      <c r="K24" s="335">
        <f t="shared" si="2"/>
        <v>3550</v>
      </c>
      <c r="L24" s="336"/>
      <c r="M24" s="336"/>
    </row>
    <row r="25" spans="1:13" s="336" customFormat="1" ht="93.75">
      <c r="A25" s="786">
        <v>21</v>
      </c>
      <c r="B25" s="87" t="s">
        <v>906</v>
      </c>
      <c r="C25" s="94">
        <v>4500</v>
      </c>
      <c r="D25" s="693" t="s">
        <v>226</v>
      </c>
      <c r="E25" s="133" t="s">
        <v>961</v>
      </c>
      <c r="F25" s="87" t="s">
        <v>19</v>
      </c>
      <c r="G25" s="177" t="s">
        <v>927</v>
      </c>
      <c r="H25" s="93" t="s">
        <v>962</v>
      </c>
      <c r="I25" s="1113"/>
      <c r="J25" s="87" t="s">
        <v>84</v>
      </c>
      <c r="K25" s="335">
        <f t="shared" si="2"/>
        <v>4500</v>
      </c>
    </row>
    <row r="26" spans="1:13" s="367" customFormat="1" ht="60.75" customHeight="1">
      <c r="A26" s="786">
        <v>22</v>
      </c>
      <c r="B26" s="87" t="s">
        <v>963</v>
      </c>
      <c r="C26" s="94">
        <v>3000</v>
      </c>
      <c r="D26" s="693" t="s">
        <v>226</v>
      </c>
      <c r="E26" s="133" t="s">
        <v>964</v>
      </c>
      <c r="F26" s="87" t="s">
        <v>19</v>
      </c>
      <c r="G26" s="87" t="s">
        <v>517</v>
      </c>
      <c r="H26" s="93" t="s">
        <v>965</v>
      </c>
      <c r="I26" s="93" t="s">
        <v>966</v>
      </c>
      <c r="J26" s="87" t="s">
        <v>84</v>
      </c>
      <c r="K26" s="335">
        <f t="shared" si="2"/>
        <v>3000</v>
      </c>
      <c r="L26" s="336"/>
      <c r="M26" s="336"/>
    </row>
    <row r="27" spans="1:13" s="336" customFormat="1" ht="46.5" customHeight="1">
      <c r="A27" s="786">
        <v>23</v>
      </c>
      <c r="B27" s="87" t="s">
        <v>515</v>
      </c>
      <c r="C27" s="94">
        <v>2915</v>
      </c>
      <c r="D27" s="693" t="s">
        <v>226</v>
      </c>
      <c r="E27" s="133" t="s">
        <v>967</v>
      </c>
      <c r="F27" s="87" t="s">
        <v>19</v>
      </c>
      <c r="G27" s="87" t="s">
        <v>517</v>
      </c>
      <c r="H27" s="93" t="s">
        <v>968</v>
      </c>
      <c r="I27" s="93" t="s">
        <v>969</v>
      </c>
      <c r="J27" s="87" t="s">
        <v>89</v>
      </c>
      <c r="K27" s="335">
        <f t="shared" si="2"/>
        <v>2915</v>
      </c>
    </row>
    <row r="28" spans="1:13" s="367" customFormat="1" ht="60" customHeight="1">
      <c r="A28" s="786">
        <v>24</v>
      </c>
      <c r="B28" s="87" t="s">
        <v>970</v>
      </c>
      <c r="C28" s="94">
        <v>5850</v>
      </c>
      <c r="D28" s="693" t="s">
        <v>226</v>
      </c>
      <c r="E28" s="133" t="s">
        <v>971</v>
      </c>
      <c r="F28" s="87" t="s">
        <v>19</v>
      </c>
      <c r="G28" s="87" t="s">
        <v>172</v>
      </c>
      <c r="H28" s="93" t="s">
        <v>972</v>
      </c>
      <c r="I28" s="93" t="s">
        <v>973</v>
      </c>
      <c r="J28" s="87" t="s">
        <v>84</v>
      </c>
      <c r="K28" s="335">
        <f t="shared" si="2"/>
        <v>5850</v>
      </c>
      <c r="L28" s="336"/>
      <c r="M28" s="336"/>
    </row>
    <row r="29" spans="1:13" s="336" customFormat="1" ht="57" customHeight="1">
      <c r="A29" s="786">
        <v>25</v>
      </c>
      <c r="B29" s="87" t="s">
        <v>974</v>
      </c>
      <c r="C29" s="94">
        <v>2873</v>
      </c>
      <c r="D29" s="693" t="s">
        <v>226</v>
      </c>
      <c r="E29" s="133" t="s">
        <v>975</v>
      </c>
      <c r="F29" s="87" t="s">
        <v>19</v>
      </c>
      <c r="G29" s="177" t="s">
        <v>927</v>
      </c>
      <c r="H29" s="93" t="s">
        <v>976</v>
      </c>
      <c r="I29" s="93" t="s">
        <v>977</v>
      </c>
      <c r="J29" s="87" t="s">
        <v>43</v>
      </c>
      <c r="K29" s="335">
        <f t="shared" si="2"/>
        <v>2873</v>
      </c>
    </row>
    <row r="30" spans="1:13" s="367" customFormat="1" ht="80.25" customHeight="1">
      <c r="A30" s="786">
        <v>26</v>
      </c>
      <c r="B30" s="87" t="s">
        <v>540</v>
      </c>
      <c r="C30" s="94">
        <v>3550</v>
      </c>
      <c r="D30" s="693" t="s">
        <v>226</v>
      </c>
      <c r="E30" s="133"/>
      <c r="F30" s="87" t="s">
        <v>19</v>
      </c>
      <c r="G30" s="87" t="s">
        <v>517</v>
      </c>
      <c r="H30" s="93" t="s">
        <v>978</v>
      </c>
      <c r="I30" s="93" t="s">
        <v>979</v>
      </c>
      <c r="J30" s="87" t="s">
        <v>43</v>
      </c>
      <c r="K30" s="335">
        <f t="shared" si="2"/>
        <v>3550</v>
      </c>
      <c r="L30" s="336"/>
      <c r="M30" s="336"/>
    </row>
    <row r="31" spans="1:13" s="367" customFormat="1" ht="39.75" customHeight="1">
      <c r="A31" s="786">
        <v>27</v>
      </c>
      <c r="B31" s="89" t="s">
        <v>672</v>
      </c>
      <c r="C31" s="114">
        <v>4910</v>
      </c>
      <c r="D31" s="693" t="s">
        <v>226</v>
      </c>
      <c r="E31" s="133"/>
      <c r="F31" s="87" t="s">
        <v>19</v>
      </c>
      <c r="G31" s="87" t="s">
        <v>172</v>
      </c>
      <c r="H31" s="93" t="s">
        <v>980</v>
      </c>
      <c r="I31" s="108"/>
      <c r="J31" s="87" t="s">
        <v>16</v>
      </c>
      <c r="K31" s="335">
        <f t="shared" si="2"/>
        <v>4910</v>
      </c>
      <c r="L31" s="336"/>
      <c r="M31" s="336"/>
    </row>
    <row r="32" spans="1:13" s="367" customFormat="1" ht="45" customHeight="1">
      <c r="A32" s="786">
        <v>28</v>
      </c>
      <c r="B32" s="87" t="s">
        <v>564</v>
      </c>
      <c r="C32" s="94">
        <v>3050</v>
      </c>
      <c r="D32" s="693" t="s">
        <v>226</v>
      </c>
      <c r="E32" s="133"/>
      <c r="F32" s="87" t="s">
        <v>19</v>
      </c>
      <c r="G32" s="87" t="s">
        <v>467</v>
      </c>
      <c r="H32" s="93" t="s">
        <v>981</v>
      </c>
      <c r="I32" s="93" t="s">
        <v>982</v>
      </c>
      <c r="J32" s="87" t="s">
        <v>89</v>
      </c>
      <c r="K32" s="335">
        <f t="shared" si="2"/>
        <v>3050</v>
      </c>
      <c r="L32" s="336"/>
      <c r="M32" s="336"/>
    </row>
    <row r="33" spans="1:13" s="367" customFormat="1" ht="37.5">
      <c r="A33" s="786">
        <v>29</v>
      </c>
      <c r="B33" s="87" t="s">
        <v>531</v>
      </c>
      <c r="C33" s="94">
        <v>2787</v>
      </c>
      <c r="D33" s="693" t="s">
        <v>226</v>
      </c>
      <c r="E33" s="133"/>
      <c r="F33" s="87" t="s">
        <v>19</v>
      </c>
      <c r="G33" s="87" t="s">
        <v>172</v>
      </c>
      <c r="H33" s="93" t="s">
        <v>983</v>
      </c>
      <c r="I33" s="93" t="s">
        <v>984</v>
      </c>
      <c r="J33" s="87" t="s">
        <v>514</v>
      </c>
      <c r="K33" s="335">
        <f t="shared" si="2"/>
        <v>2787</v>
      </c>
      <c r="L33" s="336"/>
      <c r="M33" s="336"/>
    </row>
    <row r="34" spans="1:13" s="367" customFormat="1" ht="75" customHeight="1">
      <c r="A34" s="786">
        <v>30</v>
      </c>
      <c r="B34" s="89" t="s">
        <v>985</v>
      </c>
      <c r="C34" s="94">
        <v>7150</v>
      </c>
      <c r="D34" s="693" t="s">
        <v>226</v>
      </c>
      <c r="E34" s="133"/>
      <c r="F34" s="87" t="s">
        <v>19</v>
      </c>
      <c r="G34" s="87" t="s">
        <v>172</v>
      </c>
      <c r="H34" s="93" t="s">
        <v>986</v>
      </c>
      <c r="I34" s="93" t="s">
        <v>987</v>
      </c>
      <c r="J34" s="87" t="s">
        <v>84</v>
      </c>
      <c r="K34" s="335">
        <f t="shared" si="2"/>
        <v>7150</v>
      </c>
      <c r="L34" s="336"/>
      <c r="M34" s="336"/>
    </row>
    <row r="35" spans="1:13" s="367" customFormat="1" ht="91.5" customHeight="1">
      <c r="A35" s="786">
        <v>31</v>
      </c>
      <c r="B35" s="87" t="s">
        <v>988</v>
      </c>
      <c r="C35" s="94">
        <v>1950</v>
      </c>
      <c r="D35" s="693" t="s">
        <v>226</v>
      </c>
      <c r="E35" s="133"/>
      <c r="F35" s="87" t="s">
        <v>19</v>
      </c>
      <c r="G35" s="87" t="s">
        <v>172</v>
      </c>
      <c r="H35" s="188" t="s">
        <v>989</v>
      </c>
      <c r="I35" s="108" t="s">
        <v>990</v>
      </c>
      <c r="J35" s="87" t="s">
        <v>16</v>
      </c>
      <c r="K35" s="335">
        <f t="shared" si="2"/>
        <v>1950</v>
      </c>
      <c r="L35" s="336"/>
      <c r="M35" s="336"/>
    </row>
    <row r="36" spans="1:13" s="367" customFormat="1" ht="108" customHeight="1">
      <c r="A36" s="786">
        <v>32</v>
      </c>
      <c r="B36" s="87" t="s">
        <v>562</v>
      </c>
      <c r="C36" s="94">
        <v>2787</v>
      </c>
      <c r="D36" s="693" t="s">
        <v>226</v>
      </c>
      <c r="E36" s="133" t="s">
        <v>991</v>
      </c>
      <c r="F36" s="87" t="s">
        <v>19</v>
      </c>
      <c r="G36" s="87" t="s">
        <v>172</v>
      </c>
      <c r="H36" s="93" t="s">
        <v>992</v>
      </c>
      <c r="I36" s="93" t="s">
        <v>993</v>
      </c>
      <c r="J36" s="87" t="s">
        <v>514</v>
      </c>
      <c r="K36" s="335">
        <f t="shared" si="2"/>
        <v>2787</v>
      </c>
      <c r="L36" s="336"/>
      <c r="M36" s="336"/>
    </row>
    <row r="37" spans="1:13" s="367" customFormat="1" ht="69" customHeight="1">
      <c r="A37" s="786">
        <v>33</v>
      </c>
      <c r="B37" s="87" t="s">
        <v>515</v>
      </c>
      <c r="C37" s="94">
        <v>2915</v>
      </c>
      <c r="D37" s="693" t="s">
        <v>226</v>
      </c>
      <c r="E37" s="133" t="s">
        <v>994</v>
      </c>
      <c r="F37" s="87" t="s">
        <v>19</v>
      </c>
      <c r="G37" s="87" t="s">
        <v>199</v>
      </c>
      <c r="H37" s="93" t="s">
        <v>995</v>
      </c>
      <c r="I37" s="93" t="s">
        <v>996</v>
      </c>
      <c r="J37" s="87" t="s">
        <v>89</v>
      </c>
      <c r="K37" s="335">
        <f t="shared" si="2"/>
        <v>2915</v>
      </c>
      <c r="L37" s="336"/>
      <c r="M37" s="336"/>
    </row>
    <row r="38" spans="1:13" s="367" customFormat="1" ht="75" customHeight="1">
      <c r="A38" s="786">
        <v>34</v>
      </c>
      <c r="B38" s="87" t="s">
        <v>997</v>
      </c>
      <c r="C38" s="94">
        <v>1900</v>
      </c>
      <c r="D38" s="693" t="s">
        <v>226</v>
      </c>
      <c r="E38" s="133" t="s">
        <v>998</v>
      </c>
      <c r="F38" s="87" t="s">
        <v>19</v>
      </c>
      <c r="G38" s="87" t="s">
        <v>172</v>
      </c>
      <c r="H38" s="93" t="s">
        <v>999</v>
      </c>
      <c r="I38" s="93" t="s">
        <v>1000</v>
      </c>
      <c r="J38" s="87" t="s">
        <v>16</v>
      </c>
      <c r="K38" s="335">
        <f t="shared" si="2"/>
        <v>1900</v>
      </c>
      <c r="L38" s="336"/>
      <c r="M38" s="336"/>
    </row>
    <row r="39" spans="1:13" s="367" customFormat="1" ht="45.75" customHeight="1">
      <c r="A39" s="786">
        <v>35</v>
      </c>
      <c r="B39" s="87" t="s">
        <v>1001</v>
      </c>
      <c r="C39" s="94">
        <v>3400</v>
      </c>
      <c r="D39" s="693" t="s">
        <v>226</v>
      </c>
      <c r="E39" s="133" t="s">
        <v>1002</v>
      </c>
      <c r="F39" s="87" t="s">
        <v>19</v>
      </c>
      <c r="G39" s="87" t="s">
        <v>172</v>
      </c>
      <c r="H39" s="93" t="s">
        <v>999</v>
      </c>
      <c r="I39" s="93" t="s">
        <v>1003</v>
      </c>
      <c r="J39" s="87" t="s">
        <v>84</v>
      </c>
      <c r="K39" s="335">
        <f t="shared" si="2"/>
        <v>3400</v>
      </c>
      <c r="L39" s="336"/>
      <c r="M39" s="336"/>
    </row>
    <row r="40" spans="1:13" s="367" customFormat="1" ht="60" customHeight="1">
      <c r="A40" s="786">
        <v>36</v>
      </c>
      <c r="B40" s="87" t="s">
        <v>581</v>
      </c>
      <c r="C40" s="94">
        <v>3600</v>
      </c>
      <c r="D40" s="693" t="s">
        <v>226</v>
      </c>
      <c r="E40" s="133" t="s">
        <v>1004</v>
      </c>
      <c r="F40" s="87" t="s">
        <v>19</v>
      </c>
      <c r="G40" s="87" t="s">
        <v>253</v>
      </c>
      <c r="H40" s="93" t="s">
        <v>1005</v>
      </c>
      <c r="I40" s="93" t="s">
        <v>1006</v>
      </c>
      <c r="J40" s="87" t="s">
        <v>84</v>
      </c>
      <c r="K40" s="335">
        <f t="shared" si="2"/>
        <v>3600</v>
      </c>
      <c r="L40" s="336"/>
      <c r="M40" s="336"/>
    </row>
    <row r="41" spans="1:13" s="367" customFormat="1" ht="97.5" customHeight="1">
      <c r="A41" s="786">
        <v>37</v>
      </c>
      <c r="B41" s="87" t="s">
        <v>1007</v>
      </c>
      <c r="C41" s="94">
        <v>3550</v>
      </c>
      <c r="D41" s="693" t="s">
        <v>226</v>
      </c>
      <c r="E41" s="133" t="s">
        <v>1008</v>
      </c>
      <c r="F41" s="87" t="s">
        <v>19</v>
      </c>
      <c r="G41" s="87" t="s">
        <v>505</v>
      </c>
      <c r="H41" s="93" t="s">
        <v>1009</v>
      </c>
      <c r="I41" s="93" t="s">
        <v>1010</v>
      </c>
      <c r="J41" s="87" t="s">
        <v>16</v>
      </c>
      <c r="K41" s="335">
        <f t="shared" si="2"/>
        <v>3550</v>
      </c>
      <c r="L41" s="336"/>
      <c r="M41" s="336"/>
    </row>
    <row r="42" spans="1:13" s="367" customFormat="1" ht="75" customHeight="1">
      <c r="A42" s="786">
        <v>38</v>
      </c>
      <c r="B42" s="133" t="s">
        <v>1011</v>
      </c>
      <c r="C42" s="94">
        <v>3320</v>
      </c>
      <c r="D42" s="693" t="s">
        <v>226</v>
      </c>
      <c r="E42" s="133" t="s">
        <v>1012</v>
      </c>
      <c r="F42" s="87" t="s">
        <v>19</v>
      </c>
      <c r="G42" s="87" t="s">
        <v>927</v>
      </c>
      <c r="H42" s="93" t="s">
        <v>1013</v>
      </c>
      <c r="I42" s="93" t="s">
        <v>1014</v>
      </c>
      <c r="J42" s="87" t="s">
        <v>89</v>
      </c>
      <c r="K42" s="335">
        <f t="shared" si="2"/>
        <v>3320</v>
      </c>
      <c r="L42" s="336"/>
      <c r="M42" s="336"/>
    </row>
    <row r="43" spans="1:13" s="367" customFormat="1" ht="66" customHeight="1">
      <c r="A43" s="786">
        <v>39</v>
      </c>
      <c r="B43" s="87" t="s">
        <v>540</v>
      </c>
      <c r="C43" s="94">
        <v>3550</v>
      </c>
      <c r="D43" s="693" t="s">
        <v>226</v>
      </c>
      <c r="E43" s="133" t="s">
        <v>1015</v>
      </c>
      <c r="F43" s="87" t="s">
        <v>19</v>
      </c>
      <c r="G43" s="87" t="s">
        <v>741</v>
      </c>
      <c r="H43" s="93" t="s">
        <v>1016</v>
      </c>
      <c r="I43" s="345"/>
      <c r="J43" s="87" t="s">
        <v>43</v>
      </c>
      <c r="K43" s="335">
        <f t="shared" si="2"/>
        <v>3550</v>
      </c>
      <c r="L43" s="336"/>
      <c r="M43" s="336"/>
    </row>
    <row r="44" spans="1:13" s="367" customFormat="1" ht="78" customHeight="1">
      <c r="A44" s="797">
        <v>40</v>
      </c>
      <c r="B44" s="87" t="s">
        <v>1017</v>
      </c>
      <c r="C44" s="94">
        <v>3050</v>
      </c>
      <c r="D44" s="693" t="s">
        <v>226</v>
      </c>
      <c r="E44" s="133" t="s">
        <v>1018</v>
      </c>
      <c r="F44" s="87" t="s">
        <v>19</v>
      </c>
      <c r="G44" s="87" t="s">
        <v>172</v>
      </c>
      <c r="H44" s="93" t="s">
        <v>1019</v>
      </c>
      <c r="I44" s="93"/>
      <c r="J44" s="87" t="s">
        <v>89</v>
      </c>
      <c r="K44" s="335">
        <f t="shared" si="2"/>
        <v>3050</v>
      </c>
      <c r="L44" s="336"/>
      <c r="M44" s="336"/>
    </row>
    <row r="45" spans="1:13" s="367" customFormat="1" ht="46.5" customHeight="1">
      <c r="A45" s="797">
        <v>41</v>
      </c>
      <c r="B45" s="154" t="s">
        <v>1020</v>
      </c>
      <c r="C45" s="120">
        <v>3200</v>
      </c>
      <c r="D45" s="693" t="s">
        <v>226</v>
      </c>
      <c r="E45" s="380" t="s">
        <v>1021</v>
      </c>
      <c r="F45" s="87" t="s">
        <v>19</v>
      </c>
      <c r="G45" s="115" t="s">
        <v>172</v>
      </c>
      <c r="H45" s="93" t="s">
        <v>1022</v>
      </c>
      <c r="I45" s="1134" t="s">
        <v>1023</v>
      </c>
      <c r="J45" s="91" t="s">
        <v>43</v>
      </c>
      <c r="K45" s="335">
        <f t="shared" si="2"/>
        <v>3200</v>
      </c>
      <c r="L45" s="336"/>
      <c r="M45" s="336"/>
    </row>
    <row r="46" spans="1:13" s="367" customFormat="1" ht="64.5" customHeight="1">
      <c r="A46" s="797">
        <v>42</v>
      </c>
      <c r="B46" s="154" t="s">
        <v>619</v>
      </c>
      <c r="C46" s="120">
        <v>1900</v>
      </c>
      <c r="D46" s="693" t="s">
        <v>226</v>
      </c>
      <c r="E46" s="380" t="s">
        <v>1024</v>
      </c>
      <c r="F46" s="87" t="s">
        <v>19</v>
      </c>
      <c r="G46" s="115" t="s">
        <v>172</v>
      </c>
      <c r="H46" s="155" t="s">
        <v>1025</v>
      </c>
      <c r="I46" s="1134"/>
      <c r="J46" s="91" t="s">
        <v>89</v>
      </c>
      <c r="K46" s="335">
        <f t="shared" si="2"/>
        <v>1900</v>
      </c>
      <c r="L46" s="336"/>
      <c r="M46" s="336"/>
    </row>
    <row r="47" spans="1:13" s="367" customFormat="1" ht="92.25" customHeight="1">
      <c r="A47" s="797">
        <v>43</v>
      </c>
      <c r="B47" s="129" t="s">
        <v>1026</v>
      </c>
      <c r="C47" s="94">
        <v>7650</v>
      </c>
      <c r="D47" s="693" t="s">
        <v>226</v>
      </c>
      <c r="E47" s="133" t="s">
        <v>1027</v>
      </c>
      <c r="F47" s="87" t="s">
        <v>19</v>
      </c>
      <c r="G47" s="87" t="s">
        <v>63</v>
      </c>
      <c r="H47" s="119" t="s">
        <v>1028</v>
      </c>
      <c r="I47" s="345"/>
      <c r="J47" s="87" t="s">
        <v>16</v>
      </c>
      <c r="K47" s="335">
        <f t="shared" si="2"/>
        <v>7650</v>
      </c>
      <c r="L47" s="336"/>
      <c r="M47" s="336"/>
    </row>
    <row r="48" spans="1:13" s="367" customFormat="1" ht="72.75" customHeight="1">
      <c r="A48" s="797">
        <v>44</v>
      </c>
      <c r="B48" s="154" t="s">
        <v>1029</v>
      </c>
      <c r="C48" s="120">
        <v>4350</v>
      </c>
      <c r="D48" s="693" t="s">
        <v>226</v>
      </c>
      <c r="E48" s="380" t="s">
        <v>1030</v>
      </c>
      <c r="F48" s="91" t="s">
        <v>19</v>
      </c>
      <c r="G48" s="91" t="s">
        <v>517</v>
      </c>
      <c r="H48" s="119" t="s">
        <v>1031</v>
      </c>
      <c r="I48" s="119">
        <f>4350-2700-1315</f>
        <v>335</v>
      </c>
      <c r="J48" s="91" t="s">
        <v>43</v>
      </c>
      <c r="K48" s="1076">
        <f t="shared" si="2"/>
        <v>4350</v>
      </c>
      <c r="L48" s="336"/>
      <c r="M48" s="336"/>
    </row>
    <row r="49" spans="1:13" s="367" customFormat="1" ht="70.5" customHeight="1">
      <c r="A49" s="797">
        <v>45</v>
      </c>
      <c r="B49" s="154" t="s">
        <v>1032</v>
      </c>
      <c r="C49" s="120">
        <v>2980</v>
      </c>
      <c r="D49" s="693" t="s">
        <v>226</v>
      </c>
      <c r="E49" s="380" t="s">
        <v>1033</v>
      </c>
      <c r="F49" s="91" t="s">
        <v>19</v>
      </c>
      <c r="G49" s="115" t="s">
        <v>199</v>
      </c>
      <c r="H49" s="119" t="s">
        <v>1034</v>
      </c>
      <c r="I49" s="983" t="s">
        <v>1035</v>
      </c>
      <c r="J49" s="91" t="s">
        <v>43</v>
      </c>
      <c r="K49" s="1076">
        <f t="shared" si="2"/>
        <v>2980</v>
      </c>
      <c r="L49" s="336"/>
      <c r="M49" s="336"/>
    </row>
    <row r="50" spans="1:13" s="367" customFormat="1" ht="45.75" customHeight="1">
      <c r="A50" s="797">
        <v>46</v>
      </c>
      <c r="B50" s="154" t="s">
        <v>1036</v>
      </c>
      <c r="C50" s="120">
        <v>3200</v>
      </c>
      <c r="D50" s="693" t="s">
        <v>226</v>
      </c>
      <c r="E50" s="380" t="s">
        <v>1037</v>
      </c>
      <c r="F50" s="91" t="s">
        <v>19</v>
      </c>
      <c r="G50" s="115" t="s">
        <v>927</v>
      </c>
      <c r="H50" s="93" t="s">
        <v>1038</v>
      </c>
      <c r="I50" s="1100" t="s">
        <v>1039</v>
      </c>
      <c r="J50" s="91" t="s">
        <v>43</v>
      </c>
      <c r="K50" s="1076">
        <f t="shared" si="2"/>
        <v>3200</v>
      </c>
      <c r="L50" s="336"/>
      <c r="M50" s="336"/>
    </row>
    <row r="51" spans="1:13" s="367" customFormat="1" ht="53.25" customHeight="1">
      <c r="A51" s="797">
        <v>47</v>
      </c>
      <c r="B51" s="91" t="s">
        <v>581</v>
      </c>
      <c r="C51" s="120">
        <v>3500</v>
      </c>
      <c r="D51" s="380" t="s">
        <v>226</v>
      </c>
      <c r="E51" s="380" t="s">
        <v>1040</v>
      </c>
      <c r="F51" s="91" t="s">
        <v>19</v>
      </c>
      <c r="G51" s="115" t="s">
        <v>172</v>
      </c>
      <c r="H51" s="119" t="s">
        <v>1041</v>
      </c>
      <c r="I51" s="285"/>
      <c r="J51" s="91" t="s">
        <v>84</v>
      </c>
      <c r="K51" s="335">
        <f t="shared" si="2"/>
        <v>3500</v>
      </c>
      <c r="L51" s="336"/>
      <c r="M51" s="336"/>
    </row>
    <row r="52" spans="1:13" s="367" customFormat="1" ht="66" customHeight="1">
      <c r="A52" s="786">
        <v>48</v>
      </c>
      <c r="B52" s="87" t="s">
        <v>564</v>
      </c>
      <c r="C52" s="94">
        <v>3050</v>
      </c>
      <c r="D52" s="380" t="s">
        <v>226</v>
      </c>
      <c r="E52" s="133" t="s">
        <v>1042</v>
      </c>
      <c r="F52" s="87" t="s">
        <v>19</v>
      </c>
      <c r="G52" s="87" t="s">
        <v>517</v>
      </c>
      <c r="H52" s="93" t="s">
        <v>1043</v>
      </c>
      <c r="I52" s="93" t="s">
        <v>1044</v>
      </c>
      <c r="J52" s="87" t="s">
        <v>89</v>
      </c>
      <c r="K52" s="1066">
        <f t="shared" si="2"/>
        <v>3050</v>
      </c>
      <c r="L52" s="336"/>
      <c r="M52" s="336"/>
    </row>
    <row r="53" spans="1:13">
      <c r="A53" s="359">
        <v>49</v>
      </c>
    </row>
    <row r="54" spans="1:13" s="1" customFormat="1">
      <c r="A54" s="359">
        <v>50</v>
      </c>
      <c r="C54" s="803"/>
      <c r="D54" s="271"/>
      <c r="E54" s="271"/>
      <c r="H54" s="9"/>
      <c r="I54" s="9"/>
      <c r="K54" s="804"/>
      <c r="L54" s="3"/>
      <c r="M54" s="3"/>
    </row>
    <row r="55" spans="1:13" s="1" customFormat="1">
      <c r="A55" s="359">
        <v>51</v>
      </c>
      <c r="C55" s="803"/>
      <c r="D55" s="271"/>
      <c r="E55" s="271"/>
      <c r="H55" s="9"/>
      <c r="I55" s="9"/>
      <c r="K55" s="804"/>
      <c r="L55" s="3"/>
      <c r="M55" s="3"/>
    </row>
    <row r="56" spans="1:13" s="1133" customFormat="1">
      <c r="A56" s="887">
        <v>52</v>
      </c>
      <c r="B56" s="917" t="s">
        <v>963</v>
      </c>
      <c r="C56" s="1130" t="s">
        <v>675</v>
      </c>
      <c r="D56" s="889" t="s">
        <v>1045</v>
      </c>
      <c r="E56" s="889"/>
      <c r="F56" s="917" t="s">
        <v>19</v>
      </c>
      <c r="G56" s="917" t="s">
        <v>927</v>
      </c>
      <c r="H56" s="1131"/>
      <c r="I56" s="1132" t="s">
        <v>1046</v>
      </c>
      <c r="J56" s="917" t="s">
        <v>84</v>
      </c>
      <c r="K56" s="891" t="str">
        <f>C56</f>
        <v>HỦY</v>
      </c>
      <c r="L56" s="892"/>
      <c r="M56" s="892"/>
    </row>
    <row r="57" spans="1:13" s="1" customFormat="1">
      <c r="A57" s="738">
        <v>53</v>
      </c>
      <c r="B57" s="102" t="s">
        <v>559</v>
      </c>
      <c r="C57" s="1128" t="s">
        <v>1047</v>
      </c>
      <c r="D57" s="109" t="s">
        <v>1048</v>
      </c>
      <c r="E57" s="109"/>
      <c r="F57" s="102" t="s">
        <v>19</v>
      </c>
      <c r="G57" s="102" t="s">
        <v>517</v>
      </c>
      <c r="H57" s="696" t="s">
        <v>1049</v>
      </c>
      <c r="I57" s="143"/>
      <c r="J57" s="102" t="s">
        <v>84</v>
      </c>
      <c r="K57" s="1036" t="str">
        <f>C57</f>
        <v>S95</v>
      </c>
      <c r="L57" s="3"/>
      <c r="M57" s="3"/>
    </row>
    <row r="58" spans="1:13" s="1" customFormat="1">
      <c r="A58" s="738">
        <v>54</v>
      </c>
      <c r="B58" s="102" t="s">
        <v>608</v>
      </c>
      <c r="C58" s="1129">
        <v>4300</v>
      </c>
      <c r="D58" s="109" t="s">
        <v>669</v>
      </c>
      <c r="E58" s="109"/>
      <c r="F58" s="102" t="s">
        <v>19</v>
      </c>
      <c r="G58" s="102" t="s">
        <v>172</v>
      </c>
      <c r="H58" s="157"/>
      <c r="I58" s="143"/>
      <c r="J58" s="102" t="s">
        <v>89</v>
      </c>
      <c r="K58" s="1036">
        <f>C58</f>
        <v>4300</v>
      </c>
      <c r="L58" s="3"/>
      <c r="M58" s="3"/>
    </row>
    <row r="59" spans="1:13" s="1" customFormat="1">
      <c r="A59" s="738">
        <v>55</v>
      </c>
      <c r="B59" s="102" t="s">
        <v>906</v>
      </c>
      <c r="C59" s="1003" t="s">
        <v>669</v>
      </c>
      <c r="D59" s="109" t="s">
        <v>1050</v>
      </c>
      <c r="E59" s="109"/>
      <c r="F59" s="102" t="s">
        <v>19</v>
      </c>
      <c r="G59" s="102" t="s">
        <v>199</v>
      </c>
      <c r="H59" s="696"/>
      <c r="I59" s="143"/>
      <c r="J59" s="102" t="s">
        <v>89</v>
      </c>
      <c r="K59" s="1036" t="str">
        <f>C59</f>
        <v>hủy</v>
      </c>
      <c r="L59" s="3"/>
      <c r="M59" s="3"/>
    </row>
    <row r="60" spans="1:13" s="1" customFormat="1">
      <c r="A60" s="738">
        <v>56</v>
      </c>
      <c r="B60" s="102" t="s">
        <v>1051</v>
      </c>
      <c r="C60" s="1003" t="s">
        <v>1052</v>
      </c>
      <c r="D60" s="109" t="s">
        <v>1050</v>
      </c>
      <c r="E60" s="109"/>
      <c r="F60" s="102" t="s">
        <v>19</v>
      </c>
      <c r="G60" s="102" t="s">
        <v>172</v>
      </c>
      <c r="H60" s="696"/>
      <c r="I60" s="143"/>
      <c r="J60" s="102" t="s">
        <v>54</v>
      </c>
      <c r="K60" s="1036" t="str">
        <f>C60</f>
        <v>sự cố</v>
      </c>
      <c r="L60" s="3"/>
      <c r="M60" s="3"/>
    </row>
    <row r="61" spans="1:13" s="1" customFormat="1">
      <c r="A61" s="359">
        <v>57</v>
      </c>
      <c r="C61" s="803"/>
      <c r="D61" s="271"/>
      <c r="E61" s="271"/>
      <c r="H61" s="9"/>
      <c r="I61" s="9"/>
      <c r="K61" s="804"/>
      <c r="L61" s="3"/>
      <c r="M61" s="3"/>
    </row>
    <row r="62" spans="1:13" s="1" customFormat="1">
      <c r="A62" s="359">
        <v>58</v>
      </c>
      <c r="C62" s="803"/>
      <c r="D62" s="271"/>
      <c r="E62" s="271"/>
      <c r="H62" s="9"/>
      <c r="I62" s="9"/>
      <c r="K62" s="804"/>
      <c r="L62" s="3"/>
      <c r="M62" s="3"/>
    </row>
    <row r="63" spans="1:13" s="1" customFormat="1">
      <c r="A63" s="359">
        <v>59</v>
      </c>
      <c r="C63" s="803"/>
      <c r="D63" s="271"/>
      <c r="E63" s="271"/>
      <c r="H63" s="9"/>
      <c r="I63" s="9"/>
      <c r="K63" s="804"/>
      <c r="L63" s="3"/>
      <c r="M63" s="3"/>
    </row>
    <row r="64" spans="1:13" s="1" customFormat="1">
      <c r="A64" s="359">
        <v>60</v>
      </c>
      <c r="C64" s="803"/>
      <c r="D64" s="271"/>
      <c r="E64" s="271"/>
      <c r="H64" s="9"/>
      <c r="I64" s="9"/>
      <c r="K64" s="804"/>
      <c r="L64" s="3"/>
      <c r="M64" s="3"/>
    </row>
  </sheetData>
  <autoFilter ref="A4:O71" xr:uid="{00000000-0009-0000-0000-000004000000}"/>
  <mergeCells count="3">
    <mergeCell ref="C1:I1"/>
    <mergeCell ref="A2:I2"/>
    <mergeCell ref="I3:J3"/>
  </mergeCells>
  <conditionalFormatting sqref="A1:A3">
    <cfRule type="duplicateValues" dxfId="821" priority="24"/>
  </conditionalFormatting>
  <conditionalFormatting sqref="A4">
    <cfRule type="duplicateValues" dxfId="820" priority="20"/>
  </conditionalFormatting>
  <conditionalFormatting sqref="A5">
    <cfRule type="duplicateValues" dxfId="819" priority="4"/>
  </conditionalFormatting>
  <conditionalFormatting sqref="A6">
    <cfRule type="duplicateValues" dxfId="818" priority="6"/>
  </conditionalFormatting>
  <conditionalFormatting sqref="A7">
    <cfRule type="duplicateValues" dxfId="817" priority="16"/>
  </conditionalFormatting>
  <conditionalFormatting sqref="A8 A10">
    <cfRule type="duplicateValues" dxfId="816" priority="1059"/>
  </conditionalFormatting>
  <conditionalFormatting sqref="A11 A16 A18">
    <cfRule type="duplicateValues" dxfId="815" priority="1062"/>
  </conditionalFormatting>
  <conditionalFormatting sqref="A13:A14 A19">
    <cfRule type="duplicateValues" dxfId="814" priority="27"/>
  </conditionalFormatting>
  <conditionalFormatting sqref="A17">
    <cfRule type="duplicateValues" dxfId="813" priority="1"/>
  </conditionalFormatting>
  <conditionalFormatting sqref="A20">
    <cfRule type="duplicateValues" dxfId="812" priority="3"/>
  </conditionalFormatting>
  <conditionalFormatting sqref="A22 A24">
    <cfRule type="duplicateValues" dxfId="811" priority="1063"/>
  </conditionalFormatting>
  <conditionalFormatting sqref="B3">
    <cfRule type="duplicateValues" dxfId="810" priority="21"/>
    <cfRule type="duplicateValues" dxfId="809" priority="22"/>
    <cfRule type="duplicateValues" dxfId="808" priority="23"/>
  </conditionalFormatting>
  <conditionalFormatting sqref="B4">
    <cfRule type="duplicateValues" dxfId="807" priority="17"/>
    <cfRule type="duplicateValues" dxfId="806" priority="18"/>
    <cfRule type="duplicateValues" dxfId="805" priority="19"/>
  </conditionalFormatting>
  <pageMargins left="0.7" right="0.7" top="0.75" bottom="0.75" header="0.3" footer="0.3"/>
  <pageSetup paperSize="9" scale="42" orientation="landscape"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A1:N74"/>
  <sheetViews>
    <sheetView topLeftCell="A2" zoomScale="70" zoomScaleNormal="70" workbookViewId="0">
      <pane xSplit="3" ySplit="3" topLeftCell="D62" activePane="bottomRight" state="frozen"/>
      <selection pane="topRight"/>
      <selection pane="bottomLeft"/>
      <selection pane="bottomRight"/>
    </sheetView>
  </sheetViews>
  <sheetFormatPr defaultColWidth="25.5703125" defaultRowHeight="18.75"/>
  <cols>
    <col min="1" max="1" width="7.140625" style="359" customWidth="1"/>
    <col min="2" max="2" width="26.85546875" style="1" customWidth="1"/>
    <col min="3" max="3" width="19.140625" style="803" customWidth="1"/>
    <col min="4" max="4" width="19.85546875" style="271" customWidth="1"/>
    <col min="5" max="5" width="17.42578125" style="271" customWidth="1"/>
    <col min="6" max="6" width="17.42578125" style="1" customWidth="1"/>
    <col min="7" max="7" width="24.42578125" style="1" customWidth="1"/>
    <col min="8" max="8" width="61.42578125" style="9" customWidth="1"/>
    <col min="9" max="9" width="49.140625" style="9" customWidth="1"/>
    <col min="10" max="10" width="25.5703125" style="1" customWidth="1"/>
    <col min="11" max="11" width="16.28515625" style="1" customWidth="1"/>
    <col min="12" max="12" width="10.28515625" style="804" customWidth="1"/>
    <col min="13" max="13" width="25.5703125" style="3" customWidth="1"/>
    <col min="14" max="14" width="15.42578125" style="3" customWidth="1"/>
    <col min="15" max="15" width="34.5703125" style="3" customWidth="1"/>
    <col min="16" max="16384" width="25.5703125" style="3"/>
  </cols>
  <sheetData>
    <row r="1" spans="1:14" ht="17.25" customHeight="1">
      <c r="B1" s="10"/>
      <c r="C1" s="3624"/>
      <c r="D1" s="3624"/>
      <c r="E1" s="3624"/>
      <c r="F1" s="3624"/>
      <c r="G1" s="3624"/>
      <c r="H1" s="3624"/>
      <c r="I1" s="3624"/>
    </row>
    <row r="2" spans="1:14" ht="34.5" customHeight="1">
      <c r="A2" s="3637" t="s">
        <v>899</v>
      </c>
      <c r="B2" s="3637"/>
      <c r="C2" s="3637"/>
      <c r="D2" s="3637"/>
      <c r="E2" s="3637"/>
      <c r="F2" s="3637"/>
      <c r="G2" s="3637"/>
      <c r="H2" s="3637"/>
      <c r="I2" s="3637"/>
      <c r="J2" s="194"/>
      <c r="K2" s="194"/>
      <c r="L2" s="805"/>
      <c r="M2" s="196"/>
      <c r="N2" s="197"/>
    </row>
    <row r="3" spans="1:14" ht="13.5" customHeight="1">
      <c r="A3" s="360"/>
      <c r="B3" s="385"/>
      <c r="C3" s="806">
        <f>SUBTOTAL(9,C5:C396)</f>
        <v>245280</v>
      </c>
      <c r="D3" s="378"/>
      <c r="E3" s="849"/>
      <c r="F3" s="201"/>
      <c r="G3" s="199"/>
      <c r="H3" s="202"/>
      <c r="I3" s="3639">
        <f ca="1">TODAY()</f>
        <v>45960</v>
      </c>
      <c r="J3" s="3639"/>
      <c r="K3" s="807"/>
      <c r="L3" s="808"/>
      <c r="M3" s="197"/>
      <c r="N3" s="197"/>
    </row>
    <row r="4" spans="1:14" s="7" customFormat="1" ht="33">
      <c r="A4" s="810" t="s">
        <v>1</v>
      </c>
      <c r="B4" s="679" t="s">
        <v>339</v>
      </c>
      <c r="C4" s="811" t="s">
        <v>3</v>
      </c>
      <c r="D4" s="679" t="s">
        <v>4</v>
      </c>
      <c r="E4" s="679" t="s">
        <v>6</v>
      </c>
      <c r="F4" s="679" t="s">
        <v>8</v>
      </c>
      <c r="G4" s="679" t="s">
        <v>9</v>
      </c>
      <c r="H4" s="812" t="s">
        <v>10</v>
      </c>
      <c r="I4" s="679" t="s">
        <v>11</v>
      </c>
      <c r="J4" s="679" t="s">
        <v>5</v>
      </c>
      <c r="K4" s="679" t="s">
        <v>1053</v>
      </c>
      <c r="L4" s="813" t="s">
        <v>340</v>
      </c>
      <c r="M4" s="753" t="s">
        <v>341</v>
      </c>
      <c r="N4" s="754">
        <f>SUM(N5:N10)</f>
        <v>245280</v>
      </c>
    </row>
    <row r="5" spans="1:14" s="367" customFormat="1" ht="112.5">
      <c r="A5" s="699" cm="1">
        <f t="array" ref="A5:A74">_xlfn.SEQUENCE(70,1,1,)</f>
        <v>1</v>
      </c>
      <c r="B5" s="177" t="s">
        <v>906</v>
      </c>
      <c r="C5" s="94">
        <v>4550</v>
      </c>
      <c r="D5" s="980" t="s">
        <v>226</v>
      </c>
      <c r="E5" s="1064"/>
      <c r="F5" s="91" t="s">
        <v>19</v>
      </c>
      <c r="G5" s="379" t="s">
        <v>63</v>
      </c>
      <c r="H5" s="876" t="s">
        <v>1054</v>
      </c>
      <c r="I5" s="1065" t="s">
        <v>1055</v>
      </c>
      <c r="J5" s="133" t="s">
        <v>89</v>
      </c>
      <c r="K5" s="87" t="s">
        <v>153</v>
      </c>
      <c r="L5" s="335">
        <f t="shared" ref="L5:L36" si="0">C5</f>
        <v>4550</v>
      </c>
      <c r="M5" s="241" t="s">
        <v>43</v>
      </c>
      <c r="N5" s="242">
        <f t="shared" ref="N5:N10" si="1">SUMIF($J:$J,M5,L:L)</f>
        <v>30209</v>
      </c>
    </row>
    <row r="6" spans="1:14" s="150" customFormat="1">
      <c r="A6" s="706">
        <v>2</v>
      </c>
      <c r="B6" s="177" t="s">
        <v>608</v>
      </c>
      <c r="C6" s="94">
        <v>4300</v>
      </c>
      <c r="D6" s="393" t="s">
        <v>226</v>
      </c>
      <c r="E6" s="393" t="s">
        <v>1056</v>
      </c>
      <c r="F6" s="91" t="s">
        <v>19</v>
      </c>
      <c r="G6" s="133" t="s">
        <v>172</v>
      </c>
      <c r="H6" s="1025" t="s">
        <v>1057</v>
      </c>
      <c r="I6" s="1008">
        <f>4300-3200-786</f>
        <v>314</v>
      </c>
      <c r="J6" s="133" t="s">
        <v>89</v>
      </c>
      <c r="K6" s="87" t="s">
        <v>153</v>
      </c>
      <c r="L6" s="1066">
        <f t="shared" si="0"/>
        <v>4300</v>
      </c>
      <c r="M6" s="241" t="s">
        <v>16</v>
      </c>
      <c r="N6" s="242">
        <f t="shared" si="1"/>
        <v>41380</v>
      </c>
    </row>
    <row r="7" spans="1:14" s="150" customFormat="1" ht="107.25" customHeight="1">
      <c r="A7" s="706">
        <v>3</v>
      </c>
      <c r="B7" s="177" t="s">
        <v>503</v>
      </c>
      <c r="C7" s="94">
        <v>4050</v>
      </c>
      <c r="D7" s="393" t="s">
        <v>226</v>
      </c>
      <c r="E7" s="1018" t="s">
        <v>1058</v>
      </c>
      <c r="F7" s="87" t="s">
        <v>19</v>
      </c>
      <c r="G7" s="148" t="s">
        <v>199</v>
      </c>
      <c r="H7" s="876" t="s">
        <v>1059</v>
      </c>
      <c r="I7" s="1067"/>
      <c r="J7" s="133" t="s">
        <v>43</v>
      </c>
      <c r="K7" s="87" t="s">
        <v>153</v>
      </c>
      <c r="L7" s="335">
        <f t="shared" si="0"/>
        <v>4050</v>
      </c>
      <c r="M7" s="691" t="s">
        <v>89</v>
      </c>
      <c r="N7" s="242">
        <f t="shared" si="1"/>
        <v>85210</v>
      </c>
    </row>
    <row r="8" spans="1:14" s="336" customFormat="1" ht="48.75" customHeight="1">
      <c r="A8" s="789">
        <v>4</v>
      </c>
      <c r="B8" s="182" t="s">
        <v>1060</v>
      </c>
      <c r="C8" s="114">
        <v>3050</v>
      </c>
      <c r="D8" s="1018" t="s">
        <v>226</v>
      </c>
      <c r="E8" s="1018" t="s">
        <v>1061</v>
      </c>
      <c r="F8" s="87" t="s">
        <v>19</v>
      </c>
      <c r="G8" s="349" t="s">
        <v>20</v>
      </c>
      <c r="H8" s="1238" t="s">
        <v>1062</v>
      </c>
      <c r="I8" s="1068"/>
      <c r="J8" s="113" t="s">
        <v>16</v>
      </c>
      <c r="K8" s="113" t="s">
        <v>153</v>
      </c>
      <c r="L8" s="335">
        <f t="shared" si="0"/>
        <v>3050</v>
      </c>
      <c r="M8" s="852" t="s">
        <v>54</v>
      </c>
      <c r="N8" s="248">
        <f t="shared" si="1"/>
        <v>19350</v>
      </c>
    </row>
    <row r="9" spans="1:14" s="336" customFormat="1" ht="67.5" customHeight="1">
      <c r="A9" s="797">
        <v>5</v>
      </c>
      <c r="B9" s="180" t="s">
        <v>1063</v>
      </c>
      <c r="C9" s="120">
        <v>3280</v>
      </c>
      <c r="D9" s="980" t="s">
        <v>226</v>
      </c>
      <c r="E9" s="980" t="s">
        <v>1064</v>
      </c>
      <c r="F9" s="91" t="s">
        <v>19</v>
      </c>
      <c r="G9" s="91" t="s">
        <v>199</v>
      </c>
      <c r="H9" s="1013" t="s">
        <v>1065</v>
      </c>
      <c r="I9" s="1069" t="s">
        <v>1066</v>
      </c>
      <c r="J9" s="91" t="s">
        <v>89</v>
      </c>
      <c r="K9" s="91" t="s">
        <v>153</v>
      </c>
      <c r="L9" s="1082">
        <f t="shared" si="0"/>
        <v>3280</v>
      </c>
      <c r="M9" s="1070" t="s">
        <v>514</v>
      </c>
      <c r="N9" s="242">
        <f t="shared" si="1"/>
        <v>8361</v>
      </c>
    </row>
    <row r="10" spans="1:14" s="336" customFormat="1" ht="42.75" customHeight="1">
      <c r="A10" s="786">
        <v>6</v>
      </c>
      <c r="B10" s="177" t="s">
        <v>1001</v>
      </c>
      <c r="C10" s="94">
        <v>3400</v>
      </c>
      <c r="D10" s="393" t="s">
        <v>226</v>
      </c>
      <c r="E10" s="393" t="s">
        <v>1067</v>
      </c>
      <c r="F10" s="87" t="s">
        <v>19</v>
      </c>
      <c r="G10" s="133" t="s">
        <v>172</v>
      </c>
      <c r="H10" s="290" t="s">
        <v>1068</v>
      </c>
      <c r="I10" s="1008"/>
      <c r="J10" s="133" t="s">
        <v>84</v>
      </c>
      <c r="K10" s="89" t="s">
        <v>153</v>
      </c>
      <c r="L10" s="335">
        <f t="shared" si="0"/>
        <v>3400</v>
      </c>
      <c r="M10" s="148" t="s">
        <v>84</v>
      </c>
      <c r="N10" s="242">
        <f t="shared" si="1"/>
        <v>60770</v>
      </c>
    </row>
    <row r="11" spans="1:14" s="336" customFormat="1" ht="48.75" customHeight="1">
      <c r="A11" s="786">
        <v>7</v>
      </c>
      <c r="B11" s="177" t="s">
        <v>1026</v>
      </c>
      <c r="C11" s="94">
        <v>7700</v>
      </c>
      <c r="D11" s="393" t="s">
        <v>226</v>
      </c>
      <c r="E11" s="393" t="s">
        <v>1069</v>
      </c>
      <c r="F11" s="87" t="s">
        <v>19</v>
      </c>
      <c r="G11" s="133" t="s">
        <v>172</v>
      </c>
      <c r="H11" s="155" t="s">
        <v>1070</v>
      </c>
      <c r="I11" s="1071" t="s">
        <v>1071</v>
      </c>
      <c r="J11" s="87" t="s">
        <v>16</v>
      </c>
      <c r="K11" s="89" t="s">
        <v>153</v>
      </c>
      <c r="L11" s="335">
        <f t="shared" si="0"/>
        <v>7700</v>
      </c>
    </row>
    <row r="12" spans="1:14" s="336" customFormat="1" ht="59.25" customHeight="1">
      <c r="A12" s="786">
        <v>8</v>
      </c>
      <c r="B12" s="177" t="s">
        <v>1072</v>
      </c>
      <c r="C12" s="94">
        <v>4000</v>
      </c>
      <c r="D12" s="393" t="s">
        <v>226</v>
      </c>
      <c r="E12" s="393" t="s">
        <v>1073</v>
      </c>
      <c r="F12" s="87" t="s">
        <v>19</v>
      </c>
      <c r="G12" s="133" t="s">
        <v>172</v>
      </c>
      <c r="H12" s="155" t="s">
        <v>1074</v>
      </c>
      <c r="I12" s="1071"/>
      <c r="J12" s="87" t="s">
        <v>89</v>
      </c>
      <c r="K12" s="89" t="s">
        <v>153</v>
      </c>
      <c r="L12" s="335">
        <f t="shared" si="0"/>
        <v>4000</v>
      </c>
    </row>
    <row r="13" spans="1:14" s="150" customFormat="1" ht="74.25" customHeight="1">
      <c r="A13" s="706">
        <v>9</v>
      </c>
      <c r="B13" s="177" t="s">
        <v>1075</v>
      </c>
      <c r="C13" s="94">
        <v>5600</v>
      </c>
      <c r="D13" s="980" t="s">
        <v>226</v>
      </c>
      <c r="E13" s="393" t="s">
        <v>1076</v>
      </c>
      <c r="F13" s="87" t="s">
        <v>19</v>
      </c>
      <c r="G13" s="133" t="s">
        <v>172</v>
      </c>
      <c r="H13" s="290" t="s">
        <v>1077</v>
      </c>
      <c r="I13" s="133">
        <f>4732+600</f>
        <v>5332</v>
      </c>
      <c r="J13" s="133" t="s">
        <v>84</v>
      </c>
      <c r="K13" s="87" t="s">
        <v>153</v>
      </c>
      <c r="L13" s="1083">
        <f t="shared" si="0"/>
        <v>5600</v>
      </c>
      <c r="M13" s="336"/>
      <c r="N13" s="336"/>
    </row>
    <row r="14" spans="1:14" s="336" customFormat="1" ht="52.5" customHeight="1">
      <c r="A14" s="789">
        <v>10</v>
      </c>
      <c r="B14" s="182" t="s">
        <v>1032</v>
      </c>
      <c r="C14" s="1072">
        <v>2980</v>
      </c>
      <c r="D14" s="393" t="s">
        <v>226</v>
      </c>
      <c r="E14" s="393" t="s">
        <v>1078</v>
      </c>
      <c r="F14" s="125" t="s">
        <v>19</v>
      </c>
      <c r="G14" s="384" t="s">
        <v>101</v>
      </c>
      <c r="H14" s="690" t="s">
        <v>1079</v>
      </c>
      <c r="I14" s="350"/>
      <c r="J14" s="113" t="s">
        <v>43</v>
      </c>
      <c r="K14" s="113" t="s">
        <v>153</v>
      </c>
      <c r="L14" s="335">
        <f t="shared" si="0"/>
        <v>2980</v>
      </c>
    </row>
    <row r="15" spans="1:14" s="367" customFormat="1" ht="45.75" customHeight="1">
      <c r="A15" s="723">
        <v>11</v>
      </c>
      <c r="B15" s="177" t="s">
        <v>914</v>
      </c>
      <c r="C15" s="94">
        <v>3550</v>
      </c>
      <c r="D15" s="980" t="s">
        <v>226</v>
      </c>
      <c r="E15" s="1079" t="s">
        <v>1080</v>
      </c>
      <c r="F15" s="87" t="s">
        <v>19</v>
      </c>
      <c r="G15" s="133" t="s">
        <v>172</v>
      </c>
      <c r="H15" s="290" t="s">
        <v>1081</v>
      </c>
      <c r="I15" s="1074"/>
      <c r="J15" s="133" t="s">
        <v>89</v>
      </c>
      <c r="K15" s="87" t="s">
        <v>153</v>
      </c>
      <c r="L15" s="335">
        <f t="shared" si="0"/>
        <v>3550</v>
      </c>
      <c r="M15" s="336"/>
      <c r="N15" s="336"/>
    </row>
    <row r="16" spans="1:14" s="367" customFormat="1" ht="56.25">
      <c r="A16" s="723">
        <v>12</v>
      </c>
      <c r="B16" s="177" t="s">
        <v>1082</v>
      </c>
      <c r="C16" s="88">
        <v>4650</v>
      </c>
      <c r="D16" s="980" t="s">
        <v>226</v>
      </c>
      <c r="E16" s="1080" t="s">
        <v>1083</v>
      </c>
      <c r="F16" s="87" t="s">
        <v>19</v>
      </c>
      <c r="G16" s="133" t="s">
        <v>172</v>
      </c>
      <c r="H16" s="290" t="s">
        <v>1084</v>
      </c>
      <c r="I16" s="1074"/>
      <c r="J16" s="133" t="s">
        <v>84</v>
      </c>
      <c r="K16" s="87" t="s">
        <v>153</v>
      </c>
      <c r="L16" s="335">
        <f t="shared" si="0"/>
        <v>4650</v>
      </c>
      <c r="M16" s="336"/>
      <c r="N16" s="336"/>
    </row>
    <row r="17" spans="1:14" s="336" customFormat="1" ht="51" customHeight="1">
      <c r="A17" s="789">
        <v>13</v>
      </c>
      <c r="B17" s="182" t="s">
        <v>668</v>
      </c>
      <c r="C17" s="1072">
        <v>5500</v>
      </c>
      <c r="D17" s="393" t="s">
        <v>226</v>
      </c>
      <c r="E17" s="693" t="s">
        <v>1085</v>
      </c>
      <c r="F17" s="125" t="s">
        <v>19</v>
      </c>
      <c r="G17" s="384" t="s">
        <v>172</v>
      </c>
      <c r="H17" s="690" t="s">
        <v>1086</v>
      </c>
      <c r="I17" s="350"/>
      <c r="J17" s="113" t="s">
        <v>16</v>
      </c>
      <c r="K17" s="113" t="s">
        <v>153</v>
      </c>
      <c r="L17" s="335">
        <f t="shared" si="0"/>
        <v>5500</v>
      </c>
    </row>
    <row r="18" spans="1:14" s="367" customFormat="1" ht="69.75" customHeight="1">
      <c r="A18" s="723">
        <v>14</v>
      </c>
      <c r="B18" s="177" t="s">
        <v>1087</v>
      </c>
      <c r="C18" s="88">
        <v>4800</v>
      </c>
      <c r="D18" s="393" t="s">
        <v>226</v>
      </c>
      <c r="E18" s="693" t="s">
        <v>1088</v>
      </c>
      <c r="F18" s="129" t="s">
        <v>19</v>
      </c>
      <c r="G18" s="133" t="s">
        <v>63</v>
      </c>
      <c r="H18" s="290" t="s">
        <v>1089</v>
      </c>
      <c r="I18" s="403"/>
      <c r="J18" s="133" t="s">
        <v>43</v>
      </c>
      <c r="K18" s="87" t="s">
        <v>153</v>
      </c>
      <c r="L18" s="335">
        <f t="shared" si="0"/>
        <v>4800</v>
      </c>
      <c r="M18" s="336"/>
      <c r="N18" s="336"/>
    </row>
    <row r="19" spans="1:14" s="367" customFormat="1" ht="43.5" customHeight="1">
      <c r="A19" s="723">
        <v>15</v>
      </c>
      <c r="B19" s="177" t="s">
        <v>1090</v>
      </c>
      <c r="C19" s="94">
        <v>4700</v>
      </c>
      <c r="D19" s="1018" t="s">
        <v>226</v>
      </c>
      <c r="E19" s="1081" t="s">
        <v>1091</v>
      </c>
      <c r="F19" s="87" t="s">
        <v>19</v>
      </c>
      <c r="G19" s="133" t="s">
        <v>123</v>
      </c>
      <c r="H19" s="290" t="s">
        <v>1092</v>
      </c>
      <c r="I19" s="1074"/>
      <c r="J19" s="133" t="s">
        <v>84</v>
      </c>
      <c r="K19" s="87" t="s">
        <v>153</v>
      </c>
      <c r="L19" s="335">
        <f t="shared" si="0"/>
        <v>4700</v>
      </c>
      <c r="M19" s="336"/>
      <c r="N19" s="336"/>
    </row>
    <row r="20" spans="1:14" s="367" customFormat="1" ht="42.75" customHeight="1">
      <c r="A20" s="723">
        <v>16</v>
      </c>
      <c r="B20" s="180" t="s">
        <v>1093</v>
      </c>
      <c r="C20" s="120">
        <v>3350</v>
      </c>
      <c r="D20" s="980" t="s">
        <v>226</v>
      </c>
      <c r="E20" s="1079" t="s">
        <v>1094</v>
      </c>
      <c r="F20" s="91" t="s">
        <v>19</v>
      </c>
      <c r="G20" s="380" t="s">
        <v>172</v>
      </c>
      <c r="H20" s="703" t="s">
        <v>1095</v>
      </c>
      <c r="I20" s="380"/>
      <c r="J20" s="91" t="s">
        <v>54</v>
      </c>
      <c r="K20" s="91" t="s">
        <v>153</v>
      </c>
      <c r="L20" s="1076">
        <f t="shared" si="0"/>
        <v>3350</v>
      </c>
      <c r="M20" s="336"/>
      <c r="N20" s="336"/>
    </row>
    <row r="21" spans="1:14" s="367" customFormat="1" ht="62.25" customHeight="1">
      <c r="A21" s="723">
        <v>17</v>
      </c>
      <c r="B21" s="177" t="s">
        <v>636</v>
      </c>
      <c r="C21" s="94">
        <v>2950</v>
      </c>
      <c r="D21" s="980" t="s">
        <v>226</v>
      </c>
      <c r="E21" s="1084" t="s">
        <v>1096</v>
      </c>
      <c r="F21" s="91" t="s">
        <v>19</v>
      </c>
      <c r="G21" s="380" t="s">
        <v>172</v>
      </c>
      <c r="H21" s="703" t="s">
        <v>1097</v>
      </c>
      <c r="I21" s="1085"/>
      <c r="J21" s="91" t="s">
        <v>54</v>
      </c>
      <c r="K21" s="91" t="s">
        <v>153</v>
      </c>
      <c r="L21" s="335">
        <f t="shared" si="0"/>
        <v>2950</v>
      </c>
      <c r="M21" s="336"/>
      <c r="N21" s="336"/>
    </row>
    <row r="22" spans="1:14" s="367" customFormat="1" ht="60" customHeight="1">
      <c r="A22" s="723">
        <v>18</v>
      </c>
      <c r="B22" s="177" t="s">
        <v>1098</v>
      </c>
      <c r="C22" s="94">
        <v>4050</v>
      </c>
      <c r="D22" s="1086" t="s">
        <v>226</v>
      </c>
      <c r="E22" s="1087" t="s">
        <v>1099</v>
      </c>
      <c r="F22" s="87" t="s">
        <v>19</v>
      </c>
      <c r="G22" s="133" t="s">
        <v>172</v>
      </c>
      <c r="H22" s="119" t="s">
        <v>1100</v>
      </c>
      <c r="I22" s="1008"/>
      <c r="J22" s="133" t="s">
        <v>89</v>
      </c>
      <c r="K22" s="87" t="s">
        <v>153</v>
      </c>
      <c r="L22" s="335">
        <f t="shared" si="0"/>
        <v>4050</v>
      </c>
      <c r="M22" s="336"/>
      <c r="N22" s="336"/>
    </row>
    <row r="23" spans="1:14" s="336" customFormat="1" ht="69" customHeight="1">
      <c r="A23" s="786">
        <v>19</v>
      </c>
      <c r="B23" s="177" t="s">
        <v>1101</v>
      </c>
      <c r="C23" s="1088">
        <v>4350</v>
      </c>
      <c r="D23" s="1086" t="s">
        <v>226</v>
      </c>
      <c r="E23" s="1089" t="s">
        <v>1102</v>
      </c>
      <c r="F23" s="129" t="s">
        <v>19</v>
      </c>
      <c r="G23" s="133" t="s">
        <v>172</v>
      </c>
      <c r="H23" s="703" t="s">
        <v>1103</v>
      </c>
      <c r="I23" s="388"/>
      <c r="J23" s="133" t="s">
        <v>16</v>
      </c>
      <c r="K23" s="87" t="s">
        <v>153</v>
      </c>
      <c r="L23" s="335">
        <f t="shared" si="0"/>
        <v>4350</v>
      </c>
    </row>
    <row r="24" spans="1:14" s="367" customFormat="1" ht="78" customHeight="1">
      <c r="A24" s="723">
        <v>20</v>
      </c>
      <c r="B24" s="1090" t="s">
        <v>531</v>
      </c>
      <c r="C24" s="120">
        <v>2787</v>
      </c>
      <c r="D24" s="980" t="s">
        <v>226</v>
      </c>
      <c r="E24" s="1089" t="s">
        <v>1104</v>
      </c>
      <c r="F24" s="91" t="s">
        <v>19</v>
      </c>
      <c r="G24" s="380" t="s">
        <v>172</v>
      </c>
      <c r="H24" s="703" t="s">
        <v>1105</v>
      </c>
      <c r="I24" s="1091"/>
      <c r="J24" s="91" t="s">
        <v>514</v>
      </c>
      <c r="K24" s="91" t="s">
        <v>153</v>
      </c>
      <c r="L24" s="1076">
        <f t="shared" si="0"/>
        <v>2787</v>
      </c>
      <c r="M24" s="336"/>
      <c r="N24" s="336"/>
    </row>
    <row r="25" spans="1:14" s="367" customFormat="1" ht="42.75" customHeight="1">
      <c r="A25" s="723">
        <v>21</v>
      </c>
      <c r="B25" s="1092" t="s">
        <v>515</v>
      </c>
      <c r="C25" s="94">
        <v>2900</v>
      </c>
      <c r="D25" s="980" t="s">
        <v>226</v>
      </c>
      <c r="E25" s="1089" t="s">
        <v>1106</v>
      </c>
      <c r="F25" s="87" t="s">
        <v>19</v>
      </c>
      <c r="G25" s="379" t="s">
        <v>505</v>
      </c>
      <c r="H25" s="1093" t="s">
        <v>1107</v>
      </c>
      <c r="I25" s="1008"/>
      <c r="J25" s="133" t="s">
        <v>89</v>
      </c>
      <c r="K25" s="87" t="s">
        <v>153</v>
      </c>
      <c r="L25" s="335">
        <f t="shared" si="0"/>
        <v>2900</v>
      </c>
      <c r="M25" s="336"/>
      <c r="N25" s="336"/>
    </row>
    <row r="26" spans="1:14" s="367" customFormat="1" ht="45.75" customHeight="1">
      <c r="A26" s="723">
        <v>22</v>
      </c>
      <c r="B26" s="91" t="s">
        <v>1108</v>
      </c>
      <c r="C26" s="120">
        <v>2300</v>
      </c>
      <c r="D26" s="980" t="s">
        <v>226</v>
      </c>
      <c r="E26" s="1089" t="s">
        <v>1109</v>
      </c>
      <c r="F26" s="91" t="s">
        <v>19</v>
      </c>
      <c r="G26" s="380" t="s">
        <v>74</v>
      </c>
      <c r="H26" s="703" t="s">
        <v>1110</v>
      </c>
      <c r="I26" s="380" t="s">
        <v>1111</v>
      </c>
      <c r="J26" s="91" t="s">
        <v>16</v>
      </c>
      <c r="K26" s="91" t="s">
        <v>153</v>
      </c>
      <c r="L26" s="1076">
        <f t="shared" si="0"/>
        <v>2300</v>
      </c>
      <c r="M26" s="336"/>
      <c r="N26" s="336"/>
    </row>
    <row r="27" spans="1:14" s="367" customFormat="1" ht="66" customHeight="1">
      <c r="A27" s="723">
        <v>23</v>
      </c>
      <c r="B27" s="87" t="s">
        <v>581</v>
      </c>
      <c r="C27" s="94">
        <v>3550</v>
      </c>
      <c r="D27" s="980" t="s">
        <v>226</v>
      </c>
      <c r="E27" s="980" t="s">
        <v>1112</v>
      </c>
      <c r="F27" s="91" t="s">
        <v>19</v>
      </c>
      <c r="G27" s="380" t="s">
        <v>959</v>
      </c>
      <c r="H27" s="703" t="s">
        <v>1113</v>
      </c>
      <c r="I27" s="787"/>
      <c r="J27" s="91" t="s">
        <v>84</v>
      </c>
      <c r="K27" s="91" t="s">
        <v>153</v>
      </c>
      <c r="L27" s="335">
        <f t="shared" si="0"/>
        <v>3550</v>
      </c>
      <c r="M27" s="336"/>
      <c r="N27" s="336"/>
    </row>
    <row r="28" spans="1:14" s="367" customFormat="1" ht="80.25" customHeight="1">
      <c r="A28" s="723">
        <v>24</v>
      </c>
      <c r="B28" s="87" t="s">
        <v>906</v>
      </c>
      <c r="C28" s="94">
        <v>4550</v>
      </c>
      <c r="D28" s="980" t="s">
        <v>226</v>
      </c>
      <c r="E28" s="980" t="s">
        <v>1114</v>
      </c>
      <c r="F28" s="91" t="s">
        <v>19</v>
      </c>
      <c r="G28" s="380" t="s">
        <v>74</v>
      </c>
      <c r="H28" s="703" t="s">
        <v>1115</v>
      </c>
      <c r="I28" s="876" t="s">
        <v>1116</v>
      </c>
      <c r="J28" s="91" t="s">
        <v>89</v>
      </c>
      <c r="K28" s="91" t="s">
        <v>153</v>
      </c>
      <c r="L28" s="335">
        <f t="shared" si="0"/>
        <v>4550</v>
      </c>
      <c r="M28" s="336"/>
      <c r="N28" s="336"/>
    </row>
    <row r="29" spans="1:14" s="367" customFormat="1" ht="93.75">
      <c r="A29" s="723">
        <v>25</v>
      </c>
      <c r="B29" s="87" t="s">
        <v>1117</v>
      </c>
      <c r="C29" s="94">
        <v>5880</v>
      </c>
      <c r="D29" s="980" t="s">
        <v>226</v>
      </c>
      <c r="E29" s="980" t="s">
        <v>1118</v>
      </c>
      <c r="F29" s="91" t="s">
        <v>19</v>
      </c>
      <c r="G29" s="380" t="s">
        <v>1119</v>
      </c>
      <c r="H29" s="1025" t="s">
        <v>1120</v>
      </c>
      <c r="I29" s="798"/>
      <c r="J29" s="91" t="s">
        <v>89</v>
      </c>
      <c r="K29" s="91" t="s">
        <v>153</v>
      </c>
      <c r="L29" s="335">
        <f t="shared" si="0"/>
        <v>5880</v>
      </c>
      <c r="M29" s="336"/>
      <c r="N29" s="336"/>
    </row>
    <row r="30" spans="1:14" s="367" customFormat="1" ht="55.5" customHeight="1">
      <c r="A30" s="786">
        <v>26</v>
      </c>
      <c r="B30" s="1092" t="s">
        <v>1036</v>
      </c>
      <c r="C30" s="94">
        <v>3250</v>
      </c>
      <c r="D30" s="980" t="s">
        <v>226</v>
      </c>
      <c r="E30" s="133" t="s">
        <v>1121</v>
      </c>
      <c r="F30" s="87" t="s">
        <v>19</v>
      </c>
      <c r="G30" s="87" t="s">
        <v>959</v>
      </c>
      <c r="H30" s="1093" t="s">
        <v>1122</v>
      </c>
      <c r="I30" s="1094"/>
      <c r="J30" s="87" t="s">
        <v>43</v>
      </c>
      <c r="K30" s="87" t="s">
        <v>153</v>
      </c>
      <c r="L30" s="335">
        <f t="shared" si="0"/>
        <v>3250</v>
      </c>
      <c r="M30" s="336"/>
      <c r="N30" s="336"/>
    </row>
    <row r="31" spans="1:14" s="336" customFormat="1" ht="71.25" customHeight="1">
      <c r="A31" s="786">
        <v>27</v>
      </c>
      <c r="B31" s="87" t="s">
        <v>1032</v>
      </c>
      <c r="C31" s="94">
        <v>2980</v>
      </c>
      <c r="D31" s="980" t="s">
        <v>226</v>
      </c>
      <c r="E31" s="133" t="s">
        <v>1123</v>
      </c>
      <c r="F31" s="91" t="s">
        <v>19</v>
      </c>
      <c r="G31" s="133" t="s">
        <v>74</v>
      </c>
      <c r="H31" s="93" t="s">
        <v>1124</v>
      </c>
      <c r="I31" s="108"/>
      <c r="J31" s="115" t="s">
        <v>43</v>
      </c>
      <c r="K31" s="91" t="s">
        <v>153</v>
      </c>
      <c r="L31" s="1066">
        <f t="shared" si="0"/>
        <v>2980</v>
      </c>
    </row>
    <row r="32" spans="1:14" s="855" customFormat="1" ht="75">
      <c r="A32" s="1095">
        <v>28</v>
      </c>
      <c r="B32" s="180" t="s">
        <v>921</v>
      </c>
      <c r="C32" s="190">
        <v>4600</v>
      </c>
      <c r="D32" s="702" t="s">
        <v>226</v>
      </c>
      <c r="E32" s="707" t="s">
        <v>1125</v>
      </c>
      <c r="F32" s="180" t="s">
        <v>19</v>
      </c>
      <c r="G32" s="691" t="s">
        <v>1126</v>
      </c>
      <c r="H32" s="156" t="s">
        <v>1127</v>
      </c>
      <c r="I32" s="1096" t="s">
        <v>1128</v>
      </c>
      <c r="J32" s="1097" t="s">
        <v>89</v>
      </c>
      <c r="K32" s="180" t="s">
        <v>153</v>
      </c>
      <c r="L32" s="1098">
        <f t="shared" si="0"/>
        <v>4600</v>
      </c>
      <c r="M32" s="150"/>
      <c r="N32" s="150"/>
    </row>
    <row r="33" spans="1:14" s="367" customFormat="1" ht="132" customHeight="1">
      <c r="A33" s="797">
        <v>29</v>
      </c>
      <c r="B33" s="1090" t="s">
        <v>559</v>
      </c>
      <c r="C33" s="1099">
        <v>3260</v>
      </c>
      <c r="D33" s="702" t="s">
        <v>226</v>
      </c>
      <c r="E33" s="380" t="s">
        <v>1129</v>
      </c>
      <c r="F33" s="91" t="s">
        <v>19</v>
      </c>
      <c r="G33" s="152" t="s">
        <v>741</v>
      </c>
      <c r="H33" s="156" t="s">
        <v>1130</v>
      </c>
      <c r="I33" s="1100" t="s">
        <v>1131</v>
      </c>
      <c r="J33" s="115" t="s">
        <v>89</v>
      </c>
      <c r="K33" s="91" t="s">
        <v>153</v>
      </c>
      <c r="L33" s="1082">
        <f t="shared" si="0"/>
        <v>3260</v>
      </c>
      <c r="M33" s="336"/>
      <c r="N33" s="336"/>
    </row>
    <row r="34" spans="1:14" s="367" customFormat="1" ht="214.5" customHeight="1">
      <c r="A34" s="786">
        <v>30</v>
      </c>
      <c r="B34" s="177" t="s">
        <v>1132</v>
      </c>
      <c r="C34" s="1099">
        <v>18000</v>
      </c>
      <c r="D34" s="980" t="s">
        <v>226</v>
      </c>
      <c r="E34" s="980" t="s">
        <v>1133</v>
      </c>
      <c r="F34" s="91" t="s">
        <v>19</v>
      </c>
      <c r="G34" s="380" t="s">
        <v>63</v>
      </c>
      <c r="H34" s="156" t="s">
        <v>1134</v>
      </c>
      <c r="I34" s="1025" t="s">
        <v>1135</v>
      </c>
      <c r="J34" s="91" t="s">
        <v>89</v>
      </c>
      <c r="K34" s="91" t="s">
        <v>153</v>
      </c>
      <c r="L34" s="1076">
        <f t="shared" si="0"/>
        <v>18000</v>
      </c>
      <c r="M34" s="336"/>
      <c r="N34" s="336"/>
    </row>
    <row r="35" spans="1:14" s="367" customFormat="1" ht="62.25" customHeight="1">
      <c r="A35" s="786">
        <v>31</v>
      </c>
      <c r="B35" s="177" t="s">
        <v>1063</v>
      </c>
      <c r="C35" s="94">
        <v>3280</v>
      </c>
      <c r="D35" s="133" t="s">
        <v>226</v>
      </c>
      <c r="E35" s="133" t="s">
        <v>1136</v>
      </c>
      <c r="F35" s="87" t="s">
        <v>19</v>
      </c>
      <c r="G35" s="133" t="s">
        <v>101</v>
      </c>
      <c r="H35" s="1101" t="s">
        <v>1137</v>
      </c>
      <c r="I35" s="140" t="s">
        <v>1131</v>
      </c>
      <c r="J35" s="87" t="s">
        <v>89</v>
      </c>
      <c r="K35" s="87" t="s">
        <v>153</v>
      </c>
      <c r="L35" s="335">
        <f t="shared" si="0"/>
        <v>3280</v>
      </c>
      <c r="M35" s="336"/>
      <c r="N35" s="336"/>
    </row>
    <row r="36" spans="1:14" s="367" customFormat="1" ht="60.75" customHeight="1">
      <c r="A36" s="786">
        <v>32</v>
      </c>
      <c r="B36" s="177" t="s">
        <v>540</v>
      </c>
      <c r="C36" s="94">
        <v>3550</v>
      </c>
      <c r="D36" s="133" t="s">
        <v>226</v>
      </c>
      <c r="E36" s="133"/>
      <c r="F36" s="87" t="s">
        <v>19</v>
      </c>
      <c r="G36" s="87" t="s">
        <v>1138</v>
      </c>
      <c r="H36" s="155" t="s">
        <v>1139</v>
      </c>
      <c r="I36" s="108"/>
      <c r="J36" s="87" t="s">
        <v>43</v>
      </c>
      <c r="K36" s="87" t="s">
        <v>153</v>
      </c>
      <c r="L36" s="335">
        <f t="shared" si="0"/>
        <v>3550</v>
      </c>
      <c r="M36" s="336"/>
      <c r="N36" s="336"/>
    </row>
    <row r="37" spans="1:14" s="367" customFormat="1" ht="96" customHeight="1">
      <c r="A37" s="745">
        <v>33</v>
      </c>
      <c r="B37" s="182" t="s">
        <v>562</v>
      </c>
      <c r="C37" s="114">
        <v>2787</v>
      </c>
      <c r="D37" s="384" t="s">
        <v>226</v>
      </c>
      <c r="E37" s="384" t="s">
        <v>1140</v>
      </c>
      <c r="F37" s="126" t="s">
        <v>19</v>
      </c>
      <c r="G37" s="87" t="s">
        <v>1138</v>
      </c>
      <c r="H37" s="1013" t="s">
        <v>1141</v>
      </c>
      <c r="I37" s="1102">
        <f>2787-412-95-1000</f>
        <v>1280</v>
      </c>
      <c r="J37" s="130" t="s">
        <v>514</v>
      </c>
      <c r="K37" s="130" t="s">
        <v>153</v>
      </c>
      <c r="L37" s="338">
        <f t="shared" ref="L37:L62" si="2">C37</f>
        <v>2787</v>
      </c>
      <c r="M37" s="336"/>
      <c r="N37" s="336"/>
    </row>
    <row r="38" spans="1:14" s="367" customFormat="1" ht="125.25" customHeight="1">
      <c r="A38" s="786">
        <v>34</v>
      </c>
      <c r="B38" s="177" t="s">
        <v>621</v>
      </c>
      <c r="C38" s="94">
        <v>4700</v>
      </c>
      <c r="D38" s="133" t="s">
        <v>226</v>
      </c>
      <c r="E38" s="133" t="s">
        <v>1142</v>
      </c>
      <c r="F38" s="87" t="s">
        <v>19</v>
      </c>
      <c r="G38" s="87" t="s">
        <v>1138</v>
      </c>
      <c r="H38" s="1101" t="s">
        <v>1143</v>
      </c>
      <c r="I38" s="345" t="s">
        <v>1144</v>
      </c>
      <c r="J38" s="87" t="s">
        <v>16</v>
      </c>
      <c r="K38" s="87" t="s">
        <v>153</v>
      </c>
      <c r="L38" s="335">
        <f t="shared" si="2"/>
        <v>4700</v>
      </c>
      <c r="M38" s="336"/>
      <c r="N38" s="336"/>
    </row>
    <row r="39" spans="1:14" s="336" customFormat="1" ht="77.25" customHeight="1">
      <c r="A39" s="786">
        <v>35</v>
      </c>
      <c r="B39" s="177" t="s">
        <v>638</v>
      </c>
      <c r="C39" s="94">
        <v>3800</v>
      </c>
      <c r="D39" s="133" t="s">
        <v>226</v>
      </c>
      <c r="E39" s="133" t="s">
        <v>1145</v>
      </c>
      <c r="F39" s="91" t="s">
        <v>19</v>
      </c>
      <c r="G39" s="87" t="s">
        <v>172</v>
      </c>
      <c r="H39" s="93" t="s">
        <v>1146</v>
      </c>
      <c r="I39" s="108">
        <f>3800-1030-250</f>
        <v>2520</v>
      </c>
      <c r="J39" s="115" t="s">
        <v>84</v>
      </c>
      <c r="K39" s="91" t="s">
        <v>153</v>
      </c>
      <c r="L39" s="1082">
        <f t="shared" si="2"/>
        <v>3800</v>
      </c>
    </row>
    <row r="40" spans="1:14" s="336" customFormat="1" ht="74.25" customHeight="1">
      <c r="A40" s="786">
        <v>36</v>
      </c>
      <c r="B40" s="177" t="s">
        <v>1147</v>
      </c>
      <c r="C40" s="94">
        <v>5250</v>
      </c>
      <c r="D40" s="133" t="s">
        <v>226</v>
      </c>
      <c r="E40" s="133" t="s">
        <v>1148</v>
      </c>
      <c r="F40" s="91" t="s">
        <v>19</v>
      </c>
      <c r="G40" s="87" t="s">
        <v>959</v>
      </c>
      <c r="H40" s="93" t="s">
        <v>1149</v>
      </c>
      <c r="I40" s="108"/>
      <c r="J40" s="87" t="s">
        <v>54</v>
      </c>
      <c r="K40" s="91" t="s">
        <v>153</v>
      </c>
      <c r="L40" s="1066">
        <f t="shared" si="2"/>
        <v>5250</v>
      </c>
    </row>
    <row r="41" spans="1:14" s="367" customFormat="1" ht="90" customHeight="1">
      <c r="A41" s="786">
        <v>37</v>
      </c>
      <c r="B41" s="182" t="s">
        <v>1150</v>
      </c>
      <c r="C41" s="114">
        <v>5000</v>
      </c>
      <c r="D41" s="384" t="s">
        <v>226</v>
      </c>
      <c r="E41" s="384" t="s">
        <v>1151</v>
      </c>
      <c r="F41" s="87" t="s">
        <v>19</v>
      </c>
      <c r="G41" s="87" t="s">
        <v>1138</v>
      </c>
      <c r="H41" s="1009" t="s">
        <v>1152</v>
      </c>
      <c r="I41" s="108"/>
      <c r="J41" s="129" t="s">
        <v>84</v>
      </c>
      <c r="K41" s="87" t="s">
        <v>153</v>
      </c>
      <c r="L41" s="335">
        <f t="shared" si="2"/>
        <v>5000</v>
      </c>
      <c r="M41" s="336"/>
      <c r="N41" s="336"/>
    </row>
    <row r="42" spans="1:14" s="336" customFormat="1" ht="58.5" customHeight="1">
      <c r="A42" s="786">
        <v>38</v>
      </c>
      <c r="B42" s="87" t="s">
        <v>1153</v>
      </c>
      <c r="C42" s="94">
        <v>2930</v>
      </c>
      <c r="D42" s="133" t="s">
        <v>226</v>
      </c>
      <c r="E42" s="133" t="s">
        <v>1154</v>
      </c>
      <c r="F42" s="91" t="s">
        <v>19</v>
      </c>
      <c r="G42" s="87" t="s">
        <v>123</v>
      </c>
      <c r="H42" s="93" t="s">
        <v>1155</v>
      </c>
      <c r="I42" s="1239"/>
      <c r="J42" s="115" t="s">
        <v>89</v>
      </c>
      <c r="K42" s="91" t="s">
        <v>153</v>
      </c>
      <c r="L42" s="1066">
        <f t="shared" si="2"/>
        <v>2930</v>
      </c>
    </row>
    <row r="43" spans="1:14" s="367" customFormat="1" ht="77.25" customHeight="1">
      <c r="A43" s="786">
        <v>39</v>
      </c>
      <c r="B43" s="87" t="s">
        <v>293</v>
      </c>
      <c r="C43" s="94">
        <v>4720</v>
      </c>
      <c r="D43" s="133" t="s">
        <v>226</v>
      </c>
      <c r="E43" s="133" t="s">
        <v>1156</v>
      </c>
      <c r="F43" s="91" t="s">
        <v>19</v>
      </c>
      <c r="G43" s="87" t="s">
        <v>172</v>
      </c>
      <c r="H43" s="93" t="s">
        <v>1157</v>
      </c>
      <c r="I43" s="93"/>
      <c r="J43" s="115" t="s">
        <v>84</v>
      </c>
      <c r="K43" s="91" t="s">
        <v>153</v>
      </c>
      <c r="L43" s="1083">
        <f t="shared" si="2"/>
        <v>4720</v>
      </c>
      <c r="M43" s="336"/>
      <c r="N43" s="336"/>
    </row>
    <row r="44" spans="1:14" s="336" customFormat="1" ht="58.5" customHeight="1">
      <c r="A44" s="786">
        <v>40</v>
      </c>
      <c r="B44" s="87" t="s">
        <v>946</v>
      </c>
      <c r="C44" s="94">
        <v>3180</v>
      </c>
      <c r="D44" s="133" t="s">
        <v>226</v>
      </c>
      <c r="E44" s="133" t="s">
        <v>1158</v>
      </c>
      <c r="F44" s="91" t="s">
        <v>19</v>
      </c>
      <c r="G44" s="87" t="s">
        <v>123</v>
      </c>
      <c r="H44" s="93" t="s">
        <v>1159</v>
      </c>
      <c r="I44" s="1035" t="s">
        <v>1160</v>
      </c>
      <c r="J44" s="115" t="s">
        <v>84</v>
      </c>
      <c r="K44" s="91" t="s">
        <v>153</v>
      </c>
      <c r="L44" s="1066">
        <f t="shared" si="2"/>
        <v>3180</v>
      </c>
    </row>
    <row r="45" spans="1:14" s="336" customFormat="1" ht="58.5" customHeight="1">
      <c r="A45" s="786">
        <v>41</v>
      </c>
      <c r="B45" s="87" t="s">
        <v>589</v>
      </c>
      <c r="C45" s="94">
        <v>4000</v>
      </c>
      <c r="D45" s="133" t="s">
        <v>226</v>
      </c>
      <c r="E45" s="133" t="s">
        <v>1161</v>
      </c>
      <c r="F45" s="91" t="s">
        <v>19</v>
      </c>
      <c r="G45" s="87" t="s">
        <v>172</v>
      </c>
      <c r="H45" s="93" t="s">
        <v>1162</v>
      </c>
      <c r="I45" s="1035"/>
      <c r="J45" s="115" t="s">
        <v>43</v>
      </c>
      <c r="K45" s="91" t="s">
        <v>153</v>
      </c>
      <c r="L45" s="1083">
        <f t="shared" si="2"/>
        <v>4000</v>
      </c>
    </row>
    <row r="46" spans="1:14" s="336" customFormat="1" ht="93.75">
      <c r="A46" s="786">
        <v>42</v>
      </c>
      <c r="B46" s="87" t="s">
        <v>1163</v>
      </c>
      <c r="C46" s="94">
        <v>4599</v>
      </c>
      <c r="D46" s="133" t="s">
        <v>226</v>
      </c>
      <c r="E46" s="133"/>
      <c r="F46" s="91" t="s">
        <v>19</v>
      </c>
      <c r="G46" s="87" t="s">
        <v>517</v>
      </c>
      <c r="H46" s="93" t="s">
        <v>1164</v>
      </c>
      <c r="I46" s="1035" t="s">
        <v>1165</v>
      </c>
      <c r="J46" s="115" t="s">
        <v>43</v>
      </c>
      <c r="K46" s="91" t="s">
        <v>153</v>
      </c>
      <c r="L46" s="1083">
        <f t="shared" si="2"/>
        <v>4599</v>
      </c>
    </row>
    <row r="47" spans="1:14" s="336" customFormat="1" ht="79.5" customHeight="1">
      <c r="A47" s="786">
        <v>43</v>
      </c>
      <c r="B47" s="87" t="s">
        <v>1166</v>
      </c>
      <c r="C47" s="94">
        <v>4300</v>
      </c>
      <c r="D47" s="133" t="s">
        <v>226</v>
      </c>
      <c r="E47" s="133"/>
      <c r="F47" s="91" t="s">
        <v>19</v>
      </c>
      <c r="G47" s="87" t="s">
        <v>172</v>
      </c>
      <c r="H47" s="93" t="s">
        <v>1167</v>
      </c>
      <c r="I47" s="1113">
        <f>4300-725-500-1800</f>
        <v>1275</v>
      </c>
      <c r="J47" s="115" t="s">
        <v>16</v>
      </c>
      <c r="K47" s="91" t="s">
        <v>153</v>
      </c>
      <c r="L47" s="1083">
        <f t="shared" si="2"/>
        <v>4300</v>
      </c>
    </row>
    <row r="48" spans="1:14" s="336" customFormat="1" ht="40.5" customHeight="1">
      <c r="A48" s="786">
        <v>44</v>
      </c>
      <c r="B48" s="87" t="s">
        <v>1168</v>
      </c>
      <c r="C48" s="94">
        <v>3060</v>
      </c>
      <c r="D48" s="133" t="s">
        <v>226</v>
      </c>
      <c r="E48" s="133"/>
      <c r="F48" s="91" t="s">
        <v>19</v>
      </c>
      <c r="G48" s="87" t="s">
        <v>253</v>
      </c>
      <c r="H48" s="93" t="s">
        <v>1169</v>
      </c>
      <c r="I48" s="1113"/>
      <c r="J48" s="115" t="s">
        <v>89</v>
      </c>
      <c r="K48" s="91" t="s">
        <v>153</v>
      </c>
      <c r="L48" s="1083">
        <f t="shared" si="2"/>
        <v>3060</v>
      </c>
    </row>
    <row r="49" spans="1:14" s="367" customFormat="1" ht="72.75" customHeight="1">
      <c r="A49" s="786">
        <v>45</v>
      </c>
      <c r="B49" s="1092" t="s">
        <v>515</v>
      </c>
      <c r="C49" s="94">
        <v>2930</v>
      </c>
      <c r="D49" s="133" t="s">
        <v>226</v>
      </c>
      <c r="E49" s="133" t="s">
        <v>1145</v>
      </c>
      <c r="F49" s="91" t="s">
        <v>19</v>
      </c>
      <c r="G49" s="87" t="s">
        <v>123</v>
      </c>
      <c r="H49" s="93" t="s">
        <v>1170</v>
      </c>
      <c r="I49" s="1035" t="s">
        <v>1171</v>
      </c>
      <c r="J49" s="115" t="s">
        <v>89</v>
      </c>
      <c r="K49" s="91" t="s">
        <v>153</v>
      </c>
      <c r="L49" s="1083">
        <f t="shared" si="2"/>
        <v>2930</v>
      </c>
      <c r="M49" s="336"/>
      <c r="N49" s="336"/>
    </row>
    <row r="50" spans="1:14" s="367" customFormat="1" ht="50.25" customHeight="1">
      <c r="A50" s="786">
        <v>46</v>
      </c>
      <c r="B50" s="1092" t="s">
        <v>1172</v>
      </c>
      <c r="C50" s="94">
        <v>3660</v>
      </c>
      <c r="D50" s="133" t="s">
        <v>226</v>
      </c>
      <c r="E50" s="133" t="s">
        <v>1173</v>
      </c>
      <c r="F50" s="91" t="s">
        <v>19</v>
      </c>
      <c r="G50" s="87" t="s">
        <v>101</v>
      </c>
      <c r="H50" s="93" t="s">
        <v>1174</v>
      </c>
      <c r="I50" s="1035" t="s">
        <v>1171</v>
      </c>
      <c r="J50" s="87" t="s">
        <v>89</v>
      </c>
      <c r="K50" s="91" t="s">
        <v>153</v>
      </c>
      <c r="L50" s="1083">
        <f t="shared" si="2"/>
        <v>3660</v>
      </c>
      <c r="M50" s="336"/>
      <c r="N50" s="336"/>
    </row>
    <row r="51" spans="1:14" s="336" customFormat="1" ht="40.5" customHeight="1">
      <c r="A51" s="786">
        <v>47</v>
      </c>
      <c r="B51" s="1092" t="s">
        <v>581</v>
      </c>
      <c r="C51" s="94">
        <v>3500</v>
      </c>
      <c r="D51" s="133" t="s">
        <v>226</v>
      </c>
      <c r="E51" s="133" t="s">
        <v>1175</v>
      </c>
      <c r="F51" s="91" t="s">
        <v>19</v>
      </c>
      <c r="G51" s="87" t="s">
        <v>172</v>
      </c>
      <c r="H51" s="93" t="s">
        <v>1176</v>
      </c>
      <c r="I51" s="1113" t="s">
        <v>1177</v>
      </c>
      <c r="J51" s="115" t="s">
        <v>84</v>
      </c>
      <c r="K51" s="91" t="s">
        <v>153</v>
      </c>
      <c r="L51" s="1083">
        <f t="shared" si="2"/>
        <v>3500</v>
      </c>
    </row>
    <row r="52" spans="1:14" s="367" customFormat="1" ht="141" customHeight="1">
      <c r="A52" s="786">
        <v>48</v>
      </c>
      <c r="B52" s="87" t="s">
        <v>925</v>
      </c>
      <c r="C52" s="94">
        <v>7650</v>
      </c>
      <c r="D52" s="133" t="s">
        <v>226</v>
      </c>
      <c r="E52" s="133" t="s">
        <v>1178</v>
      </c>
      <c r="F52" s="91" t="s">
        <v>19</v>
      </c>
      <c r="G52" s="87" t="s">
        <v>517</v>
      </c>
      <c r="H52" s="93" t="s">
        <v>1179</v>
      </c>
      <c r="I52" s="1035" t="s">
        <v>1180</v>
      </c>
      <c r="J52" s="87" t="s">
        <v>16</v>
      </c>
      <c r="K52" s="91" t="s">
        <v>153</v>
      </c>
      <c r="L52" s="1083">
        <f t="shared" si="2"/>
        <v>7650</v>
      </c>
      <c r="M52" s="336"/>
      <c r="N52" s="336"/>
    </row>
    <row r="53" spans="1:14" s="367" customFormat="1" ht="51" customHeight="1">
      <c r="A53" s="786">
        <v>49</v>
      </c>
      <c r="B53" s="1092" t="s">
        <v>531</v>
      </c>
      <c r="C53" s="94">
        <v>2787</v>
      </c>
      <c r="D53" s="133" t="s">
        <v>226</v>
      </c>
      <c r="E53" s="133" t="s">
        <v>1181</v>
      </c>
      <c r="F53" s="91" t="s">
        <v>19</v>
      </c>
      <c r="G53" s="87" t="s">
        <v>172</v>
      </c>
      <c r="H53" s="93" t="s">
        <v>1176</v>
      </c>
      <c r="I53" s="1113" t="s">
        <v>1182</v>
      </c>
      <c r="J53" s="115" t="s">
        <v>514</v>
      </c>
      <c r="K53" s="91" t="s">
        <v>153</v>
      </c>
      <c r="L53" s="1083">
        <f t="shared" si="2"/>
        <v>2787</v>
      </c>
      <c r="M53" s="336"/>
      <c r="N53" s="336"/>
    </row>
    <row r="54" spans="1:14" s="336" customFormat="1" ht="93" customHeight="1">
      <c r="A54" s="786">
        <v>50</v>
      </c>
      <c r="B54" s="1092" t="s">
        <v>564</v>
      </c>
      <c r="C54" s="94">
        <v>3050</v>
      </c>
      <c r="D54" s="133" t="s">
        <v>226</v>
      </c>
      <c r="E54" s="133" t="s">
        <v>1183</v>
      </c>
      <c r="F54" s="91" t="s">
        <v>19</v>
      </c>
      <c r="G54" s="87" t="s">
        <v>123</v>
      </c>
      <c r="H54" s="93" t="s">
        <v>1184</v>
      </c>
      <c r="I54" s="1114" t="s">
        <v>1185</v>
      </c>
      <c r="J54" s="115" t="s">
        <v>89</v>
      </c>
      <c r="K54" s="91" t="s">
        <v>153</v>
      </c>
      <c r="L54" s="1083">
        <f t="shared" si="2"/>
        <v>3050</v>
      </c>
    </row>
    <row r="55" spans="1:14" s="336" customFormat="1" ht="102" customHeight="1">
      <c r="A55" s="786">
        <v>51</v>
      </c>
      <c r="B55" s="87" t="s">
        <v>1101</v>
      </c>
      <c r="C55" s="94">
        <v>4350</v>
      </c>
      <c r="D55" s="133" t="s">
        <v>226</v>
      </c>
      <c r="E55" s="133" t="s">
        <v>1186</v>
      </c>
      <c r="F55" s="91" t="s">
        <v>19</v>
      </c>
      <c r="G55" s="87" t="s">
        <v>172</v>
      </c>
      <c r="H55" s="93" t="s">
        <v>1187</v>
      </c>
      <c r="I55" s="1113" t="s">
        <v>1188</v>
      </c>
      <c r="J55" s="115" t="s">
        <v>84</v>
      </c>
      <c r="K55" s="91" t="s">
        <v>153</v>
      </c>
      <c r="L55" s="1083">
        <f t="shared" si="2"/>
        <v>4350</v>
      </c>
    </row>
    <row r="56" spans="1:14" s="336" customFormat="1" ht="56.25" customHeight="1">
      <c r="A56" s="786">
        <v>52</v>
      </c>
      <c r="B56" s="87" t="s">
        <v>1189</v>
      </c>
      <c r="C56" s="94">
        <v>1830</v>
      </c>
      <c r="D56" s="133" t="s">
        <v>226</v>
      </c>
      <c r="E56" s="133" t="s">
        <v>1190</v>
      </c>
      <c r="F56" s="91" t="s">
        <v>19</v>
      </c>
      <c r="G56" s="87" t="s">
        <v>172</v>
      </c>
      <c r="H56" s="93" t="s">
        <v>1191</v>
      </c>
      <c r="I56" s="1113"/>
      <c r="J56" s="115" t="s">
        <v>16</v>
      </c>
      <c r="K56" s="91" t="s">
        <v>153</v>
      </c>
      <c r="L56" s="1083">
        <f t="shared" si="2"/>
        <v>1830</v>
      </c>
    </row>
    <row r="57" spans="1:14" s="367" customFormat="1" ht="47.25" customHeight="1">
      <c r="A57" s="786">
        <v>53</v>
      </c>
      <c r="B57" s="1092" t="s">
        <v>1192</v>
      </c>
      <c r="C57" s="94">
        <v>5870</v>
      </c>
      <c r="D57" s="133" t="s">
        <v>226</v>
      </c>
      <c r="E57" s="133" t="s">
        <v>1193</v>
      </c>
      <c r="F57" s="91" t="s">
        <v>19</v>
      </c>
      <c r="G57" s="87" t="s">
        <v>1194</v>
      </c>
      <c r="H57" s="93" t="s">
        <v>1195</v>
      </c>
      <c r="I57" s="1035" t="s">
        <v>1171</v>
      </c>
      <c r="J57" s="115" t="s">
        <v>84</v>
      </c>
      <c r="K57" s="91" t="s">
        <v>153</v>
      </c>
      <c r="L57" s="1083">
        <f t="shared" si="2"/>
        <v>5870</v>
      </c>
      <c r="M57" s="336"/>
      <c r="N57" s="336"/>
    </row>
    <row r="58" spans="1:14" s="336" customFormat="1" ht="40.5" customHeight="1">
      <c r="A58" s="786">
        <v>54</v>
      </c>
      <c r="B58" s="87" t="s">
        <v>1196</v>
      </c>
      <c r="C58" s="94">
        <v>3150</v>
      </c>
      <c r="D58" s="133" t="s">
        <v>226</v>
      </c>
      <c r="E58" s="133"/>
      <c r="F58" s="91" t="s">
        <v>19</v>
      </c>
      <c r="G58" s="87" t="s">
        <v>172</v>
      </c>
      <c r="H58" s="93" t="s">
        <v>1197</v>
      </c>
      <c r="I58" s="1113"/>
      <c r="J58" s="115" t="s">
        <v>84</v>
      </c>
      <c r="K58" s="91" t="s">
        <v>153</v>
      </c>
      <c r="L58" s="1083">
        <f t="shared" si="2"/>
        <v>3150</v>
      </c>
    </row>
    <row r="59" spans="1:14" s="336" customFormat="1" ht="56.25" customHeight="1">
      <c r="A59" s="786">
        <v>55</v>
      </c>
      <c r="B59" s="87" t="s">
        <v>1082</v>
      </c>
      <c r="C59" s="94">
        <v>4650</v>
      </c>
      <c r="D59" s="133" t="s">
        <v>226</v>
      </c>
      <c r="E59" s="133" t="s">
        <v>1198</v>
      </c>
      <c r="F59" s="91" t="s">
        <v>19</v>
      </c>
      <c r="G59" s="87" t="s">
        <v>172</v>
      </c>
      <c r="H59" s="93" t="s">
        <v>1199</v>
      </c>
      <c r="I59" s="1113"/>
      <c r="J59" s="115" t="s">
        <v>54</v>
      </c>
      <c r="K59" s="91" t="s">
        <v>153</v>
      </c>
      <c r="L59" s="1083">
        <f t="shared" si="2"/>
        <v>4650</v>
      </c>
    </row>
    <row r="60" spans="1:14" s="336" customFormat="1" ht="40.5" customHeight="1">
      <c r="A60" s="786">
        <v>56</v>
      </c>
      <c r="B60" s="1092" t="s">
        <v>1200</v>
      </c>
      <c r="C60" s="94">
        <v>3150</v>
      </c>
      <c r="D60" s="133" t="s">
        <v>226</v>
      </c>
      <c r="E60" s="133" t="s">
        <v>1201</v>
      </c>
      <c r="F60" s="91" t="s">
        <v>19</v>
      </c>
      <c r="G60" s="87" t="s">
        <v>101</v>
      </c>
      <c r="H60" s="93" t="s">
        <v>1202</v>
      </c>
      <c r="I60" s="1115" t="s">
        <v>905</v>
      </c>
      <c r="J60" s="115" t="s">
        <v>54</v>
      </c>
      <c r="K60" s="91" t="s">
        <v>153</v>
      </c>
      <c r="L60" s="1083">
        <f t="shared" si="2"/>
        <v>3150</v>
      </c>
    </row>
    <row r="61" spans="1:14" s="336" customFormat="1" ht="56.25">
      <c r="A61" s="786">
        <v>57</v>
      </c>
      <c r="B61" s="87" t="s">
        <v>1203</v>
      </c>
      <c r="C61" s="94">
        <v>3380</v>
      </c>
      <c r="D61" s="133" t="s">
        <v>226</v>
      </c>
      <c r="E61" s="133" t="s">
        <v>1204</v>
      </c>
      <c r="F61" s="91" t="s">
        <v>19</v>
      </c>
      <c r="G61" s="87" t="s">
        <v>172</v>
      </c>
      <c r="H61" s="93" t="s">
        <v>1205</v>
      </c>
      <c r="I61" s="1113"/>
      <c r="J61" s="115" t="s">
        <v>89</v>
      </c>
      <c r="K61" s="91" t="s">
        <v>153</v>
      </c>
      <c r="L61" s="1083">
        <f t="shared" si="2"/>
        <v>3380</v>
      </c>
    </row>
    <row r="62" spans="1:14" s="367" customFormat="1" ht="56.25">
      <c r="A62" s="786">
        <v>58</v>
      </c>
      <c r="B62" s="1092" t="s">
        <v>645</v>
      </c>
      <c r="C62" s="94">
        <v>5300</v>
      </c>
      <c r="D62" s="133" t="s">
        <v>353</v>
      </c>
      <c r="E62" s="1026" t="s">
        <v>1206</v>
      </c>
      <c r="F62" s="87" t="s">
        <v>19</v>
      </c>
      <c r="G62" s="129" t="s">
        <v>20</v>
      </c>
      <c r="H62" s="108" t="s">
        <v>1207</v>
      </c>
      <c r="I62" s="1101" t="s">
        <v>1208</v>
      </c>
      <c r="J62" s="115" t="s">
        <v>84</v>
      </c>
      <c r="K62" s="91" t="s">
        <v>153</v>
      </c>
      <c r="L62" s="1083">
        <f t="shared" si="2"/>
        <v>5300</v>
      </c>
      <c r="M62" s="336"/>
      <c r="N62" s="336"/>
    </row>
    <row r="63" spans="1:14">
      <c r="A63" s="359">
        <v>59</v>
      </c>
    </row>
    <row r="64" spans="1:14">
      <c r="A64" s="359">
        <v>60</v>
      </c>
    </row>
    <row r="65" spans="1:14" s="1" customFormat="1">
      <c r="A65" s="359">
        <v>61</v>
      </c>
      <c r="C65" s="803"/>
      <c r="D65" s="271"/>
      <c r="E65" s="271"/>
      <c r="H65" s="9"/>
      <c r="I65" s="9"/>
      <c r="L65" s="804"/>
      <c r="M65" s="3"/>
      <c r="N65" s="3"/>
    </row>
    <row r="66" spans="1:14" s="1" customFormat="1">
      <c r="A66" s="359">
        <v>62</v>
      </c>
      <c r="C66" s="803"/>
      <c r="D66" s="271"/>
      <c r="E66" s="271"/>
      <c r="H66" s="9"/>
      <c r="I66" s="9"/>
      <c r="L66" s="804"/>
      <c r="M66" s="3"/>
      <c r="N66" s="3"/>
    </row>
    <row r="67" spans="1:14" s="1" customFormat="1">
      <c r="A67" s="359">
        <v>63</v>
      </c>
      <c r="C67" s="803"/>
      <c r="D67" s="271"/>
      <c r="E67" s="271"/>
      <c r="H67" s="9"/>
      <c r="I67" s="9"/>
      <c r="L67" s="804"/>
      <c r="M67" s="3"/>
      <c r="N67" s="3"/>
    </row>
    <row r="68" spans="1:14" s="1" customFormat="1">
      <c r="A68" s="359">
        <v>64</v>
      </c>
      <c r="C68" s="803"/>
      <c r="D68" s="271"/>
      <c r="E68" s="271"/>
      <c r="H68" s="9"/>
      <c r="I68" s="9"/>
      <c r="L68" s="804"/>
      <c r="M68" s="3"/>
      <c r="N68" s="3"/>
    </row>
    <row r="69" spans="1:14" s="1112" customFormat="1" ht="56.25">
      <c r="A69" s="1103">
        <v>65</v>
      </c>
      <c r="B69" s="1104" t="s">
        <v>1209</v>
      </c>
      <c r="C69" s="1105" t="s">
        <v>675</v>
      </c>
      <c r="D69" s="1106" t="s">
        <v>1210</v>
      </c>
      <c r="E69" s="1106"/>
      <c r="F69" s="1107" t="s">
        <v>19</v>
      </c>
      <c r="G69" s="1104" t="s">
        <v>123</v>
      </c>
      <c r="H69" s="1108" t="s">
        <v>1211</v>
      </c>
      <c r="I69" s="1109"/>
      <c r="J69" s="1110" t="s">
        <v>84</v>
      </c>
      <c r="K69" s="1107" t="s">
        <v>153</v>
      </c>
      <c r="L69" s="1111" t="str">
        <f>C69</f>
        <v>HỦY</v>
      </c>
    </row>
    <row r="70" spans="1:14" s="1" customFormat="1">
      <c r="A70" s="738">
        <v>66</v>
      </c>
      <c r="B70" s="1075" t="s">
        <v>537</v>
      </c>
      <c r="C70" s="1003" t="s">
        <v>675</v>
      </c>
      <c r="D70" s="1077" t="s">
        <v>1212</v>
      </c>
      <c r="E70" s="1078"/>
      <c r="F70" s="102" t="s">
        <v>19</v>
      </c>
      <c r="G70" s="109" t="s">
        <v>172</v>
      </c>
      <c r="H70" s="1030"/>
      <c r="I70" s="1033">
        <f>4300-1400-1100</f>
        <v>1800</v>
      </c>
      <c r="J70" s="109" t="s">
        <v>84</v>
      </c>
      <c r="K70" s="112" t="s">
        <v>153</v>
      </c>
      <c r="L70" s="1036" t="str">
        <f>C70</f>
        <v>HỦY</v>
      </c>
      <c r="M70" s="3"/>
      <c r="N70" s="3"/>
    </row>
    <row r="71" spans="1:14" s="1" customFormat="1">
      <c r="A71" s="738">
        <v>67</v>
      </c>
      <c r="B71" s="1073" t="s">
        <v>1213</v>
      </c>
      <c r="C71" s="1003" t="s">
        <v>675</v>
      </c>
      <c r="D71" s="1077" t="s">
        <v>1212</v>
      </c>
      <c r="E71" s="1077" t="s">
        <v>1212</v>
      </c>
      <c r="F71" s="102" t="s">
        <v>19</v>
      </c>
      <c r="G71" s="109" t="s">
        <v>172</v>
      </c>
      <c r="H71" s="1030"/>
      <c r="I71" s="1033"/>
      <c r="J71" s="109" t="s">
        <v>89</v>
      </c>
      <c r="K71" s="102" t="s">
        <v>153</v>
      </c>
      <c r="L71" s="809" t="str">
        <f>C71</f>
        <v>HỦY</v>
      </c>
      <c r="M71" s="3"/>
      <c r="N71" s="3"/>
    </row>
    <row r="72" spans="1:14" s="1" customFormat="1">
      <c r="A72" s="359">
        <v>68</v>
      </c>
      <c r="C72" s="803"/>
      <c r="D72" s="271"/>
      <c r="E72" s="271"/>
      <c r="H72" s="9"/>
      <c r="I72" s="9"/>
      <c r="L72" s="804"/>
      <c r="M72" s="3"/>
      <c r="N72" s="3"/>
    </row>
    <row r="73" spans="1:14" s="1" customFormat="1">
      <c r="A73" s="359">
        <v>69</v>
      </c>
      <c r="C73" s="803"/>
      <c r="D73" s="271"/>
      <c r="E73" s="271"/>
      <c r="H73" s="9"/>
      <c r="I73" s="9"/>
      <c r="L73" s="804"/>
      <c r="M73" s="3"/>
      <c r="N73" s="3"/>
    </row>
    <row r="74" spans="1:14" s="1" customFormat="1">
      <c r="A74" s="359">
        <v>70</v>
      </c>
      <c r="C74" s="803"/>
      <c r="D74" s="271"/>
      <c r="E74" s="271"/>
      <c r="H74" s="9"/>
      <c r="I74" s="9"/>
      <c r="L74" s="804"/>
      <c r="M74" s="3"/>
      <c r="N74" s="3"/>
    </row>
  </sheetData>
  <autoFilter ref="A4:P76" xr:uid="{00000000-0009-0000-0000-000005000000}"/>
  <mergeCells count="3">
    <mergeCell ref="C1:I1"/>
    <mergeCell ref="A2:I2"/>
    <mergeCell ref="I3:J3"/>
  </mergeCells>
  <conditionalFormatting sqref="A1:A3">
    <cfRule type="duplicateValues" dxfId="804" priority="38"/>
  </conditionalFormatting>
  <conditionalFormatting sqref="A4">
    <cfRule type="duplicateValues" dxfId="803" priority="32"/>
  </conditionalFormatting>
  <conditionalFormatting sqref="A5">
    <cfRule type="duplicateValues" dxfId="802" priority="12"/>
  </conditionalFormatting>
  <conditionalFormatting sqref="A6">
    <cfRule type="duplicateValues" dxfId="801" priority="9"/>
  </conditionalFormatting>
  <conditionalFormatting sqref="A7">
    <cfRule type="duplicateValues" dxfId="800" priority="1029"/>
  </conditionalFormatting>
  <conditionalFormatting sqref="A8:A9 A11:A12">
    <cfRule type="duplicateValues" dxfId="799" priority="1032"/>
  </conditionalFormatting>
  <conditionalFormatting sqref="A10">
    <cfRule type="duplicateValues" dxfId="798" priority="1030"/>
  </conditionalFormatting>
  <conditionalFormatting sqref="A13">
    <cfRule type="duplicateValues" dxfId="797" priority="11"/>
  </conditionalFormatting>
  <conditionalFormatting sqref="A14 A17">
    <cfRule type="duplicateValues" dxfId="796" priority="10"/>
  </conditionalFormatting>
  <conditionalFormatting sqref="A15:A16 A18:A19 A21:A22 A25 A27:A29 A71">
    <cfRule type="duplicateValues" dxfId="795" priority="1042"/>
  </conditionalFormatting>
  <conditionalFormatting sqref="A20 A24">
    <cfRule type="duplicateValues" dxfId="794" priority="1052"/>
  </conditionalFormatting>
  <conditionalFormatting sqref="A23">
    <cfRule type="duplicateValues" dxfId="793" priority="1011"/>
  </conditionalFormatting>
  <conditionalFormatting sqref="A26">
    <cfRule type="duplicateValues" dxfId="792" priority="5"/>
  </conditionalFormatting>
  <conditionalFormatting sqref="A30 A41">
    <cfRule type="duplicateValues" dxfId="791" priority="1045"/>
  </conditionalFormatting>
  <conditionalFormatting sqref="A32:A33 A36">
    <cfRule type="duplicateValues" dxfId="790" priority="1046"/>
  </conditionalFormatting>
  <conditionalFormatting sqref="A34">
    <cfRule type="duplicateValues" dxfId="789" priority="3"/>
  </conditionalFormatting>
  <conditionalFormatting sqref="A35">
    <cfRule type="duplicateValues" dxfId="788" priority="4"/>
  </conditionalFormatting>
  <conditionalFormatting sqref="A37">
    <cfRule type="duplicateValues" dxfId="787" priority="1"/>
  </conditionalFormatting>
  <conditionalFormatting sqref="A38">
    <cfRule type="duplicateValues" dxfId="786" priority="2"/>
  </conditionalFormatting>
  <conditionalFormatting sqref="A70">
    <cfRule type="duplicateValues" dxfId="785" priority="6"/>
  </conditionalFormatting>
  <conditionalFormatting sqref="B3">
    <cfRule type="duplicateValues" dxfId="784" priority="33"/>
    <cfRule type="duplicateValues" dxfId="783" priority="34"/>
    <cfRule type="duplicateValues" dxfId="782" priority="35"/>
  </conditionalFormatting>
  <conditionalFormatting sqref="B4">
    <cfRule type="duplicateValues" dxfId="781" priority="29"/>
    <cfRule type="duplicateValues" dxfId="780" priority="30"/>
    <cfRule type="duplicateValues" dxfId="779" priority="31"/>
  </conditionalFormatting>
  <pageMargins left="0.7" right="0.7" top="0.75" bottom="0.75" header="0.3" footer="0.3"/>
  <pageSetup paperSize="9" scale="43" orientation="landscape"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filterMode="1">
    <pageSetUpPr fitToPage="1"/>
  </sheetPr>
  <dimension ref="A1:O84"/>
  <sheetViews>
    <sheetView topLeftCell="A2" zoomScale="70" zoomScaleNormal="70" workbookViewId="0">
      <pane xSplit="3" ySplit="3" topLeftCell="E5" activePane="bottomRight" state="frozen"/>
      <selection pane="topRight"/>
      <selection pane="bottomLeft"/>
      <selection pane="bottomRight"/>
    </sheetView>
  </sheetViews>
  <sheetFormatPr defaultColWidth="25.5703125" defaultRowHeight="18.75"/>
  <cols>
    <col min="1" max="1" width="7.140625" style="359" customWidth="1"/>
    <col min="2" max="2" width="26.85546875" style="1" customWidth="1"/>
    <col min="3" max="3" width="19.140625" style="803" customWidth="1"/>
    <col min="4" max="4" width="22" style="271" customWidth="1"/>
    <col min="5" max="5" width="16.28515625" style="271" customWidth="1"/>
    <col min="6" max="6" width="19.28515625" style="1" customWidth="1"/>
    <col min="7" max="7" width="24.42578125" style="1" customWidth="1"/>
    <col min="8" max="8" width="59.42578125" style="9" customWidth="1"/>
    <col min="9" max="9" width="49.140625" style="9" customWidth="1"/>
    <col min="10" max="11" width="25.5703125" style="1" customWidth="1"/>
    <col min="12" max="12" width="16.140625" style="1" customWidth="1"/>
    <col min="13" max="13" width="10.28515625" style="804" customWidth="1"/>
    <col min="14" max="14" width="25.5703125" style="3" customWidth="1"/>
    <col min="15" max="15" width="15.42578125" style="3" customWidth="1"/>
    <col min="16" max="16" width="34.5703125" style="3" customWidth="1"/>
    <col min="17" max="16384" width="25.5703125" style="3"/>
  </cols>
  <sheetData>
    <row r="1" spans="1:15" ht="17.25" customHeight="1">
      <c r="B1" s="10"/>
      <c r="C1" s="3624"/>
      <c r="D1" s="3624"/>
      <c r="E1" s="3624"/>
      <c r="F1" s="3624"/>
      <c r="G1" s="3624"/>
      <c r="H1" s="3624"/>
      <c r="I1" s="3624"/>
    </row>
    <row r="2" spans="1:15" ht="16.5" customHeight="1">
      <c r="A2" s="3637" t="s">
        <v>1214</v>
      </c>
      <c r="B2" s="3637"/>
      <c r="C2" s="3637"/>
      <c r="D2" s="3637"/>
      <c r="E2" s="3637"/>
      <c r="F2" s="3637"/>
      <c r="G2" s="3637"/>
      <c r="H2" s="3637"/>
      <c r="I2" s="3637"/>
      <c r="J2" s="194"/>
      <c r="K2" s="194"/>
      <c r="L2" s="195"/>
      <c r="M2" s="805"/>
      <c r="N2" s="196"/>
      <c r="O2" s="197"/>
    </row>
    <row r="3" spans="1:15" ht="13.5" customHeight="1">
      <c r="A3" s="360"/>
      <c r="B3" s="385"/>
      <c r="C3" s="806">
        <f>SUBTOTAL(9,C5:C85)</f>
        <v>272368</v>
      </c>
      <c r="D3" s="378"/>
      <c r="E3" s="849"/>
      <c r="F3" s="201"/>
      <c r="G3" s="199"/>
      <c r="H3" s="202"/>
      <c r="I3" s="3639">
        <f ca="1">TODAY()</f>
        <v>45960</v>
      </c>
      <c r="J3" s="3639"/>
      <c r="K3" s="807"/>
      <c r="L3" s="807"/>
      <c r="M3" s="808"/>
      <c r="N3" s="197"/>
      <c r="O3" s="197"/>
    </row>
    <row r="4" spans="1:15" s="7" customFormat="1" ht="48" customHeight="1">
      <c r="A4" s="810" t="s">
        <v>1</v>
      </c>
      <c r="B4" s="679" t="s">
        <v>339</v>
      </c>
      <c r="C4" s="811" t="s">
        <v>3</v>
      </c>
      <c r="D4" s="679" t="s">
        <v>4</v>
      </c>
      <c r="E4" s="679" t="s">
        <v>6</v>
      </c>
      <c r="F4" s="679" t="s">
        <v>8</v>
      </c>
      <c r="G4" s="679" t="s">
        <v>9</v>
      </c>
      <c r="H4" s="812" t="s">
        <v>10</v>
      </c>
      <c r="I4" s="679" t="s">
        <v>11</v>
      </c>
      <c r="J4" s="679" t="s">
        <v>5</v>
      </c>
      <c r="K4" s="679" t="s">
        <v>1053</v>
      </c>
      <c r="L4" s="679" t="s">
        <v>1215</v>
      </c>
      <c r="M4" s="813" t="s">
        <v>340</v>
      </c>
      <c r="N4" s="753" t="s">
        <v>341</v>
      </c>
      <c r="O4" s="754">
        <f>SUM(O5:O12)</f>
        <v>272368</v>
      </c>
    </row>
    <row r="5" spans="1:15" s="434" customFormat="1" ht="25.5" customHeight="1">
      <c r="A5" s="699" cm="1">
        <f t="array" ref="A5:A74">_xlfn.SEQUENCE(70,1,1,)</f>
        <v>1</v>
      </c>
      <c r="B5" s="87" t="s">
        <v>636</v>
      </c>
      <c r="C5" s="88">
        <v>2950</v>
      </c>
      <c r="D5" s="393" t="s">
        <v>1216</v>
      </c>
      <c r="E5" s="133" t="s">
        <v>226</v>
      </c>
      <c r="F5" s="87" t="s">
        <v>19</v>
      </c>
      <c r="G5" s="87" t="s">
        <v>172</v>
      </c>
      <c r="H5" s="147" t="s">
        <v>1217</v>
      </c>
      <c r="I5" s="979"/>
      <c r="J5" s="87" t="s">
        <v>54</v>
      </c>
      <c r="K5" s="87" t="s">
        <v>483</v>
      </c>
      <c r="L5" s="390"/>
      <c r="M5" s="335">
        <f t="shared" ref="M5:M36" si="0">C5</f>
        <v>2950</v>
      </c>
      <c r="N5" s="998" t="s">
        <v>43</v>
      </c>
      <c r="O5" s="758">
        <f t="shared" ref="O5:O10" si="1">SUMIF($J:$J,N5,M:M)</f>
        <v>49400</v>
      </c>
    </row>
    <row r="6" spans="1:15" ht="37.5">
      <c r="A6" s="786">
        <v>2</v>
      </c>
      <c r="B6" s="91" t="s">
        <v>1218</v>
      </c>
      <c r="C6" s="982">
        <v>2660</v>
      </c>
      <c r="D6" s="980" t="s">
        <v>1219</v>
      </c>
      <c r="E6" s="380" t="s">
        <v>226</v>
      </c>
      <c r="F6" s="91" t="s">
        <v>19</v>
      </c>
      <c r="G6" s="91" t="s">
        <v>172</v>
      </c>
      <c r="H6" s="1013" t="s">
        <v>1220</v>
      </c>
      <c r="I6" s="926"/>
      <c r="J6" s="87" t="s">
        <v>84</v>
      </c>
      <c r="K6" s="87" t="s">
        <v>84</v>
      </c>
      <c r="L6" s="129"/>
      <c r="M6" s="335">
        <f t="shared" si="0"/>
        <v>2660</v>
      </c>
      <c r="N6" s="998" t="s">
        <v>84</v>
      </c>
      <c r="O6" s="758">
        <f t="shared" si="1"/>
        <v>92010</v>
      </c>
    </row>
    <row r="7" spans="1:15" ht="57.75" customHeight="1">
      <c r="A7" s="971">
        <v>3</v>
      </c>
      <c r="B7" s="87" t="s">
        <v>1221</v>
      </c>
      <c r="C7" s="94">
        <v>4650</v>
      </c>
      <c r="D7" s="393" t="s">
        <v>1219</v>
      </c>
      <c r="E7" s="133" t="s">
        <v>226</v>
      </c>
      <c r="F7" s="87" t="s">
        <v>19</v>
      </c>
      <c r="G7" s="87" t="s">
        <v>172</v>
      </c>
      <c r="H7" s="290" t="s">
        <v>1222</v>
      </c>
      <c r="I7" s="694"/>
      <c r="J7" s="380" t="s">
        <v>16</v>
      </c>
      <c r="K7" s="91" t="s">
        <v>16</v>
      </c>
      <c r="L7" s="349"/>
      <c r="M7" s="335">
        <f t="shared" si="0"/>
        <v>4650</v>
      </c>
      <c r="N7" s="999" t="s">
        <v>89</v>
      </c>
      <c r="O7" s="758">
        <f t="shared" si="1"/>
        <v>65118</v>
      </c>
    </row>
    <row r="8" spans="1:15" s="434" customFormat="1" ht="37.5">
      <c r="A8" s="736">
        <v>4</v>
      </c>
      <c r="B8" s="87" t="s">
        <v>1101</v>
      </c>
      <c r="C8" s="94">
        <v>4350</v>
      </c>
      <c r="D8" s="393" t="s">
        <v>1216</v>
      </c>
      <c r="E8" s="133" t="s">
        <v>226</v>
      </c>
      <c r="F8" s="87" t="s">
        <v>19</v>
      </c>
      <c r="G8" s="87" t="s">
        <v>172</v>
      </c>
      <c r="H8" s="155" t="s">
        <v>1223</v>
      </c>
      <c r="I8" s="981"/>
      <c r="J8" s="87" t="s">
        <v>84</v>
      </c>
      <c r="K8" s="87" t="s">
        <v>84</v>
      </c>
      <c r="L8" s="390"/>
      <c r="M8" s="335">
        <f t="shared" si="0"/>
        <v>4350</v>
      </c>
      <c r="N8" s="1000" t="s">
        <v>54</v>
      </c>
      <c r="O8" s="758">
        <f t="shared" si="1"/>
        <v>9800</v>
      </c>
    </row>
    <row r="9" spans="1:15" ht="25.5" customHeight="1">
      <c r="A9" s="786">
        <v>5</v>
      </c>
      <c r="B9" s="113" t="s">
        <v>1224</v>
      </c>
      <c r="C9" s="114">
        <v>2200</v>
      </c>
      <c r="D9" s="925" t="s">
        <v>1216</v>
      </c>
      <c r="E9" s="384" t="s">
        <v>226</v>
      </c>
      <c r="F9" s="113" t="s">
        <v>19</v>
      </c>
      <c r="G9" s="113" t="s">
        <v>172</v>
      </c>
      <c r="H9" s="692" t="s">
        <v>1217</v>
      </c>
      <c r="I9" s="914"/>
      <c r="J9" s="87" t="s">
        <v>54</v>
      </c>
      <c r="K9" s="87" t="s">
        <v>483</v>
      </c>
      <c r="L9" s="349"/>
      <c r="M9" s="335">
        <f t="shared" si="0"/>
        <v>2200</v>
      </c>
      <c r="N9" s="1001" t="s">
        <v>514</v>
      </c>
      <c r="O9" s="758">
        <f t="shared" si="1"/>
        <v>0</v>
      </c>
    </row>
    <row r="10" spans="1:15" ht="56.25">
      <c r="A10" s="786">
        <v>6</v>
      </c>
      <c r="B10" s="87" t="s">
        <v>914</v>
      </c>
      <c r="C10" s="186">
        <v>3550</v>
      </c>
      <c r="D10" s="393" t="s">
        <v>1216</v>
      </c>
      <c r="E10" s="133" t="s">
        <v>226</v>
      </c>
      <c r="F10" s="87" t="s">
        <v>19</v>
      </c>
      <c r="G10" s="87" t="s">
        <v>172</v>
      </c>
      <c r="H10" s="93" t="s">
        <v>1225</v>
      </c>
      <c r="I10" s="388"/>
      <c r="J10" s="133" t="s">
        <v>89</v>
      </c>
      <c r="K10" s="87" t="s">
        <v>89</v>
      </c>
      <c r="L10" s="349"/>
      <c r="M10" s="335">
        <f t="shared" si="0"/>
        <v>3550</v>
      </c>
      <c r="N10" s="998" t="s">
        <v>16</v>
      </c>
      <c r="O10" s="758">
        <f t="shared" si="1"/>
        <v>56040</v>
      </c>
    </row>
    <row r="11" spans="1:15">
      <c r="A11" s="856">
        <v>7</v>
      </c>
      <c r="B11" s="818" t="s">
        <v>1226</v>
      </c>
      <c r="C11" s="973" t="s">
        <v>1227</v>
      </c>
      <c r="D11" s="974" t="s">
        <v>1216</v>
      </c>
      <c r="E11" s="975"/>
      <c r="F11" s="386" t="s">
        <v>19</v>
      </c>
      <c r="G11" s="976" t="s">
        <v>172</v>
      </c>
      <c r="H11" s="977" t="s">
        <v>1228</v>
      </c>
      <c r="I11" s="978"/>
      <c r="J11" s="354" t="s">
        <v>84</v>
      </c>
      <c r="K11" s="354" t="s">
        <v>84</v>
      </c>
      <c r="L11" s="352"/>
      <c r="M11" s="335" t="str">
        <f t="shared" si="0"/>
        <v>PHÔI</v>
      </c>
    </row>
    <row r="12" spans="1:15" ht="58.5" customHeight="1">
      <c r="A12" s="786">
        <v>8</v>
      </c>
      <c r="B12" s="87" t="s">
        <v>1147</v>
      </c>
      <c r="C12" s="94">
        <v>5250</v>
      </c>
      <c r="D12" s="393" t="s">
        <v>1229</v>
      </c>
      <c r="E12" s="133" t="s">
        <v>226</v>
      </c>
      <c r="F12" s="87" t="s">
        <v>19</v>
      </c>
      <c r="G12" s="87" t="s">
        <v>1230</v>
      </c>
      <c r="H12" s="290" t="s">
        <v>1231</v>
      </c>
      <c r="I12" s="140" t="s">
        <v>1232</v>
      </c>
      <c r="J12" s="133" t="s">
        <v>16</v>
      </c>
      <c r="K12" s="87" t="s">
        <v>16</v>
      </c>
      <c r="L12" s="349"/>
      <c r="M12" s="335">
        <f t="shared" si="0"/>
        <v>5250</v>
      </c>
    </row>
    <row r="13" spans="1:15" ht="55.5" customHeight="1">
      <c r="A13" s="789">
        <v>9</v>
      </c>
      <c r="B13" s="816" t="s">
        <v>71</v>
      </c>
      <c r="C13" s="114">
        <v>3750</v>
      </c>
      <c r="D13" s="925" t="s">
        <v>1233</v>
      </c>
      <c r="E13" s="384" t="s">
        <v>226</v>
      </c>
      <c r="F13" s="113" t="s">
        <v>19</v>
      </c>
      <c r="G13" s="117" t="s">
        <v>172</v>
      </c>
      <c r="H13" s="290" t="s">
        <v>1234</v>
      </c>
      <c r="I13" s="936" t="s">
        <v>1235</v>
      </c>
      <c r="J13" s="133" t="s">
        <v>84</v>
      </c>
      <c r="K13" s="87" t="s">
        <v>84</v>
      </c>
      <c r="L13" s="129"/>
      <c r="M13" s="335">
        <f t="shared" si="0"/>
        <v>3750</v>
      </c>
    </row>
    <row r="14" spans="1:15" ht="71.25" customHeight="1">
      <c r="A14" s="789">
        <v>10</v>
      </c>
      <c r="B14" s="113" t="s">
        <v>1236</v>
      </c>
      <c r="C14" s="114">
        <v>4000</v>
      </c>
      <c r="D14" s="925" t="s">
        <v>1237</v>
      </c>
      <c r="E14" s="384" t="s">
        <v>226</v>
      </c>
      <c r="F14" s="113" t="s">
        <v>19</v>
      </c>
      <c r="G14" s="113" t="s">
        <v>1238</v>
      </c>
      <c r="H14" s="690" t="s">
        <v>1239</v>
      </c>
      <c r="I14" s="984" t="s">
        <v>1240</v>
      </c>
      <c r="J14" s="350" t="s">
        <v>16</v>
      </c>
      <c r="K14" s="113" t="s">
        <v>16</v>
      </c>
      <c r="L14" s="133"/>
      <c r="M14" s="335">
        <f t="shared" si="0"/>
        <v>4000</v>
      </c>
    </row>
    <row r="15" spans="1:15" ht="55.5" customHeight="1">
      <c r="A15" s="789">
        <v>11</v>
      </c>
      <c r="B15" s="816" t="s">
        <v>589</v>
      </c>
      <c r="C15" s="114">
        <v>3900</v>
      </c>
      <c r="D15" s="925" t="s">
        <v>1233</v>
      </c>
      <c r="E15" s="384" t="s">
        <v>226</v>
      </c>
      <c r="F15" s="113" t="s">
        <v>19</v>
      </c>
      <c r="G15" s="117" t="s">
        <v>172</v>
      </c>
      <c r="H15" s="108" t="s">
        <v>1241</v>
      </c>
      <c r="I15" s="936"/>
      <c r="J15" s="133" t="s">
        <v>43</v>
      </c>
      <c r="K15" s="87" t="s">
        <v>483</v>
      </c>
      <c r="L15" s="129"/>
      <c r="M15" s="335">
        <f t="shared" si="0"/>
        <v>3900</v>
      </c>
      <c r="N15" s="434"/>
      <c r="O15" s="434"/>
    </row>
    <row r="16" spans="1:15">
      <c r="A16" s="985">
        <v>12</v>
      </c>
      <c r="B16" s="1027" t="s">
        <v>1242</v>
      </c>
      <c r="C16" s="992" t="s">
        <v>1243</v>
      </c>
      <c r="D16" s="986" t="s">
        <v>1244</v>
      </c>
      <c r="E16" s="987"/>
      <c r="F16" s="742" t="s">
        <v>19</v>
      </c>
      <c r="G16" s="988" t="s">
        <v>172</v>
      </c>
      <c r="H16" s="991"/>
      <c r="I16" s="989"/>
      <c r="J16" s="990" t="s">
        <v>89</v>
      </c>
      <c r="K16" s="372" t="s">
        <v>89</v>
      </c>
      <c r="L16" s="369"/>
      <c r="M16" s="335" t="str">
        <f t="shared" si="0"/>
        <v>Hủy vì cảng vụ k cho xếp</v>
      </c>
    </row>
    <row r="17" spans="1:15" s="434" customFormat="1" ht="210.75" customHeight="1">
      <c r="A17" s="904">
        <v>13</v>
      </c>
      <c r="B17" s="816" t="s">
        <v>697</v>
      </c>
      <c r="C17" s="688">
        <v>16000</v>
      </c>
      <c r="D17" s="689" t="s">
        <v>1245</v>
      </c>
      <c r="E17" s="993" t="s">
        <v>226</v>
      </c>
      <c r="F17" s="182" t="s">
        <v>19</v>
      </c>
      <c r="G17" s="994" t="s">
        <v>63</v>
      </c>
      <c r="H17" s="155" t="s">
        <v>1246</v>
      </c>
      <c r="I17" s="995">
        <f>500+2700+5000+2400+500+1700+1000+400+1000+800</f>
        <v>16000</v>
      </c>
      <c r="J17" s="388" t="s">
        <v>43</v>
      </c>
      <c r="K17" s="177" t="s">
        <v>16</v>
      </c>
      <c r="L17" s="181"/>
      <c r="M17" s="335">
        <f t="shared" si="0"/>
        <v>16000</v>
      </c>
      <c r="N17" s="3"/>
      <c r="O17" s="3"/>
    </row>
    <row r="18" spans="1:15" ht="55.5" customHeight="1">
      <c r="A18" s="786">
        <v>14</v>
      </c>
      <c r="B18" s="125" t="s">
        <v>1247</v>
      </c>
      <c r="C18" s="114">
        <v>4200</v>
      </c>
      <c r="D18" s="393" t="s">
        <v>1216</v>
      </c>
      <c r="E18" s="384" t="s">
        <v>226</v>
      </c>
      <c r="F18" s="113" t="s">
        <v>19</v>
      </c>
      <c r="G18" s="117" t="s">
        <v>172</v>
      </c>
      <c r="H18" s="996" t="s">
        <v>1248</v>
      </c>
      <c r="I18" s="936" t="s">
        <v>1249</v>
      </c>
      <c r="J18" s="133" t="s">
        <v>89</v>
      </c>
      <c r="K18" s="87" t="s">
        <v>89</v>
      </c>
      <c r="L18" s="129"/>
      <c r="M18" s="335">
        <f t="shared" si="0"/>
        <v>4200</v>
      </c>
    </row>
    <row r="19" spans="1:15" ht="74.25" customHeight="1">
      <c r="A19" s="789">
        <v>15</v>
      </c>
      <c r="B19" s="816" t="s">
        <v>1250</v>
      </c>
      <c r="C19" s="114">
        <v>3090</v>
      </c>
      <c r="D19" s="925" t="s">
        <v>1251</v>
      </c>
      <c r="E19" s="384" t="s">
        <v>226</v>
      </c>
      <c r="F19" s="113" t="s">
        <v>19</v>
      </c>
      <c r="G19" s="117" t="s">
        <v>172</v>
      </c>
      <c r="H19" s="290" t="s">
        <v>1252</v>
      </c>
      <c r="I19" s="936"/>
      <c r="J19" s="133" t="s">
        <v>16</v>
      </c>
      <c r="K19" s="87" t="s">
        <v>16</v>
      </c>
      <c r="L19" s="129"/>
      <c r="M19" s="335">
        <f t="shared" si="0"/>
        <v>3090</v>
      </c>
    </row>
    <row r="20" spans="1:15" ht="47.25" customHeight="1">
      <c r="A20" s="789">
        <v>16</v>
      </c>
      <c r="B20" s="816" t="s">
        <v>1253</v>
      </c>
      <c r="C20" s="114">
        <v>3000</v>
      </c>
      <c r="D20" s="925"/>
      <c r="E20" s="384" t="s">
        <v>226</v>
      </c>
      <c r="F20" s="113" t="s">
        <v>19</v>
      </c>
      <c r="G20" s="117" t="s">
        <v>172</v>
      </c>
      <c r="H20" s="290" t="s">
        <v>1254</v>
      </c>
      <c r="I20" s="995"/>
      <c r="J20" s="133" t="s">
        <v>84</v>
      </c>
      <c r="K20" s="87" t="s">
        <v>84</v>
      </c>
      <c r="L20" s="129"/>
      <c r="M20" s="335">
        <f t="shared" si="0"/>
        <v>3000</v>
      </c>
    </row>
    <row r="21" spans="1:15" ht="47.25" customHeight="1">
      <c r="A21" s="789">
        <v>17</v>
      </c>
      <c r="B21" s="816" t="s">
        <v>1255</v>
      </c>
      <c r="C21" s="114">
        <v>4000</v>
      </c>
      <c r="D21" s="925" t="s">
        <v>1244</v>
      </c>
      <c r="E21" s="384" t="s">
        <v>226</v>
      </c>
      <c r="F21" s="113" t="s">
        <v>19</v>
      </c>
      <c r="G21" s="117" t="s">
        <v>467</v>
      </c>
      <c r="H21" s="290" t="s">
        <v>1256</v>
      </c>
      <c r="I21" s="997" t="s">
        <v>1257</v>
      </c>
      <c r="J21" s="133" t="s">
        <v>84</v>
      </c>
      <c r="K21" s="87" t="s">
        <v>84</v>
      </c>
      <c r="L21" s="129"/>
      <c r="M21" s="335">
        <f t="shared" si="0"/>
        <v>4000</v>
      </c>
    </row>
    <row r="22" spans="1:15" s="336" customFormat="1" ht="54.75" customHeight="1">
      <c r="A22" s="789">
        <v>18</v>
      </c>
      <c r="B22" s="816" t="s">
        <v>1213</v>
      </c>
      <c r="C22" s="114">
        <v>4450</v>
      </c>
      <c r="D22" s="925" t="s">
        <v>1258</v>
      </c>
      <c r="E22" s="384" t="s">
        <v>226</v>
      </c>
      <c r="F22" s="113" t="s">
        <v>19</v>
      </c>
      <c r="G22" s="1002" t="s">
        <v>1259</v>
      </c>
      <c r="H22" s="1004" t="s">
        <v>1260</v>
      </c>
      <c r="I22" s="995"/>
      <c r="J22" s="133" t="s">
        <v>89</v>
      </c>
      <c r="K22" s="87" t="s">
        <v>89</v>
      </c>
      <c r="L22" s="129"/>
      <c r="M22" s="335">
        <f t="shared" si="0"/>
        <v>4450</v>
      </c>
    </row>
    <row r="23" spans="1:15" s="336" customFormat="1" ht="54.75" customHeight="1">
      <c r="A23" s="789">
        <v>19</v>
      </c>
      <c r="B23" s="816" t="s">
        <v>1261</v>
      </c>
      <c r="C23" s="114">
        <v>4800</v>
      </c>
      <c r="D23" s="925" t="s">
        <v>1258</v>
      </c>
      <c r="E23" s="384" t="s">
        <v>226</v>
      </c>
      <c r="F23" s="113" t="s">
        <v>19</v>
      </c>
      <c r="G23" s="343" t="s">
        <v>467</v>
      </c>
      <c r="H23" s="996" t="s">
        <v>1262</v>
      </c>
      <c r="I23" s="995"/>
      <c r="J23" s="133" t="s">
        <v>89</v>
      </c>
      <c r="K23" s="87" t="s">
        <v>89</v>
      </c>
      <c r="L23" s="129"/>
      <c r="M23" s="335">
        <f t="shared" si="0"/>
        <v>4800</v>
      </c>
    </row>
    <row r="24" spans="1:15" s="336" customFormat="1" ht="84.75" customHeight="1">
      <c r="A24" s="789">
        <v>20</v>
      </c>
      <c r="B24" s="816" t="s">
        <v>526</v>
      </c>
      <c r="C24" s="688">
        <v>3400</v>
      </c>
      <c r="D24" s="925" t="s">
        <v>1263</v>
      </c>
      <c r="E24" s="384" t="s">
        <v>226</v>
      </c>
      <c r="F24" s="117" t="s">
        <v>19</v>
      </c>
      <c r="G24" s="87" t="s">
        <v>1264</v>
      </c>
      <c r="H24" s="825" t="s">
        <v>1265</v>
      </c>
      <c r="I24" s="936" t="s">
        <v>1266</v>
      </c>
      <c r="J24" s="133" t="s">
        <v>43</v>
      </c>
      <c r="K24" s="133" t="s">
        <v>483</v>
      </c>
      <c r="L24" s="129"/>
      <c r="M24" s="335">
        <f t="shared" si="0"/>
        <v>3400</v>
      </c>
    </row>
    <row r="25" spans="1:15" s="336" customFormat="1" ht="54" customHeight="1">
      <c r="A25" s="789">
        <v>21</v>
      </c>
      <c r="B25" s="1028" t="s">
        <v>552</v>
      </c>
      <c r="C25" s="114">
        <v>3260</v>
      </c>
      <c r="D25" s="925" t="s">
        <v>1263</v>
      </c>
      <c r="E25" s="384" t="s">
        <v>226</v>
      </c>
      <c r="F25" s="117" t="s">
        <v>19</v>
      </c>
      <c r="G25" s="113" t="s">
        <v>517</v>
      </c>
      <c r="H25" s="690" t="s">
        <v>1267</v>
      </c>
      <c r="I25" s="936"/>
      <c r="J25" s="133" t="s">
        <v>89</v>
      </c>
      <c r="K25" s="87" t="s">
        <v>89</v>
      </c>
      <c r="L25" s="129"/>
      <c r="M25" s="335">
        <f t="shared" si="0"/>
        <v>3260</v>
      </c>
    </row>
    <row r="26" spans="1:15" s="336" customFormat="1" ht="94.5" customHeight="1">
      <c r="A26" s="789">
        <v>22</v>
      </c>
      <c r="B26" s="1028" t="s">
        <v>1268</v>
      </c>
      <c r="C26" s="114">
        <v>2870</v>
      </c>
      <c r="D26" s="925" t="s">
        <v>1263</v>
      </c>
      <c r="E26" s="384" t="s">
        <v>226</v>
      </c>
      <c r="F26" s="113" t="s">
        <v>19</v>
      </c>
      <c r="G26" s="117" t="s">
        <v>172</v>
      </c>
      <c r="H26" s="690" t="s">
        <v>1269</v>
      </c>
      <c r="I26" s="936">
        <f>2870-440-570</f>
        <v>1860</v>
      </c>
      <c r="J26" s="133" t="s">
        <v>89</v>
      </c>
      <c r="K26" s="133" t="s">
        <v>89</v>
      </c>
      <c r="L26" s="129"/>
      <c r="M26" s="335">
        <f t="shared" si="0"/>
        <v>2870</v>
      </c>
    </row>
    <row r="27" spans="1:15" s="336" customFormat="1" ht="54.75" customHeight="1">
      <c r="A27" s="789">
        <v>23</v>
      </c>
      <c r="B27" s="1028" t="s">
        <v>1270</v>
      </c>
      <c r="C27" s="114">
        <v>7200</v>
      </c>
      <c r="D27" s="925" t="s">
        <v>1244</v>
      </c>
      <c r="E27" s="384" t="s">
        <v>226</v>
      </c>
      <c r="F27" s="113" t="s">
        <v>19</v>
      </c>
      <c r="G27" s="117" t="s">
        <v>172</v>
      </c>
      <c r="H27" s="690" t="s">
        <v>1271</v>
      </c>
      <c r="I27" s="995"/>
      <c r="J27" s="133" t="s">
        <v>89</v>
      </c>
      <c r="K27" s="87" t="s">
        <v>89</v>
      </c>
      <c r="L27" s="129"/>
      <c r="M27" s="335">
        <f t="shared" si="0"/>
        <v>7200</v>
      </c>
    </row>
    <row r="28" spans="1:15" s="336" customFormat="1" ht="42" customHeight="1">
      <c r="A28" s="789">
        <v>24</v>
      </c>
      <c r="B28" s="1028" t="s">
        <v>1082</v>
      </c>
      <c r="C28" s="114">
        <v>4700</v>
      </c>
      <c r="D28" s="925" t="s">
        <v>1272</v>
      </c>
      <c r="E28" s="384" t="s">
        <v>226</v>
      </c>
      <c r="F28" s="113" t="s">
        <v>19</v>
      </c>
      <c r="G28" s="117" t="s">
        <v>172</v>
      </c>
      <c r="H28" s="690" t="s">
        <v>1273</v>
      </c>
      <c r="I28" s="936"/>
      <c r="J28" s="133" t="s">
        <v>84</v>
      </c>
      <c r="K28" s="87" t="s">
        <v>84</v>
      </c>
      <c r="L28" s="129"/>
      <c r="M28" s="335">
        <f t="shared" si="0"/>
        <v>4700</v>
      </c>
    </row>
    <row r="29" spans="1:15" s="336" customFormat="1" ht="56.25">
      <c r="A29" s="1005">
        <v>25</v>
      </c>
      <c r="B29" s="704" t="s">
        <v>559</v>
      </c>
      <c r="C29" s="337">
        <v>3250</v>
      </c>
      <c r="D29" s="1006" t="s">
        <v>1274</v>
      </c>
      <c r="E29" s="384" t="s">
        <v>226</v>
      </c>
      <c r="F29" s="130" t="s">
        <v>19</v>
      </c>
      <c r="G29" s="343" t="s">
        <v>1264</v>
      </c>
      <c r="H29" s="996" t="s">
        <v>1275</v>
      </c>
      <c r="I29" s="694"/>
      <c r="J29" s="380" t="s">
        <v>84</v>
      </c>
      <c r="K29" s="91" t="s">
        <v>84</v>
      </c>
      <c r="L29" s="129"/>
      <c r="M29" s="335">
        <f t="shared" si="0"/>
        <v>3250</v>
      </c>
    </row>
    <row r="30" spans="1:15" s="336" customFormat="1" ht="56.25">
      <c r="A30" s="786">
        <v>26</v>
      </c>
      <c r="B30" s="177" t="s">
        <v>668</v>
      </c>
      <c r="C30" s="94">
        <v>5500</v>
      </c>
      <c r="D30" s="393" t="s">
        <v>1276</v>
      </c>
      <c r="E30" s="133" t="s">
        <v>226</v>
      </c>
      <c r="F30" s="87" t="s">
        <v>19</v>
      </c>
      <c r="G30" s="87" t="s">
        <v>172</v>
      </c>
      <c r="H30" s="188" t="s">
        <v>1277</v>
      </c>
      <c r="I30" s="388">
        <f>5500-1300-1900</f>
        <v>2300</v>
      </c>
      <c r="J30" s="133" t="s">
        <v>16</v>
      </c>
      <c r="K30" s="87" t="s">
        <v>16</v>
      </c>
      <c r="L30" s="129"/>
      <c r="M30" s="335">
        <f t="shared" si="0"/>
        <v>5500</v>
      </c>
    </row>
    <row r="31" spans="1:15" s="336" customFormat="1" ht="37.5" customHeight="1">
      <c r="A31" s="786">
        <v>27</v>
      </c>
      <c r="B31" s="177" t="s">
        <v>1278</v>
      </c>
      <c r="C31" s="94">
        <v>4250</v>
      </c>
      <c r="D31" s="393" t="s">
        <v>1279</v>
      </c>
      <c r="E31" s="133" t="s">
        <v>226</v>
      </c>
      <c r="F31" s="87" t="s">
        <v>19</v>
      </c>
      <c r="G31" s="87" t="s">
        <v>172</v>
      </c>
      <c r="H31" s="155" t="s">
        <v>1280</v>
      </c>
      <c r="I31" s="388"/>
      <c r="J31" s="133" t="s">
        <v>16</v>
      </c>
      <c r="K31" s="87" t="s">
        <v>16</v>
      </c>
      <c r="L31" s="129"/>
      <c r="M31" s="335">
        <f t="shared" si="0"/>
        <v>4250</v>
      </c>
    </row>
    <row r="32" spans="1:15" s="336" customFormat="1" ht="47.25" customHeight="1">
      <c r="A32" s="786">
        <v>28</v>
      </c>
      <c r="B32" s="177" t="s">
        <v>970</v>
      </c>
      <c r="C32" s="94">
        <v>6300</v>
      </c>
      <c r="D32" s="393" t="s">
        <v>1281</v>
      </c>
      <c r="E32" s="133" t="s">
        <v>226</v>
      </c>
      <c r="F32" s="87" t="s">
        <v>19</v>
      </c>
      <c r="G32" s="87" t="s">
        <v>1282</v>
      </c>
      <c r="H32" s="155" t="s">
        <v>1283</v>
      </c>
      <c r="I32" s="388"/>
      <c r="J32" s="133" t="s">
        <v>84</v>
      </c>
      <c r="K32" s="87" t="s">
        <v>1284</v>
      </c>
      <c r="L32" s="129"/>
      <c r="M32" s="335">
        <f t="shared" si="0"/>
        <v>6300</v>
      </c>
    </row>
    <row r="33" spans="1:13" s="336" customFormat="1" ht="89.25" customHeight="1">
      <c r="A33" s="797">
        <v>29</v>
      </c>
      <c r="B33" s="180" t="s">
        <v>950</v>
      </c>
      <c r="C33" s="120">
        <v>5600</v>
      </c>
      <c r="D33" s="980" t="s">
        <v>1276</v>
      </c>
      <c r="E33" s="380" t="s">
        <v>226</v>
      </c>
      <c r="F33" s="91" t="s">
        <v>19</v>
      </c>
      <c r="G33" s="91" t="s">
        <v>172</v>
      </c>
      <c r="H33" s="703" t="s">
        <v>1285</v>
      </c>
      <c r="I33" s="122">
        <f>1900+200+374+3000</f>
        <v>5474</v>
      </c>
      <c r="J33" s="133" t="s">
        <v>84</v>
      </c>
      <c r="K33" s="87" t="s">
        <v>84</v>
      </c>
      <c r="L33" s="129"/>
      <c r="M33" s="335">
        <f t="shared" si="0"/>
        <v>5600</v>
      </c>
    </row>
    <row r="34" spans="1:13" s="336" customFormat="1" ht="66.75" customHeight="1">
      <c r="A34" s="786">
        <v>30</v>
      </c>
      <c r="B34" s="177" t="s">
        <v>1286</v>
      </c>
      <c r="C34" s="94">
        <v>4050</v>
      </c>
      <c r="D34" s="393" t="s">
        <v>1287</v>
      </c>
      <c r="E34" s="133" t="s">
        <v>226</v>
      </c>
      <c r="F34" s="87" t="s">
        <v>19</v>
      </c>
      <c r="G34" s="87" t="s">
        <v>1238</v>
      </c>
      <c r="H34" s="290" t="s">
        <v>1288</v>
      </c>
      <c r="I34" s="119"/>
      <c r="J34" s="350" t="s">
        <v>89</v>
      </c>
      <c r="K34" s="113" t="s">
        <v>89</v>
      </c>
      <c r="L34" s="129"/>
      <c r="M34" s="335">
        <f t="shared" si="0"/>
        <v>4050</v>
      </c>
    </row>
    <row r="35" spans="1:13" s="336" customFormat="1" ht="53.25" customHeight="1">
      <c r="A35" s="789">
        <v>31</v>
      </c>
      <c r="B35" s="816" t="s">
        <v>1289</v>
      </c>
      <c r="C35" s="114">
        <v>2300</v>
      </c>
      <c r="D35" s="925" t="s">
        <v>1290</v>
      </c>
      <c r="E35" s="384" t="s">
        <v>226</v>
      </c>
      <c r="F35" s="113" t="s">
        <v>19</v>
      </c>
      <c r="G35" s="117" t="s">
        <v>172</v>
      </c>
      <c r="H35" s="1009" t="s">
        <v>1291</v>
      </c>
      <c r="I35" s="1008" t="s">
        <v>1292</v>
      </c>
      <c r="J35" s="349" t="s">
        <v>43</v>
      </c>
      <c r="K35" s="87" t="s">
        <v>483</v>
      </c>
      <c r="L35" s="129"/>
      <c r="M35" s="335">
        <f t="shared" si="0"/>
        <v>2300</v>
      </c>
    </row>
    <row r="36" spans="1:13" s="336" customFormat="1" ht="53.25" customHeight="1">
      <c r="A36" s="789">
        <v>32</v>
      </c>
      <c r="B36" s="816" t="s">
        <v>1036</v>
      </c>
      <c r="C36" s="114">
        <v>3200</v>
      </c>
      <c r="D36" s="925" t="s">
        <v>1290</v>
      </c>
      <c r="E36" s="384" t="s">
        <v>226</v>
      </c>
      <c r="F36" s="113" t="s">
        <v>19</v>
      </c>
      <c r="G36" s="117" t="s">
        <v>172</v>
      </c>
      <c r="H36" s="1010" t="s">
        <v>1293</v>
      </c>
      <c r="I36" s="1008" t="s">
        <v>1294</v>
      </c>
      <c r="J36" s="349" t="s">
        <v>43</v>
      </c>
      <c r="K36" s="113" t="s">
        <v>483</v>
      </c>
      <c r="L36" s="129"/>
      <c r="M36" s="335">
        <f t="shared" si="0"/>
        <v>3200</v>
      </c>
    </row>
    <row r="37" spans="1:13" s="336" customFormat="1" ht="55.5" customHeight="1">
      <c r="A37" s="789">
        <v>33</v>
      </c>
      <c r="B37" s="816" t="s">
        <v>1295</v>
      </c>
      <c r="C37" s="114">
        <v>3350</v>
      </c>
      <c r="D37" s="925" t="s">
        <v>1296</v>
      </c>
      <c r="E37" s="384" t="s">
        <v>226</v>
      </c>
      <c r="F37" s="113" t="s">
        <v>19</v>
      </c>
      <c r="G37" s="343" t="s">
        <v>123</v>
      </c>
      <c r="H37" s="1011" t="s">
        <v>1297</v>
      </c>
      <c r="I37" s="388"/>
      <c r="J37" s="349" t="s">
        <v>84</v>
      </c>
      <c r="K37" s="87" t="s">
        <v>84</v>
      </c>
      <c r="L37" s="129"/>
      <c r="M37" s="335">
        <f t="shared" ref="M37:M71" si="2">C37</f>
        <v>3350</v>
      </c>
    </row>
    <row r="38" spans="1:13" s="336" customFormat="1" ht="90" customHeight="1">
      <c r="A38" s="789">
        <v>34</v>
      </c>
      <c r="B38" s="1029" t="s">
        <v>1150</v>
      </c>
      <c r="C38" s="114">
        <v>5000</v>
      </c>
      <c r="D38" s="925" t="s">
        <v>1290</v>
      </c>
      <c r="E38" s="133" t="s">
        <v>226</v>
      </c>
      <c r="F38" s="117" t="s">
        <v>19</v>
      </c>
      <c r="G38" s="87" t="s">
        <v>63</v>
      </c>
      <c r="H38" s="155" t="s">
        <v>1298</v>
      </c>
      <c r="I38" s="1012" t="s">
        <v>1299</v>
      </c>
      <c r="J38" s="349" t="s">
        <v>84</v>
      </c>
      <c r="K38" s="87" t="s">
        <v>84</v>
      </c>
      <c r="L38" s="129"/>
      <c r="M38" s="335">
        <f t="shared" si="2"/>
        <v>5000</v>
      </c>
    </row>
    <row r="39" spans="1:13" s="336" customFormat="1" ht="62.25" customHeight="1">
      <c r="A39" s="789">
        <v>35</v>
      </c>
      <c r="B39" s="816" t="s">
        <v>581</v>
      </c>
      <c r="C39" s="114">
        <v>3500</v>
      </c>
      <c r="D39" s="925" t="s">
        <v>1290</v>
      </c>
      <c r="E39" s="384" t="s">
        <v>226</v>
      </c>
      <c r="F39" s="113" t="s">
        <v>19</v>
      </c>
      <c r="G39" s="117" t="s">
        <v>1300</v>
      </c>
      <c r="H39" s="1013" t="s">
        <v>1301</v>
      </c>
      <c r="I39" s="1012" t="s">
        <v>1299</v>
      </c>
      <c r="J39" s="380" t="s">
        <v>84</v>
      </c>
      <c r="K39" s="113" t="s">
        <v>84</v>
      </c>
      <c r="L39" s="129"/>
      <c r="M39" s="335">
        <f t="shared" si="2"/>
        <v>3500</v>
      </c>
    </row>
    <row r="40" spans="1:13" s="336" customFormat="1" ht="74.25" customHeight="1">
      <c r="A40" s="789">
        <v>36</v>
      </c>
      <c r="B40" s="816" t="s">
        <v>906</v>
      </c>
      <c r="C40" s="114">
        <v>4500</v>
      </c>
      <c r="D40" s="925" t="s">
        <v>1290</v>
      </c>
      <c r="E40" s="384" t="s">
        <v>226</v>
      </c>
      <c r="F40" s="87" t="s">
        <v>19</v>
      </c>
      <c r="G40" s="89" t="s">
        <v>927</v>
      </c>
      <c r="H40" s="188" t="s">
        <v>1302</v>
      </c>
      <c r="I40" s="1014" t="s">
        <v>1303</v>
      </c>
      <c r="J40" s="133" t="s">
        <v>84</v>
      </c>
      <c r="K40" s="87" t="s">
        <v>84</v>
      </c>
      <c r="L40" s="129"/>
      <c r="M40" s="335">
        <f t="shared" si="2"/>
        <v>4500</v>
      </c>
    </row>
    <row r="41" spans="1:13" s="336" customFormat="1" ht="62.25" customHeight="1">
      <c r="A41" s="789">
        <v>37</v>
      </c>
      <c r="B41" s="816" t="s">
        <v>914</v>
      </c>
      <c r="C41" s="114">
        <v>3550</v>
      </c>
      <c r="D41" s="925" t="s">
        <v>1290</v>
      </c>
      <c r="E41" s="384" t="s">
        <v>226</v>
      </c>
      <c r="F41" s="113" t="s">
        <v>19</v>
      </c>
      <c r="G41" s="117" t="s">
        <v>1300</v>
      </c>
      <c r="H41" s="155" t="s">
        <v>1304</v>
      </c>
      <c r="I41" s="1008"/>
      <c r="J41" s="133" t="s">
        <v>89</v>
      </c>
      <c r="K41" s="125" t="s">
        <v>89</v>
      </c>
      <c r="L41" s="129"/>
      <c r="M41" s="335">
        <f t="shared" si="2"/>
        <v>3550</v>
      </c>
    </row>
    <row r="42" spans="1:13" s="336" customFormat="1" ht="93.75">
      <c r="A42" s="789">
        <v>38</v>
      </c>
      <c r="B42" s="816" t="s">
        <v>589</v>
      </c>
      <c r="C42" s="114">
        <v>3900</v>
      </c>
      <c r="D42" s="925" t="s">
        <v>1290</v>
      </c>
      <c r="E42" s="384" t="s">
        <v>226</v>
      </c>
      <c r="F42" s="113" t="s">
        <v>19</v>
      </c>
      <c r="G42" s="117" t="s">
        <v>172</v>
      </c>
      <c r="H42" s="1004" t="s">
        <v>1305</v>
      </c>
      <c r="I42" s="1015">
        <f>3900-550-1000-1000-710</f>
        <v>640</v>
      </c>
      <c r="J42" s="133" t="s">
        <v>43</v>
      </c>
      <c r="K42" s="125" t="s">
        <v>483</v>
      </c>
      <c r="L42" s="129"/>
      <c r="M42" s="335">
        <f t="shared" si="2"/>
        <v>3900</v>
      </c>
    </row>
    <row r="43" spans="1:13" s="336" customFormat="1" ht="112.5" customHeight="1">
      <c r="A43" s="789">
        <v>39</v>
      </c>
      <c r="B43" s="816" t="s">
        <v>1306</v>
      </c>
      <c r="C43" s="114">
        <v>6650</v>
      </c>
      <c r="D43" s="925" t="s">
        <v>1290</v>
      </c>
      <c r="E43" s="384" t="s">
        <v>226</v>
      </c>
      <c r="F43" s="113" t="s">
        <v>19</v>
      </c>
      <c r="G43" s="117" t="s">
        <v>172</v>
      </c>
      <c r="H43" s="1004" t="s">
        <v>1307</v>
      </c>
      <c r="I43" s="1014">
        <f>6600-2000-1900-1000-1500</f>
        <v>200</v>
      </c>
      <c r="J43" s="380" t="s">
        <v>84</v>
      </c>
      <c r="K43" s="125" t="s">
        <v>84</v>
      </c>
      <c r="L43" s="129"/>
      <c r="M43" s="335">
        <f t="shared" si="2"/>
        <v>6650</v>
      </c>
    </row>
    <row r="44" spans="1:13" s="336" customFormat="1" ht="102" customHeight="1">
      <c r="A44" s="789">
        <v>40</v>
      </c>
      <c r="B44" s="816" t="s">
        <v>921</v>
      </c>
      <c r="C44" s="114">
        <v>4500</v>
      </c>
      <c r="D44" s="925" t="s">
        <v>1290</v>
      </c>
      <c r="E44" s="384" t="s">
        <v>226</v>
      </c>
      <c r="F44" s="87" t="s">
        <v>19</v>
      </c>
      <c r="G44" s="117" t="s">
        <v>1264</v>
      </c>
      <c r="H44" s="926" t="s">
        <v>1308</v>
      </c>
      <c r="I44" s="1016"/>
      <c r="J44" s="133" t="s">
        <v>84</v>
      </c>
      <c r="K44" s="125" t="s">
        <v>84</v>
      </c>
      <c r="L44" s="129"/>
      <c r="M44" s="335">
        <f t="shared" si="2"/>
        <v>4500</v>
      </c>
    </row>
    <row r="45" spans="1:13" s="336" customFormat="1" ht="73.5" customHeight="1">
      <c r="A45" s="789">
        <v>41</v>
      </c>
      <c r="B45" s="816" t="s">
        <v>1309</v>
      </c>
      <c r="C45" s="114">
        <v>2750</v>
      </c>
      <c r="D45" s="925" t="s">
        <v>1290</v>
      </c>
      <c r="E45" s="384" t="s">
        <v>226</v>
      </c>
      <c r="F45" s="113" t="s">
        <v>19</v>
      </c>
      <c r="G45" s="117" t="s">
        <v>172</v>
      </c>
      <c r="H45" s="155" t="s">
        <v>1310</v>
      </c>
      <c r="I45" s="1017"/>
      <c r="J45" s="384" t="s">
        <v>84</v>
      </c>
      <c r="K45" s="87" t="s">
        <v>84</v>
      </c>
      <c r="L45" s="129"/>
      <c r="M45" s="335">
        <f t="shared" si="2"/>
        <v>2750</v>
      </c>
    </row>
    <row r="46" spans="1:13" s="336" customFormat="1" ht="63" customHeight="1">
      <c r="A46" s="789">
        <v>42</v>
      </c>
      <c r="B46" s="816" t="s">
        <v>1255</v>
      </c>
      <c r="C46" s="114">
        <v>4000</v>
      </c>
      <c r="D46" s="1018" t="s">
        <v>1290</v>
      </c>
      <c r="E46" s="380" t="s">
        <v>226</v>
      </c>
      <c r="F46" s="91" t="s">
        <v>19</v>
      </c>
      <c r="G46" s="380" t="s">
        <v>172</v>
      </c>
      <c r="H46" s="926" t="s">
        <v>1311</v>
      </c>
      <c r="I46" s="1008"/>
      <c r="J46" s="350" t="s">
        <v>89</v>
      </c>
      <c r="K46" s="113" t="s">
        <v>89</v>
      </c>
      <c r="L46" s="129"/>
      <c r="M46" s="335">
        <f t="shared" si="2"/>
        <v>4000</v>
      </c>
    </row>
    <row r="47" spans="1:13" s="336" customFormat="1" ht="72.75" customHeight="1">
      <c r="A47" s="789">
        <v>43</v>
      </c>
      <c r="B47" s="816" t="s">
        <v>1117</v>
      </c>
      <c r="C47" s="114">
        <v>5880</v>
      </c>
      <c r="D47" s="1018" t="s">
        <v>1312</v>
      </c>
      <c r="E47" s="380" t="s">
        <v>226</v>
      </c>
      <c r="F47" s="91" t="s">
        <v>19</v>
      </c>
      <c r="G47" s="91" t="s">
        <v>63</v>
      </c>
      <c r="H47" s="188" t="s">
        <v>1313</v>
      </c>
      <c r="I47" s="1019" t="s">
        <v>1314</v>
      </c>
      <c r="J47" s="350" t="s">
        <v>89</v>
      </c>
      <c r="K47" s="113" t="s">
        <v>89</v>
      </c>
      <c r="L47" s="129"/>
      <c r="M47" s="335">
        <f t="shared" si="2"/>
        <v>5880</v>
      </c>
    </row>
    <row r="48" spans="1:13" s="336" customFormat="1" ht="91.5" customHeight="1">
      <c r="A48" s="789">
        <v>44</v>
      </c>
      <c r="B48" s="816" t="s">
        <v>1007</v>
      </c>
      <c r="C48" s="114">
        <v>3550</v>
      </c>
      <c r="D48" s="1018" t="s">
        <v>1290</v>
      </c>
      <c r="E48" s="380" t="s">
        <v>226</v>
      </c>
      <c r="F48" s="91" t="s">
        <v>19</v>
      </c>
      <c r="G48" s="380" t="s">
        <v>1238</v>
      </c>
      <c r="H48" s="926" t="s">
        <v>1315</v>
      </c>
      <c r="I48" s="1008"/>
      <c r="J48" s="350" t="s">
        <v>43</v>
      </c>
      <c r="K48" s="113" t="s">
        <v>483</v>
      </c>
      <c r="L48" s="129"/>
      <c r="M48" s="335">
        <f t="shared" si="2"/>
        <v>3550</v>
      </c>
    </row>
    <row r="49" spans="1:13" s="336" customFormat="1" ht="67.5" customHeight="1">
      <c r="A49" s="789">
        <v>45</v>
      </c>
      <c r="B49" s="816" t="s">
        <v>1001</v>
      </c>
      <c r="C49" s="114">
        <v>3400</v>
      </c>
      <c r="D49" s="1018" t="s">
        <v>1312</v>
      </c>
      <c r="E49" s="380" t="s">
        <v>226</v>
      </c>
      <c r="F49" s="91" t="s">
        <v>19</v>
      </c>
      <c r="G49" s="91" t="s">
        <v>172</v>
      </c>
      <c r="H49" s="1020" t="s">
        <v>1316</v>
      </c>
      <c r="I49" s="1021"/>
      <c r="J49" s="350" t="s">
        <v>84</v>
      </c>
      <c r="K49" s="113" t="s">
        <v>84</v>
      </c>
      <c r="L49" s="129"/>
      <c r="M49" s="335">
        <f t="shared" si="2"/>
        <v>3400</v>
      </c>
    </row>
    <row r="50" spans="1:13" s="336" customFormat="1" ht="84.75" customHeight="1">
      <c r="A50" s="789">
        <v>46</v>
      </c>
      <c r="B50" s="1028" t="s">
        <v>293</v>
      </c>
      <c r="C50" s="114">
        <v>4650</v>
      </c>
      <c r="D50" s="1018" t="s">
        <v>226</v>
      </c>
      <c r="E50" s="380"/>
      <c r="F50" s="91" t="s">
        <v>19</v>
      </c>
      <c r="G50" s="115" t="s">
        <v>172</v>
      </c>
      <c r="H50" s="703" t="s">
        <v>1317</v>
      </c>
      <c r="I50" s="1022"/>
      <c r="J50" s="350" t="s">
        <v>54</v>
      </c>
      <c r="K50" s="113" t="s">
        <v>483</v>
      </c>
      <c r="L50" s="129"/>
      <c r="M50" s="335">
        <f t="shared" si="2"/>
        <v>4650</v>
      </c>
    </row>
    <row r="51" spans="1:13" s="336" customFormat="1" ht="53.25" customHeight="1">
      <c r="A51" s="789">
        <v>47</v>
      </c>
      <c r="B51" s="1028" t="s">
        <v>1318</v>
      </c>
      <c r="C51" s="114">
        <v>4900</v>
      </c>
      <c r="D51" s="1018" t="s">
        <v>226</v>
      </c>
      <c r="E51" s="380"/>
      <c r="F51" s="91" t="s">
        <v>19</v>
      </c>
      <c r="G51" s="115" t="s">
        <v>172</v>
      </c>
      <c r="H51" s="290" t="s">
        <v>1319</v>
      </c>
      <c r="I51" s="1019" t="s">
        <v>1320</v>
      </c>
      <c r="J51" s="350" t="s">
        <v>16</v>
      </c>
      <c r="K51" s="113" t="s">
        <v>16</v>
      </c>
      <c r="L51" s="129"/>
      <c r="M51" s="335">
        <f t="shared" si="2"/>
        <v>4900</v>
      </c>
    </row>
    <row r="52" spans="1:13" s="336" customFormat="1" ht="55.5" customHeight="1">
      <c r="A52" s="789">
        <v>48</v>
      </c>
      <c r="B52" s="1028" t="s">
        <v>1321</v>
      </c>
      <c r="C52" s="114">
        <v>3650</v>
      </c>
      <c r="D52" s="1018" t="s">
        <v>226</v>
      </c>
      <c r="E52" s="380" t="s">
        <v>1322</v>
      </c>
      <c r="F52" s="91" t="s">
        <v>19</v>
      </c>
      <c r="G52" s="115" t="s">
        <v>172</v>
      </c>
      <c r="H52" s="1025" t="s">
        <v>1323</v>
      </c>
      <c r="I52" s="1022"/>
      <c r="J52" s="350" t="s">
        <v>16</v>
      </c>
      <c r="K52" s="113" t="s">
        <v>16</v>
      </c>
      <c r="L52" s="129"/>
      <c r="M52" s="335">
        <f t="shared" si="2"/>
        <v>3650</v>
      </c>
    </row>
    <row r="53" spans="1:13" s="336" customFormat="1" ht="55.5" customHeight="1">
      <c r="A53" s="789">
        <v>49</v>
      </c>
      <c r="B53" s="1028" t="s">
        <v>1101</v>
      </c>
      <c r="C53" s="114">
        <v>4350</v>
      </c>
      <c r="D53" s="1018" t="s">
        <v>226</v>
      </c>
      <c r="E53" s="380" t="s">
        <v>1324</v>
      </c>
      <c r="F53" s="91" t="s">
        <v>19</v>
      </c>
      <c r="G53" s="115" t="s">
        <v>172</v>
      </c>
      <c r="H53" s="1025" t="s">
        <v>1325</v>
      </c>
      <c r="I53" s="1022"/>
      <c r="J53" s="350" t="s">
        <v>84</v>
      </c>
      <c r="K53" s="113" t="s">
        <v>84</v>
      </c>
      <c r="L53" s="129"/>
      <c r="M53" s="335">
        <f t="shared" si="2"/>
        <v>4350</v>
      </c>
    </row>
    <row r="54" spans="1:13" s="336" customFormat="1" ht="72.75" customHeight="1">
      <c r="A54" s="797">
        <v>50</v>
      </c>
      <c r="B54" s="180" t="s">
        <v>1063</v>
      </c>
      <c r="C54" s="120">
        <v>3280</v>
      </c>
      <c r="D54" s="980" t="s">
        <v>226</v>
      </c>
      <c r="E54" s="380" t="s">
        <v>1326</v>
      </c>
      <c r="F54" s="91" t="s">
        <v>19</v>
      </c>
      <c r="G54" s="379" t="s">
        <v>927</v>
      </c>
      <c r="H54" s="93" t="s">
        <v>1327</v>
      </c>
      <c r="I54" s="697"/>
      <c r="J54" s="351" t="s">
        <v>89</v>
      </c>
      <c r="K54" s="130" t="s">
        <v>153</v>
      </c>
      <c r="L54" s="129"/>
      <c r="M54" s="335">
        <f t="shared" si="2"/>
        <v>3280</v>
      </c>
    </row>
    <row r="55" spans="1:13" s="336" customFormat="1" ht="72.75" customHeight="1">
      <c r="A55" s="927">
        <v>51</v>
      </c>
      <c r="B55" s="177" t="s">
        <v>566</v>
      </c>
      <c r="C55" s="94">
        <v>3400</v>
      </c>
      <c r="D55" s="393" t="s">
        <v>226</v>
      </c>
      <c r="E55" s="349" t="s">
        <v>1328</v>
      </c>
      <c r="F55" s="91" t="s">
        <v>19</v>
      </c>
      <c r="G55" s="1026" t="s">
        <v>101</v>
      </c>
      <c r="H55" s="119" t="s">
        <v>1329</v>
      </c>
      <c r="I55" s="878"/>
      <c r="J55" s="133" t="s">
        <v>84</v>
      </c>
      <c r="K55" s="87" t="s">
        <v>153</v>
      </c>
      <c r="L55" s="129"/>
      <c r="M55" s="335">
        <f t="shared" si="2"/>
        <v>3400</v>
      </c>
    </row>
    <row r="56" spans="1:13" s="336" customFormat="1">
      <c r="A56" s="971">
        <v>52</v>
      </c>
      <c r="B56" s="180" t="s">
        <v>1330</v>
      </c>
      <c r="C56" s="120">
        <v>4400</v>
      </c>
      <c r="D56" s="980" t="s">
        <v>226</v>
      </c>
      <c r="E56" s="980" t="s">
        <v>1331</v>
      </c>
      <c r="F56" s="91" t="s">
        <v>19</v>
      </c>
      <c r="G56" s="379" t="s">
        <v>172</v>
      </c>
      <c r="H56" s="93" t="s">
        <v>1332</v>
      </c>
      <c r="I56" s="697"/>
      <c r="J56" s="380" t="s">
        <v>16</v>
      </c>
      <c r="K56" s="91" t="s">
        <v>153</v>
      </c>
      <c r="L56" s="129"/>
      <c r="M56" s="335">
        <f t="shared" si="2"/>
        <v>4400</v>
      </c>
    </row>
    <row r="57" spans="1:13" s="336" customFormat="1" ht="37.5">
      <c r="A57" s="927">
        <v>53</v>
      </c>
      <c r="B57" s="177" t="s">
        <v>906</v>
      </c>
      <c r="C57" s="94">
        <v>4550</v>
      </c>
      <c r="D57" s="393" t="s">
        <v>226</v>
      </c>
      <c r="E57" s="393" t="s">
        <v>1333</v>
      </c>
      <c r="F57" s="91" t="s">
        <v>19</v>
      </c>
      <c r="G57" s="1026" t="s">
        <v>101</v>
      </c>
      <c r="H57" s="93" t="s">
        <v>1334</v>
      </c>
      <c r="I57" s="878"/>
      <c r="J57" s="133" t="s">
        <v>89</v>
      </c>
      <c r="K57" s="87" t="s">
        <v>153</v>
      </c>
      <c r="L57" s="129"/>
      <c r="M57" s="335">
        <f t="shared" si="2"/>
        <v>4550</v>
      </c>
    </row>
    <row r="58" spans="1:13" s="336" customFormat="1" ht="75">
      <c r="A58" s="723">
        <v>54</v>
      </c>
      <c r="B58" s="177" t="s">
        <v>1335</v>
      </c>
      <c r="C58" s="94">
        <v>4600</v>
      </c>
      <c r="D58" s="393" t="s">
        <v>226</v>
      </c>
      <c r="E58" s="393" t="s">
        <v>1336</v>
      </c>
      <c r="F58" s="91" t="s">
        <v>19</v>
      </c>
      <c r="G58" s="380" t="s">
        <v>505</v>
      </c>
      <c r="H58" s="1031" t="s">
        <v>1337</v>
      </c>
      <c r="I58" s="1032" t="s">
        <v>1338</v>
      </c>
      <c r="J58" s="384" t="s">
        <v>16</v>
      </c>
      <c r="K58" s="113" t="s">
        <v>153</v>
      </c>
      <c r="L58" s="129"/>
      <c r="M58" s="335">
        <f t="shared" si="2"/>
        <v>4600</v>
      </c>
    </row>
    <row r="59" spans="1:13" s="336" customFormat="1" ht="36.75" customHeight="1">
      <c r="A59" s="786">
        <v>55</v>
      </c>
      <c r="B59" s="177" t="s">
        <v>1289</v>
      </c>
      <c r="C59" s="94">
        <v>2300</v>
      </c>
      <c r="D59" s="393" t="s">
        <v>226</v>
      </c>
      <c r="E59" s="393" t="s">
        <v>1339</v>
      </c>
      <c r="F59" s="87" t="s">
        <v>19</v>
      </c>
      <c r="G59" s="384" t="s">
        <v>172</v>
      </c>
      <c r="H59" s="1240" t="s">
        <v>1340</v>
      </c>
      <c r="I59" s="1034" t="s">
        <v>1341</v>
      </c>
      <c r="J59" s="133" t="s">
        <v>43</v>
      </c>
      <c r="K59" s="87" t="s">
        <v>153</v>
      </c>
      <c r="L59" s="129"/>
      <c r="M59" s="335">
        <f t="shared" si="2"/>
        <v>2300</v>
      </c>
    </row>
    <row r="60" spans="1:13" s="336" customFormat="1" ht="131.25" customHeight="1">
      <c r="A60" s="786">
        <v>56</v>
      </c>
      <c r="B60" s="177" t="s">
        <v>925</v>
      </c>
      <c r="C60" s="94">
        <v>7700</v>
      </c>
      <c r="D60" s="393" t="s">
        <v>226</v>
      </c>
      <c r="E60" s="393" t="s">
        <v>1342</v>
      </c>
      <c r="F60" s="87" t="s">
        <v>19</v>
      </c>
      <c r="G60" s="1026" t="s">
        <v>927</v>
      </c>
      <c r="H60" s="93" t="s">
        <v>1343</v>
      </c>
      <c r="I60" s="1035" t="s">
        <v>1344</v>
      </c>
      <c r="J60" s="349" t="s">
        <v>362</v>
      </c>
      <c r="K60" s="87" t="s">
        <v>153</v>
      </c>
      <c r="L60" s="129"/>
      <c r="M60" s="335">
        <f t="shared" si="2"/>
        <v>7700</v>
      </c>
    </row>
    <row r="61" spans="1:13" s="336" customFormat="1" ht="85.5" customHeight="1">
      <c r="A61" s="786">
        <v>57</v>
      </c>
      <c r="B61" s="177" t="s">
        <v>1345</v>
      </c>
      <c r="C61" s="94">
        <v>4050</v>
      </c>
      <c r="D61" s="393" t="s">
        <v>226</v>
      </c>
      <c r="E61" s="393" t="s">
        <v>1346</v>
      </c>
      <c r="F61" s="87" t="s">
        <v>19</v>
      </c>
      <c r="G61" s="1026" t="s">
        <v>1238</v>
      </c>
      <c r="H61" s="93" t="s">
        <v>1347</v>
      </c>
      <c r="I61" s="1019"/>
      <c r="J61" s="349" t="s">
        <v>362</v>
      </c>
      <c r="K61" s="87" t="s">
        <v>153</v>
      </c>
      <c r="L61" s="129"/>
      <c r="M61" s="335">
        <f t="shared" si="2"/>
        <v>4050</v>
      </c>
    </row>
    <row r="62" spans="1:13" s="336" customFormat="1" ht="146.25" customHeight="1">
      <c r="A62" s="745">
        <v>58</v>
      </c>
      <c r="B62" s="730" t="s">
        <v>942</v>
      </c>
      <c r="C62" s="337">
        <v>3660</v>
      </c>
      <c r="D62" s="1006" t="s">
        <v>226</v>
      </c>
      <c r="E62" s="1037" t="s">
        <v>1348</v>
      </c>
      <c r="F62" s="91" t="s">
        <v>19</v>
      </c>
      <c r="G62" s="380" t="s">
        <v>101</v>
      </c>
      <c r="H62" s="996" t="s">
        <v>1349</v>
      </c>
      <c r="I62" s="1038"/>
      <c r="J62" s="383" t="s">
        <v>89</v>
      </c>
      <c r="K62" s="130" t="s">
        <v>153</v>
      </c>
      <c r="L62" s="154"/>
      <c r="M62" s="335">
        <f t="shared" si="2"/>
        <v>3660</v>
      </c>
    </row>
    <row r="63" spans="1:13" s="336" customFormat="1" ht="63" customHeight="1">
      <c r="A63" s="786">
        <v>59</v>
      </c>
      <c r="B63" s="177" t="s">
        <v>1350</v>
      </c>
      <c r="C63" s="94">
        <v>4100</v>
      </c>
      <c r="D63" s="393" t="s">
        <v>226</v>
      </c>
      <c r="E63" s="393" t="s">
        <v>1351</v>
      </c>
      <c r="F63" s="87" t="s">
        <v>19</v>
      </c>
      <c r="G63" s="133" t="s">
        <v>172</v>
      </c>
      <c r="H63" s="290" t="s">
        <v>1352</v>
      </c>
      <c r="I63" s="1019" t="s">
        <v>1353</v>
      </c>
      <c r="J63" s="133" t="s">
        <v>43</v>
      </c>
      <c r="K63" s="87" t="s">
        <v>153</v>
      </c>
      <c r="L63" s="87"/>
      <c r="M63" s="335">
        <f t="shared" si="2"/>
        <v>4100</v>
      </c>
    </row>
    <row r="64" spans="1:13" s="336" customFormat="1" ht="93.75">
      <c r="A64" s="723">
        <v>60</v>
      </c>
      <c r="B64" s="177" t="s">
        <v>515</v>
      </c>
      <c r="C64" s="94">
        <v>2918</v>
      </c>
      <c r="D64" s="393" t="s">
        <v>226</v>
      </c>
      <c r="E64" s="393" t="s">
        <v>1354</v>
      </c>
      <c r="F64" s="87" t="s">
        <v>19</v>
      </c>
      <c r="G64" s="133" t="s">
        <v>1264</v>
      </c>
      <c r="H64" s="124" t="s">
        <v>1355</v>
      </c>
      <c r="I64" s="1022" t="s">
        <v>1116</v>
      </c>
      <c r="J64" s="380" t="s">
        <v>89</v>
      </c>
      <c r="K64" s="113" t="s">
        <v>153</v>
      </c>
      <c r="L64" s="129"/>
      <c r="M64" s="335">
        <f t="shared" si="2"/>
        <v>2918</v>
      </c>
    </row>
    <row r="65" spans="1:15" s="336" customFormat="1" ht="56.25">
      <c r="A65" s="723">
        <v>61</v>
      </c>
      <c r="B65" s="177" t="s">
        <v>581</v>
      </c>
      <c r="C65" s="94">
        <v>3500</v>
      </c>
      <c r="D65" s="393" t="s">
        <v>226</v>
      </c>
      <c r="E65" s="393" t="s">
        <v>1356</v>
      </c>
      <c r="F65" s="87" t="s">
        <v>19</v>
      </c>
      <c r="G65" s="133" t="s">
        <v>172</v>
      </c>
      <c r="H65" s="1241" t="s">
        <v>1357</v>
      </c>
      <c r="I65" s="1019"/>
      <c r="J65" s="133" t="s">
        <v>84</v>
      </c>
      <c r="K65" s="125" t="s">
        <v>153</v>
      </c>
      <c r="L65" s="129"/>
      <c r="M65" s="335">
        <f t="shared" si="2"/>
        <v>3500</v>
      </c>
    </row>
    <row r="66" spans="1:15" s="336" customFormat="1" ht="37.5">
      <c r="A66" s="723">
        <v>62</v>
      </c>
      <c r="B66" s="182" t="s">
        <v>1150</v>
      </c>
      <c r="C66" s="114">
        <v>5000</v>
      </c>
      <c r="D66" s="925" t="s">
        <v>226</v>
      </c>
      <c r="E66" s="925" t="s">
        <v>1358</v>
      </c>
      <c r="F66" s="113" t="s">
        <v>19</v>
      </c>
      <c r="G66" s="91" t="s">
        <v>63</v>
      </c>
      <c r="H66" s="1041" t="s">
        <v>1359</v>
      </c>
      <c r="I66" s="993"/>
      <c r="J66" s="384" t="s">
        <v>84</v>
      </c>
      <c r="K66" s="125" t="s">
        <v>153</v>
      </c>
      <c r="L66" s="350"/>
      <c r="M66" s="335">
        <f t="shared" si="2"/>
        <v>5000</v>
      </c>
    </row>
    <row r="67" spans="1:15" s="336" customFormat="1" ht="53.25" customHeight="1">
      <c r="A67" s="786">
        <v>63</v>
      </c>
      <c r="B67" s="180" t="s">
        <v>1360</v>
      </c>
      <c r="C67" s="120">
        <v>3550</v>
      </c>
      <c r="D67" s="980" t="s">
        <v>226</v>
      </c>
      <c r="E67" s="980" t="s">
        <v>1361</v>
      </c>
      <c r="F67" s="91" t="s">
        <v>19</v>
      </c>
      <c r="G67" s="380" t="s">
        <v>172</v>
      </c>
      <c r="H67" s="703" t="s">
        <v>1362</v>
      </c>
      <c r="I67" s="1034" t="s">
        <v>1341</v>
      </c>
      <c r="J67" s="380" t="s">
        <v>43</v>
      </c>
      <c r="K67" s="91" t="s">
        <v>153</v>
      </c>
      <c r="L67" s="91"/>
      <c r="M67" s="335">
        <f t="shared" si="2"/>
        <v>3550</v>
      </c>
    </row>
    <row r="68" spans="1:15" s="336" customFormat="1" ht="56.25" customHeight="1">
      <c r="A68" s="723">
        <v>64</v>
      </c>
      <c r="B68" s="177" t="s">
        <v>1036</v>
      </c>
      <c r="C68" s="94">
        <v>3200</v>
      </c>
      <c r="D68" s="393" t="s">
        <v>226</v>
      </c>
      <c r="E68" s="393" t="s">
        <v>1363</v>
      </c>
      <c r="F68" s="87" t="s">
        <v>19</v>
      </c>
      <c r="G68" s="133" t="s">
        <v>172</v>
      </c>
      <c r="H68" s="290" t="s">
        <v>1364</v>
      </c>
      <c r="I68" s="1008"/>
      <c r="J68" s="133" t="s">
        <v>43</v>
      </c>
      <c r="K68" s="87" t="s">
        <v>153</v>
      </c>
      <c r="L68" s="87"/>
      <c r="M68" s="335">
        <f t="shared" si="2"/>
        <v>3200</v>
      </c>
    </row>
    <row r="69" spans="1:15" s="367" customFormat="1" ht="66" customHeight="1">
      <c r="A69" s="723">
        <v>65</v>
      </c>
      <c r="B69" s="1043" t="s">
        <v>1365</v>
      </c>
      <c r="C69" s="94">
        <v>4500</v>
      </c>
      <c r="D69" s="980" t="s">
        <v>226</v>
      </c>
      <c r="E69" s="393" t="s">
        <v>1366</v>
      </c>
      <c r="F69" s="91" t="s">
        <v>19</v>
      </c>
      <c r="G69" s="379" t="s">
        <v>172</v>
      </c>
      <c r="H69" s="290" t="s">
        <v>1367</v>
      </c>
      <c r="I69" s="1008"/>
      <c r="J69" s="133" t="s">
        <v>84</v>
      </c>
      <c r="K69" s="87" t="s">
        <v>153</v>
      </c>
      <c r="M69" s="335">
        <f t="shared" si="2"/>
        <v>4500</v>
      </c>
      <c r="N69" s="336"/>
      <c r="O69" s="336"/>
    </row>
    <row r="70" spans="1:15" s="336" customFormat="1" ht="48.75" customHeight="1">
      <c r="A70" s="723">
        <v>66</v>
      </c>
      <c r="B70" s="1063" t="s">
        <v>612</v>
      </c>
      <c r="C70" s="94">
        <v>2900</v>
      </c>
      <c r="D70" s="393" t="s">
        <v>226</v>
      </c>
      <c r="E70" s="393" t="s">
        <v>1368</v>
      </c>
      <c r="F70" s="91" t="s">
        <v>19</v>
      </c>
      <c r="G70" s="380" t="s">
        <v>623</v>
      </c>
      <c r="H70" s="290" t="s">
        <v>1369</v>
      </c>
      <c r="I70" s="1019"/>
      <c r="J70" s="133" t="s">
        <v>89</v>
      </c>
      <c r="K70" s="91" t="s">
        <v>153</v>
      </c>
      <c r="L70" s="87"/>
      <c r="M70" s="335">
        <f t="shared" si="2"/>
        <v>2900</v>
      </c>
    </row>
    <row r="71" spans="1:15" s="1" customFormat="1" ht="41.25" customHeight="1">
      <c r="A71" s="1007">
        <v>67</v>
      </c>
      <c r="B71" s="608" t="s">
        <v>621</v>
      </c>
      <c r="C71" s="1003" t="s">
        <v>1370</v>
      </c>
      <c r="D71" s="1023" t="s">
        <v>1371</v>
      </c>
      <c r="E71" s="1023" t="s">
        <v>1372</v>
      </c>
      <c r="F71" s="144" t="s">
        <v>19</v>
      </c>
      <c r="G71" s="136" t="s">
        <v>123</v>
      </c>
      <c r="H71" s="1030"/>
      <c r="I71" s="1042" t="s">
        <v>1373</v>
      </c>
      <c r="J71" s="109" t="s">
        <v>84</v>
      </c>
      <c r="K71" s="102" t="s">
        <v>153</v>
      </c>
      <c r="M71" s="1036" t="str">
        <f t="shared" si="2"/>
        <v>Kiểm tra lại mẫu</v>
      </c>
      <c r="N71" s="3"/>
      <c r="O71" s="3"/>
    </row>
    <row r="72" spans="1:15" s="1" customFormat="1" ht="22.5">
      <c r="A72" s="1007">
        <v>68</v>
      </c>
      <c r="B72" s="102" t="s">
        <v>608</v>
      </c>
      <c r="C72" s="1003" t="s">
        <v>1374</v>
      </c>
      <c r="D72" s="1023" t="s">
        <v>1375</v>
      </c>
      <c r="E72" s="1039"/>
      <c r="F72" s="144" t="s">
        <v>19</v>
      </c>
      <c r="G72" s="110" t="s">
        <v>172</v>
      </c>
      <c r="H72" s="1030" t="s">
        <v>1376</v>
      </c>
      <c r="I72" s="1033"/>
      <c r="J72" s="109" t="s">
        <v>89</v>
      </c>
      <c r="K72" s="102" t="s">
        <v>153</v>
      </c>
      <c r="M72" s="1036"/>
      <c r="N72" s="3"/>
      <c r="O72" s="3"/>
    </row>
    <row r="73" spans="1:15" s="1" customFormat="1" ht="22.5">
      <c r="A73" s="1007">
        <v>69</v>
      </c>
      <c r="B73" s="102" t="s">
        <v>668</v>
      </c>
      <c r="C73" s="1003" t="s">
        <v>1374</v>
      </c>
      <c r="D73" s="1023" t="s">
        <v>1375</v>
      </c>
      <c r="E73" s="1039"/>
      <c r="F73" s="144" t="s">
        <v>19</v>
      </c>
      <c r="G73" s="110" t="s">
        <v>172</v>
      </c>
      <c r="H73" s="1030" t="s">
        <v>1376</v>
      </c>
      <c r="I73" s="109"/>
      <c r="J73" s="102" t="s">
        <v>16</v>
      </c>
      <c r="K73" s="102" t="s">
        <v>153</v>
      </c>
      <c r="M73" s="809" t="str">
        <f>C73</f>
        <v>THÁNG 4</v>
      </c>
      <c r="N73" s="3"/>
      <c r="O73" s="3"/>
    </row>
    <row r="74" spans="1:15" s="1" customFormat="1" ht="18.75" customHeight="1">
      <c r="A74" s="1007">
        <v>70</v>
      </c>
      <c r="C74" s="1003"/>
      <c r="D74" s="1024"/>
      <c r="E74" s="1039"/>
      <c r="F74" s="1024"/>
      <c r="G74" s="1024"/>
      <c r="H74" s="1040"/>
      <c r="I74" s="1040"/>
      <c r="M74" s="755">
        <f>C74</f>
        <v>0</v>
      </c>
      <c r="N74" s="3"/>
      <c r="O74" s="3"/>
    </row>
    <row r="75" spans="1:15" s="1" customFormat="1">
      <c r="A75" s="874"/>
      <c r="C75" s="803"/>
      <c r="D75" s="271"/>
      <c r="E75" s="271"/>
      <c r="H75" s="9"/>
      <c r="I75" s="9"/>
      <c r="M75" s="755">
        <f>C75</f>
        <v>0</v>
      </c>
      <c r="N75" s="3"/>
      <c r="O75" s="3"/>
    </row>
    <row r="76" spans="1:15" s="1" customFormat="1">
      <c r="A76" s="874"/>
      <c r="C76" s="803"/>
      <c r="D76" s="271"/>
      <c r="E76" s="271"/>
      <c r="H76" s="342"/>
      <c r="I76" s="9"/>
      <c r="M76" s="755">
        <f>C76</f>
        <v>0</v>
      </c>
      <c r="N76" s="3"/>
      <c r="O76" s="3"/>
    </row>
    <row r="77" spans="1:15" s="1" customFormat="1">
      <c r="A77" s="874"/>
      <c r="C77" s="803"/>
      <c r="D77" s="271"/>
      <c r="E77" s="271"/>
      <c r="H77" s="9"/>
      <c r="I77" s="9"/>
      <c r="M77" s="755">
        <f>C77</f>
        <v>0</v>
      </c>
      <c r="N77" s="3"/>
      <c r="O77" s="3"/>
    </row>
    <row r="78" spans="1:15" s="1" customFormat="1">
      <c r="A78" s="874"/>
      <c r="C78" s="803"/>
      <c r="D78" s="271"/>
      <c r="E78" s="271"/>
      <c r="H78" s="9"/>
      <c r="I78" s="9"/>
      <c r="M78" s="804"/>
      <c r="N78" s="3"/>
      <c r="O78" s="3"/>
    </row>
    <row r="79" spans="1:15" s="1" customFormat="1">
      <c r="A79" s="874"/>
      <c r="C79" s="803"/>
      <c r="D79" s="271"/>
      <c r="E79" s="271"/>
      <c r="H79" s="9"/>
      <c r="I79" s="9"/>
      <c r="M79" s="804"/>
      <c r="N79" s="3"/>
      <c r="O79" s="3"/>
    </row>
    <row r="80" spans="1:15" s="434" customFormat="1">
      <c r="A80" s="1048"/>
      <c r="B80" s="760" t="s">
        <v>1213</v>
      </c>
      <c r="C80" s="1049" t="s">
        <v>675</v>
      </c>
      <c r="D80" s="1050" t="s">
        <v>1377</v>
      </c>
      <c r="E80" s="1044"/>
      <c r="F80" s="760" t="s">
        <v>19</v>
      </c>
      <c r="G80" s="760" t="s">
        <v>20</v>
      </c>
      <c r="H80" s="1051"/>
      <c r="I80" s="1044"/>
      <c r="J80" s="1044" t="s">
        <v>89</v>
      </c>
      <c r="K80" s="760" t="s">
        <v>153</v>
      </c>
      <c r="L80" s="1052"/>
      <c r="M80" s="1053" t="str">
        <f>C80</f>
        <v>HỦY</v>
      </c>
    </row>
    <row r="81" spans="2:13" s="434" customFormat="1">
      <c r="B81" s="1045" t="s">
        <v>1147</v>
      </c>
      <c r="C81" s="719" t="s">
        <v>675</v>
      </c>
      <c r="D81" s="720" t="s">
        <v>1378</v>
      </c>
      <c r="E81" s="612"/>
      <c r="F81" s="608" t="s">
        <v>19</v>
      </c>
      <c r="G81" s="608" t="s">
        <v>172</v>
      </c>
      <c r="H81" s="670"/>
      <c r="I81" s="612"/>
      <c r="J81" s="1054" t="s">
        <v>16</v>
      </c>
      <c r="K81" s="608" t="s">
        <v>16</v>
      </c>
      <c r="L81" s="1001"/>
      <c r="M81" s="1053" t="str">
        <f>C81</f>
        <v>HỦY</v>
      </c>
    </row>
    <row r="82" spans="2:13" s="434" customFormat="1">
      <c r="B82" s="1045" t="s">
        <v>1379</v>
      </c>
      <c r="C82" s="719" t="s">
        <v>1380</v>
      </c>
      <c r="D82" s="720" t="s">
        <v>1279</v>
      </c>
      <c r="E82" s="722"/>
      <c r="F82" s="718" t="s">
        <v>19</v>
      </c>
      <c r="G82" s="1055" t="s">
        <v>172</v>
      </c>
      <c r="H82" s="1056"/>
      <c r="I82" s="896"/>
      <c r="J82" s="612" t="s">
        <v>84</v>
      </c>
      <c r="K82" s="608" t="s">
        <v>84</v>
      </c>
      <c r="L82" s="1001"/>
      <c r="M82" s="1053"/>
    </row>
    <row r="83" spans="2:13" s="434" customFormat="1">
      <c r="B83" s="1045" t="s">
        <v>803</v>
      </c>
      <c r="C83" s="719" t="s">
        <v>1380</v>
      </c>
      <c r="D83" s="720" t="s">
        <v>1272</v>
      </c>
      <c r="E83" s="722"/>
      <c r="F83" s="718" t="s">
        <v>19</v>
      </c>
      <c r="G83" s="1055" t="s">
        <v>172</v>
      </c>
      <c r="H83" s="1056"/>
      <c r="I83" s="896"/>
      <c r="J83" s="612" t="s">
        <v>84</v>
      </c>
      <c r="K83" s="608" t="s">
        <v>84</v>
      </c>
      <c r="L83" s="1001"/>
      <c r="M83" s="1053"/>
    </row>
    <row r="84" spans="2:13" s="434" customFormat="1">
      <c r="B84" s="1046" t="s">
        <v>1381</v>
      </c>
      <c r="C84" s="1057" t="s">
        <v>675</v>
      </c>
      <c r="D84" s="1058" t="s">
        <v>1382</v>
      </c>
      <c r="E84" s="1059"/>
      <c r="F84" s="608" t="s">
        <v>19</v>
      </c>
      <c r="G84" s="1060" t="s">
        <v>927</v>
      </c>
      <c r="H84" s="1061"/>
      <c r="I84" s="1047"/>
      <c r="J84" s="1062" t="s">
        <v>362</v>
      </c>
      <c r="K84" s="1046" t="s">
        <v>153</v>
      </c>
      <c r="L84" s="1001"/>
      <c r="M84" s="1053" t="str">
        <f>C84</f>
        <v>HỦY</v>
      </c>
    </row>
  </sheetData>
  <autoFilter ref="A4:Q77" xr:uid="{00000000-0009-0000-0000-000007000000}">
    <filterColumn colId="6">
      <filters>
        <filter val="Tân Thuận"/>
      </filters>
    </filterColumn>
  </autoFilter>
  <mergeCells count="3">
    <mergeCell ref="C1:I1"/>
    <mergeCell ref="A2:I2"/>
    <mergeCell ref="I3:J3"/>
  </mergeCells>
  <conditionalFormatting sqref="A1:A3">
    <cfRule type="duplicateValues" dxfId="778" priority="654"/>
  </conditionalFormatting>
  <conditionalFormatting sqref="A4">
    <cfRule type="duplicateValues" dxfId="777" priority="46"/>
  </conditionalFormatting>
  <conditionalFormatting sqref="A5">
    <cfRule type="duplicateValues" dxfId="776" priority="653"/>
  </conditionalFormatting>
  <conditionalFormatting sqref="A6">
    <cfRule type="duplicateValues" dxfId="775" priority="18"/>
  </conditionalFormatting>
  <conditionalFormatting sqref="A7">
    <cfRule type="duplicateValues" dxfId="774" priority="17"/>
  </conditionalFormatting>
  <conditionalFormatting sqref="A8">
    <cfRule type="duplicateValues" dxfId="773" priority="42"/>
  </conditionalFormatting>
  <conditionalFormatting sqref="A9">
    <cfRule type="duplicateValues" dxfId="772" priority="16"/>
  </conditionalFormatting>
  <conditionalFormatting sqref="A10 A14">
    <cfRule type="duplicateValues" dxfId="771" priority="655"/>
  </conditionalFormatting>
  <conditionalFormatting sqref="A11">
    <cfRule type="duplicateValues" dxfId="770" priority="21"/>
  </conditionalFormatting>
  <conditionalFormatting sqref="A12">
    <cfRule type="duplicateValues" dxfId="769" priority="648"/>
  </conditionalFormatting>
  <conditionalFormatting sqref="A13 A15 A18:A19 A22:A23 A27 A32:A34 A58:A65 A67:A68 A70 A73 A75 A77:A78 A81 A83">
    <cfRule type="duplicateValues" dxfId="768" priority="1014"/>
  </conditionalFormatting>
  <conditionalFormatting sqref="A16:A17 A20:A21 A24:A26 A28:A29 A66 A69 A72 A74 A76 A79 A82">
    <cfRule type="duplicateValues" dxfId="767" priority="979"/>
  </conditionalFormatting>
  <conditionalFormatting sqref="A30">
    <cfRule type="duplicateValues" dxfId="766" priority="14"/>
  </conditionalFormatting>
  <conditionalFormatting sqref="A31">
    <cfRule type="duplicateValues" dxfId="765" priority="13"/>
  </conditionalFormatting>
  <conditionalFormatting sqref="A35:A36 A38">
    <cfRule type="duplicateValues" dxfId="764" priority="11"/>
  </conditionalFormatting>
  <conditionalFormatting sqref="A37">
    <cfRule type="duplicateValues" dxfId="763" priority="12"/>
  </conditionalFormatting>
  <conditionalFormatting sqref="A39">
    <cfRule type="duplicateValues" dxfId="762" priority="8"/>
  </conditionalFormatting>
  <conditionalFormatting sqref="A40 A44">
    <cfRule type="duplicateValues" dxfId="761" priority="780"/>
  </conditionalFormatting>
  <conditionalFormatting sqref="A41:A43">
    <cfRule type="duplicateValues" dxfId="760" priority="816"/>
  </conditionalFormatting>
  <conditionalFormatting sqref="A45">
    <cfRule type="duplicateValues" dxfId="759" priority="6"/>
  </conditionalFormatting>
  <conditionalFormatting sqref="A46:A50 A52:A53">
    <cfRule type="duplicateValues" dxfId="758" priority="956"/>
  </conditionalFormatting>
  <conditionalFormatting sqref="A51">
    <cfRule type="duplicateValues" dxfId="757" priority="4"/>
  </conditionalFormatting>
  <conditionalFormatting sqref="A54:A57">
    <cfRule type="duplicateValues" dxfId="756" priority="977"/>
  </conditionalFormatting>
  <conditionalFormatting sqref="A71">
    <cfRule type="duplicateValues" dxfId="755" priority="1"/>
  </conditionalFormatting>
  <conditionalFormatting sqref="A80">
    <cfRule type="duplicateValues" dxfId="754" priority="2"/>
  </conditionalFormatting>
  <conditionalFormatting sqref="A84">
    <cfRule type="duplicateValues" dxfId="753" priority="3"/>
  </conditionalFormatting>
  <conditionalFormatting sqref="B3">
    <cfRule type="duplicateValues" dxfId="752" priority="47"/>
    <cfRule type="duplicateValues" dxfId="751" priority="48"/>
    <cfRule type="duplicateValues" dxfId="750" priority="49"/>
  </conditionalFormatting>
  <conditionalFormatting sqref="B4">
    <cfRule type="duplicateValues" dxfId="749" priority="43"/>
    <cfRule type="duplicateValues" dxfId="748" priority="44"/>
    <cfRule type="duplicateValues" dxfId="747" priority="45"/>
  </conditionalFormatting>
  <pageMargins left="0.7" right="0.7" top="0.75" bottom="0.75" header="0.3" footer="0.3"/>
  <pageSetup paperSize="9" scale="60" orientation="landscape"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filterMode="1">
    <pageSetUpPr fitToPage="1"/>
  </sheetPr>
  <dimension ref="A1:O68"/>
  <sheetViews>
    <sheetView topLeftCell="A2" zoomScale="70" zoomScaleNormal="70" workbookViewId="0">
      <pane xSplit="3" ySplit="3" topLeftCell="D25" activePane="bottomRight" state="frozen"/>
      <selection pane="topRight"/>
      <selection pane="bottomLeft"/>
      <selection pane="bottomRight"/>
    </sheetView>
  </sheetViews>
  <sheetFormatPr defaultColWidth="25.5703125" defaultRowHeight="18.75"/>
  <cols>
    <col min="1" max="1" width="7.140625" style="359" customWidth="1"/>
    <col min="2" max="2" width="23.28515625" style="1" customWidth="1"/>
    <col min="3" max="3" width="12.28515625" style="803" customWidth="1"/>
    <col min="4" max="4" width="15.42578125" style="271" customWidth="1"/>
    <col min="5" max="5" width="16.42578125" style="271" customWidth="1"/>
    <col min="6" max="6" width="16.42578125" style="1" customWidth="1"/>
    <col min="7" max="7" width="24.42578125" style="1" customWidth="1"/>
    <col min="8" max="8" width="58.5703125" style="9" customWidth="1"/>
    <col min="9" max="9" width="40.42578125" style="9" customWidth="1"/>
    <col min="10" max="10" width="20.5703125" style="1" customWidth="1"/>
    <col min="11" max="11" width="19.28515625" style="1" customWidth="1"/>
    <col min="12" max="12" width="16.140625" style="1" hidden="1" customWidth="1"/>
    <col min="13" max="13" width="10.28515625" style="804" hidden="1" customWidth="1"/>
    <col min="14" max="14" width="27.42578125" style="3" customWidth="1"/>
    <col min="15" max="15" width="15.42578125" style="3" customWidth="1"/>
    <col min="16" max="16" width="34.5703125" style="3" customWidth="1"/>
    <col min="17" max="16384" width="25.5703125" style="3"/>
  </cols>
  <sheetData>
    <row r="1" spans="1:15" ht="17.25" customHeight="1">
      <c r="B1" s="10"/>
      <c r="C1" s="3624"/>
      <c r="D1" s="3624"/>
      <c r="E1" s="3624"/>
      <c r="F1" s="3624"/>
      <c r="G1" s="3624"/>
      <c r="H1" s="3624"/>
      <c r="I1" s="3624"/>
    </row>
    <row r="2" spans="1:15" ht="27" customHeight="1">
      <c r="A2" s="3637" t="s">
        <v>1383</v>
      </c>
      <c r="B2" s="3637"/>
      <c r="C2" s="3637"/>
      <c r="D2" s="3637"/>
      <c r="E2" s="3637"/>
      <c r="F2" s="3637"/>
      <c r="G2" s="3637"/>
      <c r="H2" s="3637"/>
      <c r="I2" s="3637"/>
      <c r="J2" s="194"/>
      <c r="K2" s="194"/>
      <c r="L2" s="195"/>
      <c r="M2" s="805"/>
      <c r="N2" s="196"/>
      <c r="O2" s="197"/>
    </row>
    <row r="3" spans="1:15" ht="24" customHeight="1">
      <c r="A3" s="360"/>
      <c r="B3" s="385"/>
      <c r="C3" s="806">
        <f>SUBTOTAL(9,C5:C212)</f>
        <v>104470</v>
      </c>
      <c r="D3" s="378"/>
      <c r="E3" s="849"/>
      <c r="F3" s="201"/>
      <c r="G3" s="199"/>
      <c r="H3" s="202"/>
      <c r="I3" s="3639">
        <f ca="1">TODAY()</f>
        <v>45960</v>
      </c>
      <c r="J3" s="3639"/>
      <c r="K3" s="807"/>
      <c r="L3" s="807"/>
      <c r="M3" s="808"/>
      <c r="N3" s="197"/>
      <c r="O3" s="197"/>
    </row>
    <row r="4" spans="1:15" s="7" customFormat="1" ht="48" customHeight="1">
      <c r="A4" s="810" t="s">
        <v>1</v>
      </c>
      <c r="B4" s="679" t="s">
        <v>1384</v>
      </c>
      <c r="C4" s="811" t="s">
        <v>3</v>
      </c>
      <c r="D4" s="679" t="s">
        <v>4</v>
      </c>
      <c r="E4" s="679" t="s">
        <v>6</v>
      </c>
      <c r="F4" s="679" t="s">
        <v>8</v>
      </c>
      <c r="G4" s="679" t="s">
        <v>9</v>
      </c>
      <c r="H4" s="812" t="s">
        <v>10</v>
      </c>
      <c r="I4" s="679" t="s">
        <v>11</v>
      </c>
      <c r="J4" s="679" t="s">
        <v>5</v>
      </c>
      <c r="K4" s="679" t="s">
        <v>1053</v>
      </c>
      <c r="L4" s="679" t="s">
        <v>1215</v>
      </c>
      <c r="M4" s="813" t="s">
        <v>340</v>
      </c>
      <c r="N4" s="753" t="s">
        <v>341</v>
      </c>
      <c r="O4" s="754">
        <f>SUM(O5:O13)</f>
        <v>54444</v>
      </c>
    </row>
    <row r="5" spans="1:15" s="336" customFormat="1" ht="88.5" customHeight="1">
      <c r="A5" s="786" cm="1">
        <f t="array" ref="A5:A54">_xlfn.SEQUENCE(50,1,1,)</f>
        <v>1</v>
      </c>
      <c r="B5" s="177" t="s">
        <v>1385</v>
      </c>
      <c r="C5" s="186">
        <v>7250</v>
      </c>
      <c r="D5" s="693" t="s">
        <v>1386</v>
      </c>
      <c r="E5" s="693" t="s">
        <v>251</v>
      </c>
      <c r="F5" s="87" t="s">
        <v>19</v>
      </c>
      <c r="G5" s="177" t="s">
        <v>1230</v>
      </c>
      <c r="H5" s="188" t="s">
        <v>1387</v>
      </c>
      <c r="I5" s="147"/>
      <c r="J5" s="177" t="s">
        <v>84</v>
      </c>
      <c r="K5" s="177" t="s">
        <v>84</v>
      </c>
      <c r="L5" s="133"/>
      <c r="M5" s="335">
        <f>C5</f>
        <v>7250</v>
      </c>
      <c r="N5" s="241" t="s">
        <v>84</v>
      </c>
      <c r="O5" s="258">
        <f>SUMIF($J:$J,N5,M:M)</f>
        <v>22550</v>
      </c>
    </row>
    <row r="6" spans="1:15" s="150" customFormat="1" ht="35.25" customHeight="1">
      <c r="A6" s="706">
        <v>2</v>
      </c>
      <c r="B6" s="177" t="s">
        <v>1388</v>
      </c>
      <c r="C6" s="186">
        <v>2950</v>
      </c>
      <c r="D6" s="693" t="s">
        <v>1389</v>
      </c>
      <c r="E6" s="693" t="s">
        <v>251</v>
      </c>
      <c r="F6" s="87" t="s">
        <v>19</v>
      </c>
      <c r="G6" s="180" t="s">
        <v>1238</v>
      </c>
      <c r="H6" s="156" t="s">
        <v>1390</v>
      </c>
      <c r="I6" s="703" t="s">
        <v>1391</v>
      </c>
      <c r="J6" s="177" t="s">
        <v>54</v>
      </c>
      <c r="K6" s="177" t="s">
        <v>483</v>
      </c>
      <c r="L6" s="388"/>
      <c r="M6" s="335">
        <f>C6</f>
        <v>2950</v>
      </c>
      <c r="N6" s="691" t="s">
        <v>89</v>
      </c>
      <c r="O6" s="248">
        <f>SUMIF($J:$J,N6,M:M)</f>
        <v>10570</v>
      </c>
    </row>
    <row r="7" spans="1:15" s="336" customFormat="1" ht="33" customHeight="1">
      <c r="A7" s="786">
        <v>3</v>
      </c>
      <c r="B7" s="87" t="s">
        <v>626</v>
      </c>
      <c r="C7" s="94">
        <v>3200</v>
      </c>
      <c r="D7" s="87" t="s">
        <v>1392</v>
      </c>
      <c r="E7" s="87" t="s">
        <v>226</v>
      </c>
      <c r="F7" s="89" t="s">
        <v>19</v>
      </c>
      <c r="G7" s="87" t="s">
        <v>172</v>
      </c>
      <c r="H7" s="184" t="s">
        <v>1393</v>
      </c>
      <c r="I7" s="850"/>
      <c r="J7" s="129" t="s">
        <v>84</v>
      </c>
      <c r="K7" s="133" t="s">
        <v>84</v>
      </c>
      <c r="L7" s="133"/>
      <c r="M7" s="335"/>
      <c r="N7" s="181" t="s">
        <v>514</v>
      </c>
      <c r="O7" s="851">
        <f>SUMIF($J:$J,N7,M:M)</f>
        <v>5574</v>
      </c>
    </row>
    <row r="8" spans="1:15" s="336" customFormat="1" ht="53.25" customHeight="1">
      <c r="A8" s="786">
        <v>4</v>
      </c>
      <c r="B8" s="87" t="s">
        <v>1394</v>
      </c>
      <c r="C8" s="94">
        <v>3050</v>
      </c>
      <c r="D8" s="87" t="s">
        <v>1395</v>
      </c>
      <c r="E8" s="87" t="s">
        <v>251</v>
      </c>
      <c r="F8" s="89" t="s">
        <v>19</v>
      </c>
      <c r="G8" s="87" t="s">
        <v>172</v>
      </c>
      <c r="H8" s="93" t="s">
        <v>1396</v>
      </c>
      <c r="I8" s="290" t="s">
        <v>1397</v>
      </c>
      <c r="J8" s="129" t="s">
        <v>84</v>
      </c>
      <c r="K8" s="133" t="s">
        <v>84</v>
      </c>
      <c r="L8" s="133"/>
      <c r="M8" s="335"/>
      <c r="N8" s="852" t="s">
        <v>54</v>
      </c>
      <c r="O8" s="851">
        <f>SUMIF($J:$J,N8,M:M)</f>
        <v>2950</v>
      </c>
    </row>
    <row r="9" spans="1:15" s="336" customFormat="1" ht="50.25" customHeight="1">
      <c r="A9" s="786">
        <v>5</v>
      </c>
      <c r="B9" s="87" t="s">
        <v>1295</v>
      </c>
      <c r="C9" s="94">
        <v>3350</v>
      </c>
      <c r="D9" s="87" t="s">
        <v>1395</v>
      </c>
      <c r="E9" s="87" t="s">
        <v>226</v>
      </c>
      <c r="F9" s="89" t="s">
        <v>19</v>
      </c>
      <c r="G9" s="87" t="s">
        <v>172</v>
      </c>
      <c r="H9" s="93" t="s">
        <v>1393</v>
      </c>
      <c r="I9" s="850"/>
      <c r="J9" s="129" t="s">
        <v>84</v>
      </c>
      <c r="K9" s="133" t="s">
        <v>84</v>
      </c>
      <c r="L9" s="133"/>
      <c r="M9" s="335">
        <f t="shared" ref="M9:M10" si="0">C9</f>
        <v>3350</v>
      </c>
      <c r="N9" s="241" t="s">
        <v>16</v>
      </c>
      <c r="O9" s="242">
        <f>SUMIF($J:$J,N9,M:M)</f>
        <v>4000</v>
      </c>
    </row>
    <row r="10" spans="1:15" s="150" customFormat="1" ht="56.25" customHeight="1">
      <c r="A10" s="706">
        <v>6</v>
      </c>
      <c r="B10" s="177" t="s">
        <v>608</v>
      </c>
      <c r="C10" s="186">
        <v>4300</v>
      </c>
      <c r="D10" s="693" t="s">
        <v>1398</v>
      </c>
      <c r="E10" s="87" t="s">
        <v>226</v>
      </c>
      <c r="F10" s="87" t="s">
        <v>19</v>
      </c>
      <c r="G10" s="180" t="s">
        <v>172</v>
      </c>
      <c r="H10" s="184" t="s">
        <v>1399</v>
      </c>
      <c r="I10" s="151"/>
      <c r="J10" s="177" t="s">
        <v>89</v>
      </c>
      <c r="K10" s="177" t="s">
        <v>89</v>
      </c>
      <c r="L10" s="388"/>
      <c r="M10" s="335">
        <f t="shared" si="0"/>
        <v>4300</v>
      </c>
      <c r="N10" s="365"/>
      <c r="O10" s="853"/>
    </row>
    <row r="11" spans="1:15" s="855" customFormat="1">
      <c r="A11" s="706">
        <v>7</v>
      </c>
      <c r="B11" s="177" t="s">
        <v>1400</v>
      </c>
      <c r="C11" s="186" t="s">
        <v>669</v>
      </c>
      <c r="D11" s="177" t="s">
        <v>1386</v>
      </c>
      <c r="E11" s="177"/>
      <c r="F11" s="389" t="s">
        <v>1401</v>
      </c>
      <c r="G11" s="177" t="s">
        <v>172</v>
      </c>
      <c r="H11" s="854" t="s">
        <v>669</v>
      </c>
      <c r="I11" s="147"/>
      <c r="J11" s="181" t="s">
        <v>84</v>
      </c>
      <c r="K11" s="133" t="s">
        <v>84</v>
      </c>
      <c r="L11" s="177"/>
      <c r="M11" s="335" t="str">
        <f t="shared" ref="M11" si="1">C11</f>
        <v>hủy</v>
      </c>
      <c r="N11" s="365"/>
      <c r="O11" s="853"/>
    </row>
    <row r="12" spans="1:15" s="336" customFormat="1" ht="63.75" customHeight="1">
      <c r="A12" s="706">
        <v>8</v>
      </c>
      <c r="B12" s="177" t="s">
        <v>1402</v>
      </c>
      <c r="C12" s="94">
        <v>3170</v>
      </c>
      <c r="D12" s="87" t="s">
        <v>1403</v>
      </c>
      <c r="E12" s="87" t="s">
        <v>226</v>
      </c>
      <c r="F12" s="89" t="s">
        <v>19</v>
      </c>
      <c r="G12" s="87" t="s">
        <v>1404</v>
      </c>
      <c r="H12" s="93" t="s">
        <v>1405</v>
      </c>
      <c r="I12" s="290" t="s">
        <v>1406</v>
      </c>
      <c r="J12" s="129" t="s">
        <v>89</v>
      </c>
      <c r="K12" s="133" t="s">
        <v>89</v>
      </c>
      <c r="L12" s="133"/>
      <c r="M12" s="335">
        <f t="shared" ref="M12" si="2">C12</f>
        <v>3170</v>
      </c>
      <c r="N12" s="365"/>
      <c r="O12" s="853"/>
    </row>
    <row r="13" spans="1:15" s="336" customFormat="1" ht="86.25" hidden="1" customHeight="1">
      <c r="A13" s="786">
        <v>9</v>
      </c>
      <c r="B13" s="177" t="s">
        <v>566</v>
      </c>
      <c r="C13" s="94">
        <v>3400</v>
      </c>
      <c r="D13" s="87" t="s">
        <v>1398</v>
      </c>
      <c r="E13" s="87" t="s">
        <v>251</v>
      </c>
      <c r="F13" s="89" t="s">
        <v>19</v>
      </c>
      <c r="G13" s="87" t="s">
        <v>172</v>
      </c>
      <c r="H13" s="93" t="s">
        <v>1407</v>
      </c>
      <c r="I13" s="290" t="s">
        <v>1408</v>
      </c>
      <c r="J13" s="129" t="s">
        <v>84</v>
      </c>
      <c r="K13" s="133" t="s">
        <v>84</v>
      </c>
      <c r="L13" s="133"/>
      <c r="M13" s="335">
        <f>C13</f>
        <v>3400</v>
      </c>
      <c r="N13" s="241" t="s">
        <v>43</v>
      </c>
      <c r="O13" s="242">
        <f>SUMIF($J:$J,N13,M:M)</f>
        <v>8800</v>
      </c>
    </row>
    <row r="14" spans="1:15" s="336" customFormat="1" ht="57.75" hidden="1" customHeight="1">
      <c r="A14" s="786">
        <v>10</v>
      </c>
      <c r="B14" s="177" t="s">
        <v>249</v>
      </c>
      <c r="C14" s="94">
        <v>2950</v>
      </c>
      <c r="D14" s="133" t="s">
        <v>1409</v>
      </c>
      <c r="E14" s="133" t="s">
        <v>251</v>
      </c>
      <c r="F14" s="89" t="s">
        <v>19</v>
      </c>
      <c r="G14" s="87" t="s">
        <v>172</v>
      </c>
      <c r="H14" s="93" t="s">
        <v>1410</v>
      </c>
      <c r="I14" s="850"/>
      <c r="J14" s="129" t="s">
        <v>84</v>
      </c>
      <c r="K14" s="133" t="s">
        <v>84</v>
      </c>
      <c r="L14" s="133"/>
      <c r="M14" s="335">
        <f>C14</f>
        <v>2950</v>
      </c>
      <c r="N14" s="861"/>
      <c r="O14" s="861"/>
    </row>
    <row r="15" spans="1:15" s="336" customFormat="1" ht="54" hidden="1" customHeight="1">
      <c r="A15" s="786">
        <v>11</v>
      </c>
      <c r="B15" s="177" t="s">
        <v>1411</v>
      </c>
      <c r="C15" s="94">
        <v>3000</v>
      </c>
      <c r="D15" s="87" t="s">
        <v>1398</v>
      </c>
      <c r="E15" s="87" t="s">
        <v>251</v>
      </c>
      <c r="F15" s="89" t="s">
        <v>19</v>
      </c>
      <c r="G15" s="87" t="s">
        <v>172</v>
      </c>
      <c r="H15" s="93" t="s">
        <v>1412</v>
      </c>
      <c r="I15" s="850" t="s">
        <v>1413</v>
      </c>
      <c r="J15" s="129" t="s">
        <v>54</v>
      </c>
      <c r="K15" s="133" t="s">
        <v>483</v>
      </c>
      <c r="L15" s="133"/>
      <c r="M15" s="335"/>
    </row>
    <row r="16" spans="1:15" s="336" customFormat="1" ht="52.5" hidden="1" customHeight="1">
      <c r="A16" s="786">
        <v>12</v>
      </c>
      <c r="B16" s="177" t="s">
        <v>1414</v>
      </c>
      <c r="C16" s="94">
        <v>3100</v>
      </c>
      <c r="D16" s="87" t="s">
        <v>1415</v>
      </c>
      <c r="E16" s="87" t="s">
        <v>251</v>
      </c>
      <c r="F16" s="89" t="s">
        <v>19</v>
      </c>
      <c r="G16" s="87" t="s">
        <v>1238</v>
      </c>
      <c r="H16" s="93" t="s">
        <v>1416</v>
      </c>
      <c r="I16" s="290" t="s">
        <v>1417</v>
      </c>
      <c r="J16" s="129" t="s">
        <v>89</v>
      </c>
      <c r="K16" s="133" t="s">
        <v>89</v>
      </c>
      <c r="L16" s="133"/>
      <c r="M16" s="335">
        <f>C16</f>
        <v>3100</v>
      </c>
    </row>
    <row r="17" spans="1:15" s="358" customFormat="1" hidden="1">
      <c r="A17" s="856">
        <v>13</v>
      </c>
      <c r="B17" s="857" t="s">
        <v>1418</v>
      </c>
      <c r="C17" s="353" t="s">
        <v>676</v>
      </c>
      <c r="D17" s="381" t="s">
        <v>1419</v>
      </c>
      <c r="E17" s="381"/>
      <c r="F17" s="628" t="s">
        <v>19</v>
      </c>
      <c r="G17" s="354" t="s">
        <v>101</v>
      </c>
      <c r="H17" s="355"/>
      <c r="I17" s="858"/>
      <c r="J17" s="352" t="s">
        <v>84</v>
      </c>
      <c r="K17" s="381" t="s">
        <v>84</v>
      </c>
      <c r="L17" s="381"/>
      <c r="M17" s="859"/>
      <c r="N17" s="860"/>
      <c r="O17" s="860"/>
    </row>
    <row r="18" spans="1:15" s="873" customFormat="1" hidden="1">
      <c r="A18" s="862">
        <v>14</v>
      </c>
      <c r="B18" s="863" t="s">
        <v>1420</v>
      </c>
      <c r="C18" s="864" t="s">
        <v>675</v>
      </c>
      <c r="D18" s="865" t="s">
        <v>1421</v>
      </c>
      <c r="E18" s="865"/>
      <c r="F18" s="866" t="s">
        <v>19</v>
      </c>
      <c r="G18" s="867" t="s">
        <v>172</v>
      </c>
      <c r="H18" s="868"/>
      <c r="I18" s="869"/>
      <c r="J18" s="870" t="s">
        <v>84</v>
      </c>
      <c r="K18" s="865" t="s">
        <v>84</v>
      </c>
      <c r="L18" s="865"/>
      <c r="M18" s="871"/>
      <c r="N18" s="872"/>
      <c r="O18" s="872"/>
    </row>
    <row r="19" spans="1:15" s="336" customFormat="1" ht="75.75" hidden="1" customHeight="1">
      <c r="A19" s="786">
        <v>15</v>
      </c>
      <c r="B19" s="177" t="s">
        <v>1422</v>
      </c>
      <c r="C19" s="186">
        <v>4200</v>
      </c>
      <c r="D19" s="693" t="s">
        <v>1421</v>
      </c>
      <c r="E19" s="87" t="s">
        <v>251</v>
      </c>
      <c r="F19" s="87" t="s">
        <v>19</v>
      </c>
      <c r="G19" s="180" t="s">
        <v>172</v>
      </c>
      <c r="H19" s="93" t="s">
        <v>1423</v>
      </c>
      <c r="I19" s="850"/>
      <c r="J19" s="177" t="s">
        <v>89</v>
      </c>
      <c r="K19" s="177" t="s">
        <v>89</v>
      </c>
      <c r="L19" s="133"/>
      <c r="M19" s="335"/>
      <c r="N19" s="855"/>
      <c r="O19" s="855"/>
    </row>
    <row r="20" spans="1:15" s="336" customFormat="1" ht="88.5" hidden="1" customHeight="1">
      <c r="A20" s="786">
        <v>16</v>
      </c>
      <c r="B20" s="177" t="s">
        <v>1117</v>
      </c>
      <c r="C20" s="186">
        <v>5870</v>
      </c>
      <c r="D20" s="693" t="s">
        <v>1421</v>
      </c>
      <c r="E20" s="87" t="s">
        <v>251</v>
      </c>
      <c r="F20" s="89" t="s">
        <v>19</v>
      </c>
      <c r="G20" s="180" t="s">
        <v>172</v>
      </c>
      <c r="H20" s="188" t="s">
        <v>1424</v>
      </c>
      <c r="I20" s="876" t="s">
        <v>1425</v>
      </c>
      <c r="J20" s="181" t="s">
        <v>84</v>
      </c>
      <c r="K20" s="177" t="s">
        <v>84</v>
      </c>
      <c r="L20" s="133"/>
      <c r="M20" s="335"/>
      <c r="N20" s="855"/>
      <c r="O20" s="855"/>
    </row>
    <row r="21" spans="1:15" s="855" customFormat="1" ht="108" customHeight="1">
      <c r="A21" s="706">
        <v>17</v>
      </c>
      <c r="B21" s="177" t="s">
        <v>1426</v>
      </c>
      <c r="C21" s="94">
        <v>8800</v>
      </c>
      <c r="D21" s="133" t="s">
        <v>1421</v>
      </c>
      <c r="E21" s="87" t="s">
        <v>251</v>
      </c>
      <c r="F21" s="87" t="s">
        <v>19</v>
      </c>
      <c r="G21" s="87" t="s">
        <v>1404</v>
      </c>
      <c r="H21" s="188" t="s">
        <v>1427</v>
      </c>
      <c r="I21" s="188" t="s">
        <v>1428</v>
      </c>
      <c r="J21" s="133" t="s">
        <v>43</v>
      </c>
      <c r="K21" s="87" t="s">
        <v>89</v>
      </c>
      <c r="L21" s="133"/>
      <c r="M21" s="335">
        <f>C21</f>
        <v>8800</v>
      </c>
      <c r="N21" s="336"/>
      <c r="O21" s="336"/>
    </row>
    <row r="22" spans="1:15" s="855" customFormat="1" ht="77.25" hidden="1" customHeight="1">
      <c r="A22" s="706">
        <v>18</v>
      </c>
      <c r="B22" s="87" t="s">
        <v>562</v>
      </c>
      <c r="C22" s="94">
        <v>2787</v>
      </c>
      <c r="D22" s="133" t="s">
        <v>1429</v>
      </c>
      <c r="E22" s="87" t="s">
        <v>251</v>
      </c>
      <c r="F22" s="87" t="s">
        <v>19</v>
      </c>
      <c r="G22" s="87" t="s">
        <v>172</v>
      </c>
      <c r="H22" s="188" t="s">
        <v>1430</v>
      </c>
      <c r="I22" s="290" t="s">
        <v>1431</v>
      </c>
      <c r="J22" s="133" t="s">
        <v>514</v>
      </c>
      <c r="K22" s="87" t="s">
        <v>89</v>
      </c>
      <c r="L22" s="133"/>
      <c r="M22" s="335">
        <f>C22</f>
        <v>2787</v>
      </c>
      <c r="N22" s="336"/>
      <c r="O22" s="336"/>
    </row>
    <row r="23" spans="1:15" s="336" customFormat="1" ht="59.25" hidden="1" customHeight="1">
      <c r="A23" s="786">
        <v>19</v>
      </c>
      <c r="B23" s="177" t="s">
        <v>270</v>
      </c>
      <c r="C23" s="94">
        <v>3950</v>
      </c>
      <c r="D23" s="133" t="s">
        <v>1432</v>
      </c>
      <c r="E23" s="133" t="s">
        <v>251</v>
      </c>
      <c r="F23" s="89" t="s">
        <v>19</v>
      </c>
      <c r="G23" s="87" t="s">
        <v>101</v>
      </c>
      <c r="H23" s="93" t="s">
        <v>1433</v>
      </c>
      <c r="I23" s="876" t="s">
        <v>1434</v>
      </c>
      <c r="J23" s="129" t="s">
        <v>84</v>
      </c>
      <c r="K23" s="133" t="s">
        <v>84</v>
      </c>
      <c r="L23" s="133"/>
      <c r="M23" s="335"/>
      <c r="N23" s="861"/>
      <c r="O23" s="861"/>
    </row>
    <row r="24" spans="1:15" s="336" customFormat="1" ht="58.5" customHeight="1">
      <c r="A24" s="786">
        <v>20</v>
      </c>
      <c r="B24" s="177" t="s">
        <v>638</v>
      </c>
      <c r="C24" s="94">
        <v>3800</v>
      </c>
      <c r="D24" s="133" t="s">
        <v>1435</v>
      </c>
      <c r="E24" s="133" t="s">
        <v>251</v>
      </c>
      <c r="F24" s="89" t="s">
        <v>19</v>
      </c>
      <c r="G24" s="87" t="s">
        <v>1404</v>
      </c>
      <c r="H24" s="93" t="s">
        <v>1436</v>
      </c>
      <c r="I24" s="290"/>
      <c r="J24" s="349" t="s">
        <v>84</v>
      </c>
      <c r="K24" s="133" t="s">
        <v>84</v>
      </c>
      <c r="L24" s="133"/>
      <c r="M24" s="335"/>
    </row>
    <row r="25" spans="1:15" s="336" customFormat="1" ht="56.25">
      <c r="A25" s="786">
        <v>21</v>
      </c>
      <c r="B25" s="177" t="s">
        <v>1295</v>
      </c>
      <c r="C25" s="94">
        <v>3350</v>
      </c>
      <c r="D25" s="133" t="s">
        <v>1437</v>
      </c>
      <c r="E25" s="133" t="s">
        <v>226</v>
      </c>
      <c r="F25" s="87" t="s">
        <v>19</v>
      </c>
      <c r="G25" s="89" t="s">
        <v>1404</v>
      </c>
      <c r="H25" s="93" t="s">
        <v>1438</v>
      </c>
      <c r="I25" s="345"/>
      <c r="J25" s="349" t="s">
        <v>84</v>
      </c>
      <c r="K25" s="87" t="s">
        <v>84</v>
      </c>
      <c r="L25" s="878"/>
      <c r="M25" s="335"/>
    </row>
    <row r="26" spans="1:15" s="336" customFormat="1" ht="117" hidden="1" customHeight="1">
      <c r="A26" s="786">
        <v>22</v>
      </c>
      <c r="B26" s="177" t="s">
        <v>985</v>
      </c>
      <c r="C26" s="94">
        <v>7150</v>
      </c>
      <c r="D26" s="393">
        <v>44608</v>
      </c>
      <c r="E26" s="133" t="s">
        <v>251</v>
      </c>
      <c r="F26" s="87" t="s">
        <v>19</v>
      </c>
      <c r="G26" s="897" t="s">
        <v>959</v>
      </c>
      <c r="H26" s="703" t="s">
        <v>1439</v>
      </c>
      <c r="I26" s="286" t="s">
        <v>1440</v>
      </c>
      <c r="J26" s="129" t="s">
        <v>84</v>
      </c>
      <c r="K26" s="87" t="s">
        <v>84</v>
      </c>
      <c r="L26" s="129"/>
      <c r="M26" s="335"/>
    </row>
    <row r="27" spans="1:15" s="336" customFormat="1" ht="59.25" hidden="1" customHeight="1">
      <c r="A27" s="786">
        <v>23</v>
      </c>
      <c r="B27" s="87" t="s">
        <v>581</v>
      </c>
      <c r="C27" s="94">
        <v>450</v>
      </c>
      <c r="D27" s="133" t="s">
        <v>1437</v>
      </c>
      <c r="E27" s="133" t="s">
        <v>251</v>
      </c>
      <c r="F27" s="89" t="s">
        <v>19</v>
      </c>
      <c r="G27" s="87" t="s">
        <v>623</v>
      </c>
      <c r="H27" s="140" t="s">
        <v>1441</v>
      </c>
      <c r="I27" s="388" t="s">
        <v>1442</v>
      </c>
      <c r="J27" s="349" t="s">
        <v>89</v>
      </c>
      <c r="K27" s="87" t="s">
        <v>89</v>
      </c>
      <c r="L27" s="878"/>
      <c r="M27" s="335"/>
    </row>
    <row r="28" spans="1:15" s="336" customFormat="1" ht="37.5" hidden="1" customHeight="1">
      <c r="A28" s="786">
        <v>24</v>
      </c>
      <c r="B28" s="87" t="s">
        <v>531</v>
      </c>
      <c r="C28" s="94">
        <v>2787</v>
      </c>
      <c r="D28" s="393">
        <v>44610</v>
      </c>
      <c r="E28" s="133" t="s">
        <v>251</v>
      </c>
      <c r="F28" s="89" t="s">
        <v>19</v>
      </c>
      <c r="G28" s="87" t="s">
        <v>1443</v>
      </c>
      <c r="H28" s="93" t="s">
        <v>1444</v>
      </c>
      <c r="I28" s="388"/>
      <c r="J28" s="349" t="s">
        <v>514</v>
      </c>
      <c r="K28" s="87" t="s">
        <v>89</v>
      </c>
      <c r="L28" s="850"/>
      <c r="M28" s="335">
        <f>C28</f>
        <v>2787</v>
      </c>
    </row>
    <row r="29" spans="1:15" s="336" customFormat="1" ht="43.5" hidden="1" customHeight="1">
      <c r="A29" s="786">
        <v>25</v>
      </c>
      <c r="B29" s="177" t="s">
        <v>1445</v>
      </c>
      <c r="C29" s="94">
        <v>1950</v>
      </c>
      <c r="D29" s="133" t="s">
        <v>1446</v>
      </c>
      <c r="E29" s="133" t="s">
        <v>251</v>
      </c>
      <c r="F29" s="89" t="s">
        <v>19</v>
      </c>
      <c r="G29" s="87" t="s">
        <v>1447</v>
      </c>
      <c r="H29" s="93" t="s">
        <v>1448</v>
      </c>
      <c r="I29" s="364" t="s">
        <v>1449</v>
      </c>
      <c r="J29" s="349" t="s">
        <v>89</v>
      </c>
      <c r="K29" s="87" t="s">
        <v>89</v>
      </c>
      <c r="L29" s="878"/>
      <c r="M29" s="335"/>
    </row>
    <row r="30" spans="1:15" s="336" customFormat="1" ht="101.25" hidden="1" customHeight="1">
      <c r="A30" s="786">
        <v>26</v>
      </c>
      <c r="B30" s="177" t="s">
        <v>1350</v>
      </c>
      <c r="C30" s="94">
        <v>4050</v>
      </c>
      <c r="D30" s="393" t="s">
        <v>1450</v>
      </c>
      <c r="E30" s="133" t="s">
        <v>226</v>
      </c>
      <c r="F30" s="89" t="s">
        <v>19</v>
      </c>
      <c r="G30" s="87" t="s">
        <v>1264</v>
      </c>
      <c r="H30" s="119" t="s">
        <v>1451</v>
      </c>
      <c r="I30" s="703"/>
      <c r="J30" s="349" t="s">
        <v>16</v>
      </c>
      <c r="K30" s="133" t="s">
        <v>16</v>
      </c>
      <c r="L30" s="349"/>
      <c r="M30" s="335"/>
    </row>
    <row r="31" spans="1:15" s="150" customFormat="1" ht="57" hidden="1" customHeight="1">
      <c r="A31" s="904">
        <v>27</v>
      </c>
      <c r="B31" s="905" t="s">
        <v>1452</v>
      </c>
      <c r="C31" s="688">
        <v>4050</v>
      </c>
      <c r="D31" s="906" t="s">
        <v>1453</v>
      </c>
      <c r="E31" s="907" t="s">
        <v>251</v>
      </c>
      <c r="F31" s="113" t="s">
        <v>19</v>
      </c>
      <c r="G31" s="117" t="s">
        <v>364</v>
      </c>
      <c r="H31" s="290" t="s">
        <v>1454</v>
      </c>
      <c r="I31" s="908"/>
      <c r="J31" s="816" t="s">
        <v>16</v>
      </c>
      <c r="K31" s="182" t="s">
        <v>16</v>
      </c>
      <c r="L31" s="390"/>
      <c r="M31" s="335"/>
      <c r="N31" s="336"/>
      <c r="O31" s="336"/>
    </row>
    <row r="32" spans="1:15" s="336" customFormat="1" ht="131.25" hidden="1">
      <c r="A32" s="786">
        <v>28</v>
      </c>
      <c r="B32" s="177" t="s">
        <v>818</v>
      </c>
      <c r="C32" s="94">
        <v>22800</v>
      </c>
      <c r="D32" s="133" t="s">
        <v>1455</v>
      </c>
      <c r="E32" s="133" t="s">
        <v>251</v>
      </c>
      <c r="F32" s="89" t="s">
        <v>19</v>
      </c>
      <c r="G32" s="87" t="s">
        <v>172</v>
      </c>
      <c r="H32" s="93" t="s">
        <v>1456</v>
      </c>
      <c r="I32" s="345"/>
      <c r="J32" s="349" t="s">
        <v>16</v>
      </c>
      <c r="K32" s="87" t="s">
        <v>16</v>
      </c>
      <c r="L32" s="878"/>
      <c r="M32" s="335"/>
    </row>
    <row r="33" spans="1:15" s="336" customFormat="1" ht="87" hidden="1" customHeight="1">
      <c r="A33" s="786">
        <v>29</v>
      </c>
      <c r="B33" s="177" t="s">
        <v>1457</v>
      </c>
      <c r="C33" s="94">
        <v>4300</v>
      </c>
      <c r="D33" s="393" t="s">
        <v>1458</v>
      </c>
      <c r="E33" s="133" t="s">
        <v>251</v>
      </c>
      <c r="F33" s="89" t="s">
        <v>19</v>
      </c>
      <c r="G33" s="87" t="s">
        <v>1264</v>
      </c>
      <c r="H33" s="913" t="s">
        <v>1459</v>
      </c>
      <c r="I33" s="914"/>
      <c r="J33" s="129" t="s">
        <v>89</v>
      </c>
      <c r="K33" s="87" t="s">
        <v>89</v>
      </c>
      <c r="L33" s="129"/>
      <c r="M33" s="335"/>
    </row>
    <row r="34" spans="1:15" s="336" customFormat="1" ht="59.25" hidden="1" customHeight="1">
      <c r="A34" s="786">
        <v>30</v>
      </c>
      <c r="B34" s="87" t="s">
        <v>1460</v>
      </c>
      <c r="C34" s="88">
        <v>4980</v>
      </c>
      <c r="D34" s="393" t="s">
        <v>1290</v>
      </c>
      <c r="E34" s="384" t="s">
        <v>251</v>
      </c>
      <c r="F34" s="87" t="s">
        <v>19</v>
      </c>
      <c r="G34" s="87" t="s">
        <v>74</v>
      </c>
      <c r="H34" s="876" t="s">
        <v>1461</v>
      </c>
      <c r="I34" s="915"/>
      <c r="J34" s="87" t="s">
        <v>84</v>
      </c>
      <c r="K34" s="129" t="s">
        <v>84</v>
      </c>
      <c r="L34" s="129"/>
      <c r="M34" s="335"/>
    </row>
    <row r="35" spans="1:15" s="336" customFormat="1" ht="93.75" hidden="1" customHeight="1">
      <c r="A35" s="789">
        <v>31</v>
      </c>
      <c r="B35" s="125" t="s">
        <v>712</v>
      </c>
      <c r="C35" s="114">
        <v>21300</v>
      </c>
      <c r="D35" s="925" t="s">
        <v>1458</v>
      </c>
      <c r="E35" s="384" t="s">
        <v>251</v>
      </c>
      <c r="F35" s="117" t="s">
        <v>19</v>
      </c>
      <c r="G35" s="117" t="s">
        <v>172</v>
      </c>
      <c r="H35" s="1004" t="s">
        <v>1462</v>
      </c>
      <c r="I35" s="926">
        <f>21300-5000-10000-2136-3100</f>
        <v>1064</v>
      </c>
      <c r="J35" s="87" t="s">
        <v>43</v>
      </c>
      <c r="K35" s="125" t="s">
        <v>483</v>
      </c>
      <c r="L35" s="129"/>
      <c r="M35" s="335"/>
    </row>
    <row r="36" spans="1:15" s="336" customFormat="1" ht="104.25" hidden="1" customHeight="1">
      <c r="A36" s="927">
        <v>32</v>
      </c>
      <c r="B36" s="87" t="s">
        <v>1426</v>
      </c>
      <c r="C36" s="94">
        <v>8800</v>
      </c>
      <c r="D36" s="393" t="s">
        <v>1290</v>
      </c>
      <c r="E36" s="384" t="s">
        <v>251</v>
      </c>
      <c r="F36" s="87" t="s">
        <v>19</v>
      </c>
      <c r="G36" s="87" t="s">
        <v>1230</v>
      </c>
      <c r="H36" s="188" t="s">
        <v>1463</v>
      </c>
      <c r="I36" s="364">
        <f>2000+3000+181+3000+800</f>
        <v>8981</v>
      </c>
      <c r="J36" s="87" t="s">
        <v>16</v>
      </c>
      <c r="K36" s="125" t="s">
        <v>16</v>
      </c>
      <c r="L36" s="129"/>
      <c r="M36" s="335"/>
    </row>
    <row r="37" spans="1:15" s="929" customFormat="1" ht="52.5" hidden="1" customHeight="1">
      <c r="A37" s="932">
        <v>33</v>
      </c>
      <c r="B37" s="388" t="s">
        <v>549</v>
      </c>
      <c r="C37" s="186">
        <v>3500</v>
      </c>
      <c r="D37" s="933" t="s">
        <v>1464</v>
      </c>
      <c r="E37" s="384" t="s">
        <v>251</v>
      </c>
      <c r="F37" s="87" t="s">
        <v>19</v>
      </c>
      <c r="G37" s="87" t="s">
        <v>172</v>
      </c>
      <c r="H37" s="290" t="s">
        <v>1465</v>
      </c>
      <c r="I37" s="147" t="s">
        <v>1466</v>
      </c>
      <c r="J37" s="177" t="s">
        <v>84</v>
      </c>
      <c r="K37" s="816" t="s">
        <v>84</v>
      </c>
      <c r="L37" s="928"/>
      <c r="M37" s="877"/>
      <c r="N37" s="841"/>
      <c r="O37" s="841"/>
    </row>
    <row r="38" spans="1:15" s="912" customFormat="1" hidden="1">
      <c r="A38" s="930">
        <v>34</v>
      </c>
      <c r="B38" s="931" t="s">
        <v>249</v>
      </c>
      <c r="C38" s="916" t="s">
        <v>669</v>
      </c>
      <c r="D38" s="909" t="s">
        <v>1467</v>
      </c>
      <c r="E38" s="909"/>
      <c r="F38" s="909" t="s">
        <v>19</v>
      </c>
      <c r="G38" s="931" t="s">
        <v>172</v>
      </c>
      <c r="H38" s="909"/>
      <c r="I38" s="909"/>
      <c r="J38" s="909" t="s">
        <v>84</v>
      </c>
      <c r="K38" s="909" t="s">
        <v>84</v>
      </c>
      <c r="L38" s="910"/>
      <c r="M38" s="911"/>
    </row>
    <row r="39" spans="1:15" s="336" customFormat="1" ht="67.5" hidden="1" customHeight="1">
      <c r="A39" s="786">
        <v>35</v>
      </c>
      <c r="B39" s="87" t="s">
        <v>1321</v>
      </c>
      <c r="C39" s="934">
        <v>3750</v>
      </c>
      <c r="D39" s="393" t="s">
        <v>1468</v>
      </c>
      <c r="E39" s="935" t="s">
        <v>251</v>
      </c>
      <c r="F39" s="89" t="s">
        <v>19</v>
      </c>
      <c r="G39" s="87" t="s">
        <v>172</v>
      </c>
      <c r="H39" s="983" t="s">
        <v>1444</v>
      </c>
      <c r="I39" s="936"/>
      <c r="J39" s="133" t="s">
        <v>16</v>
      </c>
      <c r="K39" s="87" t="s">
        <v>16</v>
      </c>
      <c r="L39" s="349"/>
      <c r="M39" s="335"/>
    </row>
    <row r="40" spans="1:15" s="336" customFormat="1" ht="62.25" hidden="1" customHeight="1">
      <c r="A40" s="786">
        <v>36</v>
      </c>
      <c r="B40" s="125" t="s">
        <v>1075</v>
      </c>
      <c r="C40" s="114">
        <v>5600</v>
      </c>
      <c r="D40" s="925" t="s">
        <v>1468</v>
      </c>
      <c r="E40" s="935" t="s">
        <v>251</v>
      </c>
      <c r="F40" s="117" t="s">
        <v>19</v>
      </c>
      <c r="G40" s="87" t="s">
        <v>20</v>
      </c>
      <c r="H40" s="183" t="s">
        <v>1469</v>
      </c>
      <c r="I40" s="937" t="s">
        <v>1470</v>
      </c>
      <c r="J40" s="87" t="s">
        <v>84</v>
      </c>
      <c r="K40" s="87" t="s">
        <v>84</v>
      </c>
      <c r="L40" s="129"/>
      <c r="M40" s="335">
        <f>C40</f>
        <v>5600</v>
      </c>
    </row>
    <row r="41" spans="1:15" s="336" customFormat="1" ht="75">
      <c r="A41" s="786">
        <v>37</v>
      </c>
      <c r="B41" s="968" t="s">
        <v>1471</v>
      </c>
      <c r="C41" s="153">
        <v>35000</v>
      </c>
      <c r="D41" s="380" t="s">
        <v>1472</v>
      </c>
      <c r="E41" s="969" t="s">
        <v>226</v>
      </c>
      <c r="F41" s="91" t="s">
        <v>19</v>
      </c>
      <c r="G41" s="730" t="s">
        <v>510</v>
      </c>
      <c r="H41" s="970" t="s">
        <v>1473</v>
      </c>
      <c r="I41" s="728" t="s">
        <v>1474</v>
      </c>
      <c r="J41" s="91" t="s">
        <v>1475</v>
      </c>
      <c r="K41" s="129" t="s">
        <v>16</v>
      </c>
      <c r="L41" s="129"/>
      <c r="M41" s="335">
        <f>C41</f>
        <v>35000</v>
      </c>
    </row>
    <row r="42" spans="1:15" s="336" customFormat="1">
      <c r="A42" s="971">
        <v>38</v>
      </c>
      <c r="B42" s="87" t="s">
        <v>608</v>
      </c>
      <c r="C42" s="88">
        <v>4300</v>
      </c>
      <c r="D42" s="393" t="s">
        <v>1468</v>
      </c>
      <c r="E42" s="133" t="s">
        <v>251</v>
      </c>
      <c r="F42" s="87" t="s">
        <v>19</v>
      </c>
      <c r="G42" s="89" t="s">
        <v>172</v>
      </c>
      <c r="H42" s="850" t="s">
        <v>1476</v>
      </c>
      <c r="I42" s="914"/>
      <c r="J42" s="154" t="s">
        <v>84</v>
      </c>
      <c r="K42" s="91" t="s">
        <v>84</v>
      </c>
      <c r="L42" s="129"/>
      <c r="M42" s="335"/>
    </row>
    <row r="43" spans="1:15" s="336" customFormat="1" ht="183.75" customHeight="1">
      <c r="A43" s="786">
        <v>39</v>
      </c>
      <c r="B43" s="177" t="s">
        <v>700</v>
      </c>
      <c r="C43" s="88">
        <v>8700</v>
      </c>
      <c r="D43" s="393">
        <v>2</v>
      </c>
      <c r="E43" s="133" t="s">
        <v>251</v>
      </c>
      <c r="F43" s="87" t="s">
        <v>19</v>
      </c>
      <c r="G43" s="89" t="s">
        <v>63</v>
      </c>
      <c r="H43" s="93" t="s">
        <v>1477</v>
      </c>
      <c r="I43" s="290">
        <f>8700-2000-1000-2000-400-2000</f>
        <v>1300</v>
      </c>
      <c r="J43" s="348" t="s">
        <v>16</v>
      </c>
      <c r="K43" s="133" t="s">
        <v>16</v>
      </c>
      <c r="L43" s="349"/>
      <c r="M43" s="335"/>
    </row>
    <row r="44" spans="1:15" s="336" customFormat="1" ht="100.5" hidden="1" customHeight="1">
      <c r="A44" s="789">
        <v>40</v>
      </c>
      <c r="B44" s="125" t="s">
        <v>1098</v>
      </c>
      <c r="C44" s="114">
        <v>4050</v>
      </c>
      <c r="D44" s="393" t="s">
        <v>1219</v>
      </c>
      <c r="E44" s="133" t="s">
        <v>251</v>
      </c>
      <c r="F44" s="117" t="s">
        <v>19</v>
      </c>
      <c r="G44" s="87" t="s">
        <v>1238</v>
      </c>
      <c r="H44" s="188" t="s">
        <v>1478</v>
      </c>
      <c r="I44" s="972" t="s">
        <v>1479</v>
      </c>
      <c r="J44" s="113" t="s">
        <v>89</v>
      </c>
      <c r="K44" s="113" t="s">
        <v>89</v>
      </c>
      <c r="L44" s="129"/>
      <c r="M44" s="335"/>
    </row>
    <row r="45" spans="1:15" s="336" customFormat="1" ht="55.5" hidden="1" customHeight="1">
      <c r="A45" s="745">
        <v>41</v>
      </c>
      <c r="B45" s="113" t="s">
        <v>1101</v>
      </c>
      <c r="C45" s="94">
        <v>4350</v>
      </c>
      <c r="D45" s="393" t="s">
        <v>1216</v>
      </c>
      <c r="E45" s="133"/>
      <c r="F45" s="87" t="s">
        <v>19</v>
      </c>
      <c r="G45" s="87" t="s">
        <v>172</v>
      </c>
      <c r="H45" s="155" t="s">
        <v>1223</v>
      </c>
      <c r="I45" s="3654" t="s">
        <v>1480</v>
      </c>
      <c r="J45" s="154" t="s">
        <v>84</v>
      </c>
      <c r="K45" s="91" t="s">
        <v>84</v>
      </c>
      <c r="L45" s="129"/>
      <c r="M45" s="335"/>
    </row>
    <row r="46" spans="1:15" s="947" customFormat="1" ht="100.5" hidden="1" customHeight="1">
      <c r="A46" s="938">
        <v>42</v>
      </c>
      <c r="B46" s="939" t="s">
        <v>1224</v>
      </c>
      <c r="C46" s="940">
        <v>2200</v>
      </c>
      <c r="D46" s="941" t="s">
        <v>1216</v>
      </c>
      <c r="E46" s="942"/>
      <c r="F46" s="939" t="s">
        <v>19</v>
      </c>
      <c r="G46" s="939" t="s">
        <v>172</v>
      </c>
      <c r="H46" s="1236" t="s">
        <v>1217</v>
      </c>
      <c r="I46" s="3655"/>
      <c r="J46" s="943" t="s">
        <v>54</v>
      </c>
      <c r="K46" s="944" t="s">
        <v>483</v>
      </c>
      <c r="L46" s="945"/>
      <c r="M46" s="946"/>
    </row>
    <row r="47" spans="1:15" s="947" customFormat="1" ht="55.5" hidden="1" customHeight="1">
      <c r="A47" s="950">
        <v>43</v>
      </c>
      <c r="B47" s="951" t="s">
        <v>1147</v>
      </c>
      <c r="C47" s="952">
        <v>5250</v>
      </c>
      <c r="D47" s="941" t="s">
        <v>1216</v>
      </c>
      <c r="E47" s="953"/>
      <c r="F47" s="948" t="s">
        <v>19</v>
      </c>
      <c r="G47" s="954" t="s">
        <v>1230</v>
      </c>
      <c r="H47" s="955" t="s">
        <v>1481</v>
      </c>
      <c r="I47" s="3655"/>
      <c r="J47" s="956" t="s">
        <v>16</v>
      </c>
      <c r="K47" s="939" t="s">
        <v>16</v>
      </c>
      <c r="L47" s="956"/>
      <c r="M47" s="946"/>
    </row>
    <row r="48" spans="1:15" s="947" customFormat="1" ht="67.5" hidden="1" customHeight="1">
      <c r="A48" s="957">
        <v>44</v>
      </c>
      <c r="B48" s="958" t="s">
        <v>914</v>
      </c>
      <c r="C48" s="959">
        <v>3550</v>
      </c>
      <c r="D48" s="941" t="s">
        <v>1216</v>
      </c>
      <c r="E48" s="960"/>
      <c r="F48" s="961" t="s">
        <v>19</v>
      </c>
      <c r="G48" s="944" t="s">
        <v>172</v>
      </c>
      <c r="H48" s="962" t="s">
        <v>1225</v>
      </c>
      <c r="I48" s="3655"/>
      <c r="J48" s="963" t="s">
        <v>89</v>
      </c>
      <c r="K48" s="948" t="s">
        <v>89</v>
      </c>
      <c r="L48" s="956"/>
      <c r="M48" s="946"/>
    </row>
    <row r="49" spans="1:15" s="947" customFormat="1" ht="75">
      <c r="A49" s="964">
        <v>45</v>
      </c>
      <c r="B49" s="939" t="s">
        <v>1236</v>
      </c>
      <c r="C49" s="949">
        <v>4000</v>
      </c>
      <c r="D49" s="941" t="s">
        <v>1216</v>
      </c>
      <c r="E49" s="942"/>
      <c r="F49" s="939" t="s">
        <v>19</v>
      </c>
      <c r="G49" s="939" t="s">
        <v>1238</v>
      </c>
      <c r="H49" s="965" t="s">
        <v>1239</v>
      </c>
      <c r="I49" s="3655"/>
      <c r="J49" s="956" t="s">
        <v>16</v>
      </c>
      <c r="K49" s="939" t="s">
        <v>16</v>
      </c>
      <c r="L49" s="956"/>
      <c r="M49" s="946">
        <f>C49</f>
        <v>4000</v>
      </c>
    </row>
    <row r="50" spans="1:15" s="947" customFormat="1">
      <c r="A50" s="950">
        <v>46</v>
      </c>
      <c r="B50" s="951" t="s">
        <v>1226</v>
      </c>
      <c r="C50" s="952">
        <v>5050</v>
      </c>
      <c r="D50" s="941" t="s">
        <v>1216</v>
      </c>
      <c r="E50" s="953"/>
      <c r="F50" s="948" t="s">
        <v>19</v>
      </c>
      <c r="G50" s="954" t="s">
        <v>172</v>
      </c>
      <c r="H50" s="966" t="s">
        <v>1482</v>
      </c>
      <c r="I50" s="3655"/>
      <c r="J50" s="939" t="s">
        <v>84</v>
      </c>
      <c r="K50" s="939" t="s">
        <v>84</v>
      </c>
      <c r="L50" s="945"/>
      <c r="M50" s="946"/>
    </row>
    <row r="51" spans="1:15" s="947" customFormat="1">
      <c r="A51" s="950">
        <v>47</v>
      </c>
      <c r="B51" s="951" t="s">
        <v>1247</v>
      </c>
      <c r="C51" s="952">
        <v>4200</v>
      </c>
      <c r="D51" s="941" t="s">
        <v>1216</v>
      </c>
      <c r="E51" s="953"/>
      <c r="F51" s="948" t="s">
        <v>19</v>
      </c>
      <c r="G51" s="954" t="s">
        <v>172</v>
      </c>
      <c r="H51" s="967"/>
      <c r="I51" s="3656"/>
      <c r="J51" s="942" t="s">
        <v>89</v>
      </c>
      <c r="K51" s="939" t="s">
        <v>89</v>
      </c>
      <c r="L51" s="956"/>
      <c r="M51" s="946"/>
    </row>
    <row r="52" spans="1:15" ht="67.5" customHeight="1">
      <c r="A52" s="738">
        <v>48</v>
      </c>
      <c r="B52" s="128"/>
      <c r="C52" s="752"/>
      <c r="D52" s="895"/>
      <c r="E52" s="735"/>
      <c r="F52" s="112"/>
      <c r="G52" s="875" t="s">
        <v>927</v>
      </c>
      <c r="H52" s="794" t="s">
        <v>1483</v>
      </c>
      <c r="I52" s="896" t="s">
        <v>1484</v>
      </c>
      <c r="J52" s="109"/>
      <c r="K52" s="102"/>
      <c r="L52" s="839"/>
      <c r="M52" s="809"/>
    </row>
    <row r="53" spans="1:15" s="892" customFormat="1" hidden="1">
      <c r="A53" s="887">
        <v>49</v>
      </c>
      <c r="B53" s="893" t="s">
        <v>1485</v>
      </c>
      <c r="C53" s="888" t="s">
        <v>1486</v>
      </c>
      <c r="D53" s="899">
        <v>44610</v>
      </c>
      <c r="E53" s="900"/>
      <c r="F53" s="901" t="s">
        <v>19</v>
      </c>
      <c r="G53" s="902" t="s">
        <v>364</v>
      </c>
      <c r="H53" s="1237" t="s">
        <v>1487</v>
      </c>
      <c r="I53" s="903"/>
      <c r="J53" s="890" t="s">
        <v>16</v>
      </c>
      <c r="K53" s="889" t="s">
        <v>16</v>
      </c>
      <c r="L53" s="889"/>
      <c r="M53" s="891" t="str">
        <f>C53</f>
        <v>Đổi tàu</v>
      </c>
    </row>
    <row r="54" spans="1:15" s="892" customFormat="1" hidden="1">
      <c r="A54" s="887">
        <v>50</v>
      </c>
      <c r="B54" s="917" t="s">
        <v>1488</v>
      </c>
      <c r="C54" s="918" t="s">
        <v>676</v>
      </c>
      <c r="D54" s="919" t="s">
        <v>1489</v>
      </c>
      <c r="E54" s="920" t="s">
        <v>22</v>
      </c>
      <c r="F54" s="921" t="s">
        <v>19</v>
      </c>
      <c r="G54" s="902" t="s">
        <v>172</v>
      </c>
      <c r="H54" s="922"/>
      <c r="I54" s="923"/>
      <c r="J54" s="920" t="s">
        <v>89</v>
      </c>
      <c r="K54" s="924" t="s">
        <v>89</v>
      </c>
      <c r="L54" s="890"/>
      <c r="M54" s="891"/>
    </row>
    <row r="55" spans="1:15" s="1" customFormat="1" hidden="1">
      <c r="A55" s="359"/>
      <c r="C55" s="803"/>
      <c r="D55" s="3645" t="s">
        <v>1490</v>
      </c>
      <c r="E55" s="3646"/>
      <c r="F55" s="3647"/>
      <c r="G55" s="3647"/>
      <c r="H55" s="3647"/>
      <c r="I55" s="3648"/>
      <c r="M55" s="766">
        <f t="shared" ref="M55:M60" si="3">C55</f>
        <v>0</v>
      </c>
      <c r="N55" s="3"/>
      <c r="O55" s="3"/>
    </row>
    <row r="56" spans="1:15" s="1" customFormat="1" hidden="1">
      <c r="A56" s="359"/>
      <c r="C56" s="803"/>
      <c r="D56" s="3649"/>
      <c r="E56" s="3647"/>
      <c r="F56" s="3647"/>
      <c r="G56" s="3647"/>
      <c r="H56" s="3647"/>
      <c r="I56" s="3650"/>
      <c r="M56" s="766">
        <f t="shared" si="3"/>
        <v>0</v>
      </c>
      <c r="N56" s="3"/>
      <c r="O56" s="3"/>
    </row>
    <row r="57" spans="1:15" s="1" customFormat="1" hidden="1">
      <c r="A57" s="359"/>
      <c r="C57" s="803"/>
      <c r="D57" s="3649"/>
      <c r="E57" s="3647"/>
      <c r="F57" s="3647"/>
      <c r="G57" s="3647"/>
      <c r="H57" s="3647"/>
      <c r="I57" s="3650"/>
      <c r="M57" s="766">
        <f t="shared" si="3"/>
        <v>0</v>
      </c>
      <c r="N57" s="3"/>
      <c r="O57" s="3"/>
    </row>
    <row r="58" spans="1:15" s="1" customFormat="1" hidden="1">
      <c r="A58" s="359"/>
      <c r="C58" s="803"/>
      <c r="D58" s="3651"/>
      <c r="E58" s="3652"/>
      <c r="F58" s="3652"/>
      <c r="G58" s="3652"/>
      <c r="H58" s="3652"/>
      <c r="I58" s="3653"/>
      <c r="M58" s="766">
        <f t="shared" si="3"/>
        <v>0</v>
      </c>
      <c r="N58" s="3"/>
      <c r="O58" s="3"/>
    </row>
    <row r="59" spans="1:15" s="1" customFormat="1" hidden="1">
      <c r="A59" s="359"/>
      <c r="C59" s="803"/>
      <c r="D59" s="271"/>
      <c r="E59" s="271"/>
      <c r="H59" s="9"/>
      <c r="I59" s="9"/>
      <c r="M59" s="766">
        <f t="shared" si="3"/>
        <v>0</v>
      </c>
      <c r="N59" s="3"/>
      <c r="O59" s="3"/>
    </row>
    <row r="60" spans="1:15" s="1" customFormat="1" ht="42.75" hidden="1" customHeight="1">
      <c r="A60" s="359"/>
      <c r="C60" s="803"/>
      <c r="D60" s="271"/>
      <c r="E60" s="271"/>
      <c r="H60" s="696" t="s">
        <v>1491</v>
      </c>
      <c r="I60" s="477"/>
      <c r="M60" s="766">
        <f t="shared" si="3"/>
        <v>0</v>
      </c>
      <c r="N60" s="3"/>
      <c r="O60" s="3"/>
    </row>
    <row r="61" spans="1:15" s="835" customFormat="1" hidden="1">
      <c r="A61" s="879"/>
      <c r="B61" s="880" t="s">
        <v>1492</v>
      </c>
      <c r="C61" s="881" t="s">
        <v>675</v>
      </c>
      <c r="D61" s="882">
        <v>44611</v>
      </c>
      <c r="E61" s="883" t="s">
        <v>675</v>
      </c>
      <c r="F61" s="880" t="s">
        <v>19</v>
      </c>
      <c r="G61" s="884"/>
      <c r="H61" s="894" t="s">
        <v>1493</v>
      </c>
      <c r="I61" s="898"/>
      <c r="J61" s="883" t="s">
        <v>89</v>
      </c>
      <c r="K61" s="880" t="s">
        <v>89</v>
      </c>
      <c r="L61" s="885"/>
      <c r="M61" s="886"/>
    </row>
    <row r="62" spans="1:15" s="1" customFormat="1" hidden="1">
      <c r="A62" s="359"/>
      <c r="C62" s="803"/>
      <c r="D62" s="271"/>
      <c r="E62" s="271"/>
      <c r="H62" s="342"/>
      <c r="I62" s="9"/>
      <c r="M62" s="766">
        <f t="shared" ref="M62:M68" si="4">C62</f>
        <v>0</v>
      </c>
      <c r="N62" s="3"/>
      <c r="O62" s="3"/>
    </row>
    <row r="63" spans="1:15" s="1" customFormat="1" hidden="1">
      <c r="A63" s="359"/>
      <c r="C63" s="803"/>
      <c r="D63" s="271"/>
      <c r="E63" s="271"/>
      <c r="H63" s="9"/>
      <c r="I63" s="9"/>
      <c r="M63" s="766">
        <f t="shared" si="4"/>
        <v>0</v>
      </c>
      <c r="N63" s="3"/>
      <c r="O63" s="3"/>
    </row>
    <row r="64" spans="1:15" hidden="1">
      <c r="M64" s="766">
        <f t="shared" si="4"/>
        <v>0</v>
      </c>
    </row>
    <row r="65" spans="1:15" s="1" customFormat="1" hidden="1">
      <c r="A65" s="359"/>
      <c r="C65" s="803"/>
      <c r="D65" s="271"/>
      <c r="E65" s="271"/>
      <c r="H65" s="9"/>
      <c r="I65" s="9"/>
      <c r="M65" s="766">
        <f t="shared" si="4"/>
        <v>0</v>
      </c>
      <c r="N65" s="3"/>
      <c r="O65" s="3"/>
    </row>
    <row r="66" spans="1:15" s="1" customFormat="1" hidden="1">
      <c r="A66" s="359"/>
      <c r="C66" s="803"/>
      <c r="D66" s="271"/>
      <c r="E66" s="271"/>
      <c r="H66" s="9"/>
      <c r="I66" s="9"/>
      <c r="M66" s="766">
        <f t="shared" si="4"/>
        <v>0</v>
      </c>
      <c r="N66" s="3"/>
      <c r="O66" s="3"/>
    </row>
    <row r="67" spans="1:15" s="1" customFormat="1" hidden="1">
      <c r="A67" s="359"/>
      <c r="C67" s="803"/>
      <c r="D67" s="271"/>
      <c r="E67" s="271"/>
      <c r="H67" s="9"/>
      <c r="I67" s="9"/>
      <c r="M67" s="766">
        <f t="shared" si="4"/>
        <v>0</v>
      </c>
      <c r="N67" s="3"/>
      <c r="O67" s="3"/>
    </row>
    <row r="68" spans="1:15" s="1" customFormat="1" hidden="1">
      <c r="A68" s="359"/>
      <c r="C68" s="803"/>
      <c r="D68" s="271"/>
      <c r="E68" s="271"/>
      <c r="H68" s="9"/>
      <c r="I68" s="9"/>
      <c r="M68" s="766">
        <f t="shared" si="4"/>
        <v>0</v>
      </c>
      <c r="N68" s="3"/>
      <c r="O68" s="3"/>
    </row>
  </sheetData>
  <autoFilter ref="A4:Q68" xr:uid="{00000000-0009-0000-0000-000008000000}">
    <filterColumn colId="6">
      <filters>
        <filter val="TÂN THUẬN"/>
      </filters>
    </filterColumn>
  </autoFilter>
  <mergeCells count="5">
    <mergeCell ref="C1:I1"/>
    <mergeCell ref="A2:I2"/>
    <mergeCell ref="I3:J3"/>
    <mergeCell ref="D55:I58"/>
    <mergeCell ref="I45:I51"/>
  </mergeCells>
  <conditionalFormatting sqref="A1:A3 A5 A25:A28 A32 A36 A41 A50 A61">
    <cfRule type="duplicateValues" dxfId="746" priority="591"/>
  </conditionalFormatting>
  <conditionalFormatting sqref="A4">
    <cfRule type="duplicateValues" dxfId="745" priority="44"/>
  </conditionalFormatting>
  <conditionalFormatting sqref="A6">
    <cfRule type="duplicateValues" dxfId="744" priority="30"/>
  </conditionalFormatting>
  <conditionalFormatting sqref="A7 A12 A14:A17 A23:A24">
    <cfRule type="duplicateValues" dxfId="743" priority="625"/>
  </conditionalFormatting>
  <conditionalFormatting sqref="A8:A9">
    <cfRule type="duplicateValues" dxfId="742" priority="28"/>
  </conditionalFormatting>
  <conditionalFormatting sqref="A10">
    <cfRule type="duplicateValues" dxfId="741" priority="26"/>
  </conditionalFormatting>
  <conditionalFormatting sqref="A11">
    <cfRule type="duplicateValues" dxfId="740" priority="29"/>
  </conditionalFormatting>
  <conditionalFormatting sqref="A13">
    <cfRule type="duplicateValues" dxfId="739" priority="27"/>
  </conditionalFormatting>
  <conditionalFormatting sqref="A18">
    <cfRule type="duplicateValues" dxfId="738" priority="23"/>
  </conditionalFormatting>
  <conditionalFormatting sqref="A19:A20">
    <cfRule type="duplicateValues" dxfId="737" priority="558"/>
  </conditionalFormatting>
  <conditionalFormatting sqref="A21">
    <cfRule type="duplicateValues" dxfId="736" priority="549"/>
  </conditionalFormatting>
  <conditionalFormatting sqref="A22">
    <cfRule type="duplicateValues" dxfId="735" priority="22"/>
  </conditionalFormatting>
  <conditionalFormatting sqref="A29">
    <cfRule type="duplicateValues" dxfId="734" priority="19"/>
  </conditionalFormatting>
  <conditionalFormatting sqref="A30">
    <cfRule type="duplicateValues" dxfId="733" priority="17"/>
  </conditionalFormatting>
  <conditionalFormatting sqref="A31">
    <cfRule type="duplicateValues" dxfId="732" priority="18"/>
  </conditionalFormatting>
  <conditionalFormatting sqref="A33">
    <cfRule type="duplicateValues" dxfId="731" priority="15"/>
  </conditionalFormatting>
  <conditionalFormatting sqref="A34">
    <cfRule type="duplicateValues" dxfId="730" priority="11"/>
  </conditionalFormatting>
  <conditionalFormatting sqref="A35">
    <cfRule type="duplicateValues" dxfId="729" priority="14"/>
  </conditionalFormatting>
  <conditionalFormatting sqref="A37">
    <cfRule type="duplicateValues" dxfId="728" priority="8"/>
  </conditionalFormatting>
  <conditionalFormatting sqref="A38">
    <cfRule type="duplicateValues" dxfId="727" priority="7"/>
  </conditionalFormatting>
  <conditionalFormatting sqref="A39 A48:A49 A51:A52">
    <cfRule type="duplicateValues" dxfId="726" priority="603"/>
  </conditionalFormatting>
  <conditionalFormatting sqref="A40">
    <cfRule type="duplicateValues" dxfId="725" priority="9"/>
  </conditionalFormatting>
  <conditionalFormatting sqref="A42 A45">
    <cfRule type="duplicateValues" dxfId="724" priority="616"/>
  </conditionalFormatting>
  <conditionalFormatting sqref="A43">
    <cfRule type="duplicateValues" dxfId="723" priority="10"/>
  </conditionalFormatting>
  <conditionalFormatting sqref="A44">
    <cfRule type="duplicateValues" dxfId="722" priority="13"/>
  </conditionalFormatting>
  <conditionalFormatting sqref="A46">
    <cfRule type="duplicateValues" dxfId="721" priority="3"/>
  </conditionalFormatting>
  <conditionalFormatting sqref="A47">
    <cfRule type="duplicateValues" dxfId="720" priority="5"/>
  </conditionalFormatting>
  <conditionalFormatting sqref="A53">
    <cfRule type="duplicateValues" dxfId="719" priority="1"/>
  </conditionalFormatting>
  <conditionalFormatting sqref="A54">
    <cfRule type="duplicateValues" dxfId="718" priority="4"/>
  </conditionalFormatting>
  <conditionalFormatting sqref="B3">
    <cfRule type="duplicateValues" dxfId="717" priority="45"/>
    <cfRule type="duplicateValues" dxfId="716" priority="46"/>
    <cfRule type="duplicateValues" dxfId="715" priority="47"/>
  </conditionalFormatting>
  <conditionalFormatting sqref="B4">
    <cfRule type="duplicateValues" dxfId="714" priority="41"/>
    <cfRule type="duplicateValues" dxfId="713" priority="42"/>
    <cfRule type="duplicateValues" dxfId="712" priority="43"/>
  </conditionalFormatting>
  <pageMargins left="0.7" right="0.7" top="0.75" bottom="0.75" header="0.3" footer="0.3"/>
  <pageSetup paperSize="9" scale="49" orientation="landscape"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pageSetUpPr fitToPage="1"/>
  </sheetPr>
  <dimension ref="A1:P49"/>
  <sheetViews>
    <sheetView topLeftCell="A2" zoomScale="70" zoomScaleNormal="70" workbookViewId="0">
      <pane xSplit="3" ySplit="3" topLeftCell="D31" activePane="bottomRight" state="frozen"/>
      <selection pane="topRight"/>
      <selection pane="bottomLeft"/>
      <selection pane="bottomRight"/>
    </sheetView>
  </sheetViews>
  <sheetFormatPr defaultColWidth="25.5703125" defaultRowHeight="18.75"/>
  <cols>
    <col min="1" max="1" width="8.7109375" style="359" customWidth="1"/>
    <col min="2" max="2" width="26.7109375" style="1" customWidth="1"/>
    <col min="3" max="3" width="15.7109375" style="2" customWidth="1"/>
    <col min="4" max="4" width="31" style="271" customWidth="1"/>
    <col min="5" max="5" width="26" style="271" customWidth="1"/>
    <col min="6" max="6" width="22.28515625" style="1" customWidth="1"/>
    <col min="7" max="7" width="26.140625" style="1" bestFit="1" customWidth="1"/>
    <col min="8" max="8" width="60.42578125" style="9" customWidth="1"/>
    <col min="9" max="9" width="57.7109375" style="9" customWidth="1"/>
    <col min="10" max="10" width="20.5703125" style="1" customWidth="1"/>
    <col min="11" max="11" width="19.28515625" style="1" customWidth="1"/>
    <col min="12" max="12" width="12.85546875" style="1" customWidth="1"/>
    <col min="13" max="13" width="17.28515625" style="292" customWidth="1"/>
    <col min="14" max="14" width="52.5703125" style="3" bestFit="1" customWidth="1"/>
    <col min="15" max="15" width="15.42578125" style="3" customWidth="1"/>
    <col min="16" max="16" width="34.5703125" style="3" customWidth="1"/>
    <col min="17" max="16384" width="25.5703125" style="3"/>
  </cols>
  <sheetData>
    <row r="1" spans="1:16" ht="17.25" hidden="1" customHeight="1">
      <c r="B1" s="10"/>
      <c r="C1" s="3657"/>
      <c r="D1" s="3657"/>
      <c r="E1" s="3657"/>
      <c r="F1" s="3657"/>
      <c r="G1" s="3657"/>
      <c r="H1" s="3657"/>
      <c r="I1" s="3657"/>
    </row>
    <row r="2" spans="1:16" ht="39.75" customHeight="1">
      <c r="A2" s="3637" t="s">
        <v>1494</v>
      </c>
      <c r="B2" s="3637"/>
      <c r="C2" s="3637"/>
      <c r="D2" s="3637"/>
      <c r="E2" s="3637"/>
      <c r="F2" s="3637"/>
      <c r="G2" s="3637"/>
      <c r="H2" s="3637"/>
      <c r="I2" s="3637"/>
      <c r="J2" s="194"/>
      <c r="K2" s="194"/>
      <c r="L2" s="195"/>
      <c r="M2" s="293"/>
      <c r="N2" s="196"/>
      <c r="O2" s="197"/>
    </row>
    <row r="3" spans="1:16" ht="24" customHeight="1">
      <c r="A3" s="360"/>
      <c r="B3" s="385"/>
      <c r="C3" s="200">
        <f>SUBTOTAL(9,C5:C203)</f>
        <v>190157</v>
      </c>
      <c r="D3" s="378"/>
      <c r="E3" s="378"/>
      <c r="F3" s="201"/>
      <c r="G3" s="199"/>
      <c r="H3" s="202"/>
      <c r="I3" s="3658">
        <f ca="1">TODAY()</f>
        <v>45960</v>
      </c>
      <c r="J3" s="3658"/>
      <c r="K3" s="203"/>
      <c r="L3" s="203"/>
      <c r="M3" s="294"/>
      <c r="N3" s="197"/>
      <c r="O3" s="197"/>
    </row>
    <row r="4" spans="1:16" s="7" customFormat="1" ht="33">
      <c r="A4" s="361" t="s">
        <v>1</v>
      </c>
      <c r="B4" s="204" t="s">
        <v>1384</v>
      </c>
      <c r="C4" s="205" t="s">
        <v>3</v>
      </c>
      <c r="D4" s="204" t="s">
        <v>4</v>
      </c>
      <c r="E4" s="204" t="s">
        <v>6</v>
      </c>
      <c r="F4" s="204" t="s">
        <v>8</v>
      </c>
      <c r="G4" s="204" t="s">
        <v>9</v>
      </c>
      <c r="H4" s="206" t="s">
        <v>10</v>
      </c>
      <c r="I4" s="204" t="s">
        <v>11</v>
      </c>
      <c r="J4" s="204" t="s">
        <v>5</v>
      </c>
      <c r="K4" s="204" t="s">
        <v>1053</v>
      </c>
      <c r="L4" s="204" t="s">
        <v>1215</v>
      </c>
      <c r="M4" s="295" t="s">
        <v>340</v>
      </c>
      <c r="N4" s="325" t="s">
        <v>341</v>
      </c>
      <c r="O4" s="207">
        <f>SUM(O5:O9)</f>
        <v>180057</v>
      </c>
    </row>
    <row r="5" spans="1:16" s="139" customFormat="1" ht="30.75" customHeight="1">
      <c r="A5" s="435" cm="1">
        <f t="array" ref="A5:A44">_xlfn.SEQUENCE(40,1,1,)</f>
        <v>1</v>
      </c>
      <c r="B5" s="436" t="s">
        <v>1495</v>
      </c>
      <c r="C5" s="437">
        <v>2950</v>
      </c>
      <c r="D5" s="438" t="s">
        <v>226</v>
      </c>
      <c r="E5" s="438" t="s">
        <v>1496</v>
      </c>
      <c r="F5" s="439" t="s">
        <v>19</v>
      </c>
      <c r="G5" s="439" t="s">
        <v>172</v>
      </c>
      <c r="H5" s="440" t="s">
        <v>1497</v>
      </c>
      <c r="I5" s="441"/>
      <c r="J5" s="439" t="s">
        <v>84</v>
      </c>
      <c r="K5" s="442" t="s">
        <v>84</v>
      </c>
      <c r="L5" s="443" t="s">
        <v>417</v>
      </c>
      <c r="M5" s="346">
        <f t="shared" ref="M5:M11" si="0">C5</f>
        <v>2950</v>
      </c>
      <c r="N5" s="444" t="s">
        <v>84</v>
      </c>
      <c r="O5" s="445">
        <f t="shared" ref="O5:O10" si="1">SUMIF($J:$J,N5,M:M)</f>
        <v>36970</v>
      </c>
      <c r="P5" s="446"/>
    </row>
    <row r="6" spans="1:16" s="139" customFormat="1" ht="60.75" customHeight="1">
      <c r="A6" s="435">
        <v>2</v>
      </c>
      <c r="B6" s="436" t="s">
        <v>589</v>
      </c>
      <c r="C6" s="437">
        <v>3900</v>
      </c>
      <c r="D6" s="438" t="s">
        <v>226</v>
      </c>
      <c r="E6" s="438" t="s">
        <v>1498</v>
      </c>
      <c r="F6" s="439" t="s">
        <v>19</v>
      </c>
      <c r="G6" s="439" t="s">
        <v>172</v>
      </c>
      <c r="H6" s="440" t="s">
        <v>1499</v>
      </c>
      <c r="I6" s="441" t="s">
        <v>1500</v>
      </c>
      <c r="J6" s="439" t="s">
        <v>43</v>
      </c>
      <c r="K6" s="442" t="s">
        <v>483</v>
      </c>
      <c r="L6" s="443"/>
      <c r="M6" s="346">
        <f t="shared" si="0"/>
        <v>3900</v>
      </c>
      <c r="N6" s="444" t="s">
        <v>16</v>
      </c>
      <c r="O6" s="445">
        <f t="shared" si="1"/>
        <v>44950</v>
      </c>
      <c r="P6" s="446"/>
    </row>
    <row r="7" spans="1:16" s="432" customFormat="1" ht="60.75" customHeight="1">
      <c r="A7" s="419">
        <v>3</v>
      </c>
      <c r="B7" s="420" t="s">
        <v>82</v>
      </c>
      <c r="C7" s="421">
        <v>4000</v>
      </c>
      <c r="D7" s="422" t="s">
        <v>226</v>
      </c>
      <c r="E7" s="422" t="s">
        <v>1501</v>
      </c>
      <c r="F7" s="423" t="s">
        <v>19</v>
      </c>
      <c r="G7" s="423" t="s">
        <v>1502</v>
      </c>
      <c r="H7" s="424" t="s">
        <v>1503</v>
      </c>
      <c r="I7" s="425" t="s">
        <v>1504</v>
      </c>
      <c r="J7" s="423" t="s">
        <v>84</v>
      </c>
      <c r="K7" s="426" t="s">
        <v>84</v>
      </c>
      <c r="L7" s="427" t="s">
        <v>1505</v>
      </c>
      <c r="M7" s="428">
        <f t="shared" si="0"/>
        <v>4000</v>
      </c>
      <c r="N7" s="429" t="s">
        <v>89</v>
      </c>
      <c r="O7" s="430">
        <f t="shared" si="1"/>
        <v>13900</v>
      </c>
      <c r="P7" s="431"/>
    </row>
    <row r="8" spans="1:16" s="458" customFormat="1" ht="45.75" customHeight="1">
      <c r="A8" s="447">
        <v>4</v>
      </c>
      <c r="B8" s="448" t="s">
        <v>1506</v>
      </c>
      <c r="C8" s="449">
        <v>4400</v>
      </c>
      <c r="D8" s="438" t="s">
        <v>226</v>
      </c>
      <c r="E8" s="450" t="s">
        <v>1507</v>
      </c>
      <c r="F8" s="451" t="s">
        <v>19</v>
      </c>
      <c r="G8" s="451" t="s">
        <v>172</v>
      </c>
      <c r="H8" s="452" t="s">
        <v>1508</v>
      </c>
      <c r="I8" s="453" t="s">
        <v>1509</v>
      </c>
      <c r="J8" s="454" t="s">
        <v>89</v>
      </c>
      <c r="K8" s="451" t="s">
        <v>89</v>
      </c>
      <c r="L8" s="455" t="s">
        <v>1510</v>
      </c>
      <c r="M8" s="456">
        <f t="shared" si="0"/>
        <v>4400</v>
      </c>
      <c r="N8" s="451" t="s">
        <v>514</v>
      </c>
      <c r="O8" s="457">
        <f t="shared" si="1"/>
        <v>2787</v>
      </c>
    </row>
    <row r="9" spans="1:16" s="458" customFormat="1" ht="60" customHeight="1">
      <c r="A9" s="447">
        <v>5</v>
      </c>
      <c r="B9" s="448" t="s">
        <v>1511</v>
      </c>
      <c r="C9" s="449">
        <v>2950</v>
      </c>
      <c r="D9" s="438" t="s">
        <v>226</v>
      </c>
      <c r="E9" s="450" t="s">
        <v>1512</v>
      </c>
      <c r="F9" s="451" t="s">
        <v>19</v>
      </c>
      <c r="G9" s="451" t="s">
        <v>1502</v>
      </c>
      <c r="H9" s="452" t="s">
        <v>1513</v>
      </c>
      <c r="I9" s="453"/>
      <c r="J9" s="454" t="s">
        <v>16</v>
      </c>
      <c r="K9" s="451" t="s">
        <v>16</v>
      </c>
      <c r="L9" s="455"/>
      <c r="M9" s="456">
        <f t="shared" si="0"/>
        <v>2950</v>
      </c>
      <c r="N9" s="451" t="s">
        <v>43</v>
      </c>
      <c r="O9" s="457">
        <f t="shared" si="1"/>
        <v>81450</v>
      </c>
    </row>
    <row r="10" spans="1:16" s="463" customFormat="1" ht="60" customHeight="1">
      <c r="A10" s="447">
        <v>6</v>
      </c>
      <c r="B10" s="448" t="s">
        <v>531</v>
      </c>
      <c r="C10" s="449">
        <v>2787</v>
      </c>
      <c r="D10" s="459" t="s">
        <v>226</v>
      </c>
      <c r="E10" s="450" t="s">
        <v>1514</v>
      </c>
      <c r="F10" s="451" t="s">
        <v>19</v>
      </c>
      <c r="G10" s="451" t="s">
        <v>253</v>
      </c>
      <c r="H10" s="452" t="s">
        <v>1515</v>
      </c>
      <c r="I10" s="453"/>
      <c r="J10" s="451" t="s">
        <v>514</v>
      </c>
      <c r="K10" s="460" t="s">
        <v>89</v>
      </c>
      <c r="L10" s="450" t="s">
        <v>417</v>
      </c>
      <c r="M10" s="456">
        <f t="shared" si="0"/>
        <v>2787</v>
      </c>
      <c r="N10" s="461" t="s">
        <v>54</v>
      </c>
      <c r="O10" s="462">
        <f t="shared" si="1"/>
        <v>10100</v>
      </c>
    </row>
    <row r="11" spans="1:16" s="463" customFormat="1" ht="60" customHeight="1">
      <c r="A11" s="447">
        <v>7</v>
      </c>
      <c r="B11" s="448" t="s">
        <v>1516</v>
      </c>
      <c r="C11" s="449">
        <v>2950</v>
      </c>
      <c r="D11" s="459" t="s">
        <v>226</v>
      </c>
      <c r="E11" s="450" t="s">
        <v>1517</v>
      </c>
      <c r="F11" s="451" t="s">
        <v>19</v>
      </c>
      <c r="G11" s="451" t="s">
        <v>1502</v>
      </c>
      <c r="H11" s="452" t="s">
        <v>1518</v>
      </c>
      <c r="I11" s="453" t="s">
        <v>1519</v>
      </c>
      <c r="J11" s="451" t="s">
        <v>89</v>
      </c>
      <c r="K11" s="460" t="s">
        <v>89</v>
      </c>
      <c r="L11" s="450" t="s">
        <v>417</v>
      </c>
      <c r="M11" s="456">
        <f t="shared" si="0"/>
        <v>2950</v>
      </c>
      <c r="N11" s="461"/>
      <c r="O11" s="462"/>
    </row>
    <row r="12" spans="1:16" s="463" customFormat="1" ht="60" customHeight="1">
      <c r="A12" s="447">
        <v>8</v>
      </c>
      <c r="B12" s="448" t="s">
        <v>526</v>
      </c>
      <c r="C12" s="449">
        <v>3400</v>
      </c>
      <c r="D12" s="459" t="s">
        <v>226</v>
      </c>
      <c r="E12" s="450" t="s">
        <v>1520</v>
      </c>
      <c r="F12" s="451" t="s">
        <v>19</v>
      </c>
      <c r="G12" s="451" t="s">
        <v>172</v>
      </c>
      <c r="H12" s="452" t="s">
        <v>1521</v>
      </c>
      <c r="I12" s="453" t="s">
        <v>1522</v>
      </c>
      <c r="J12" s="451" t="s">
        <v>43</v>
      </c>
      <c r="K12" s="460" t="s">
        <v>483</v>
      </c>
      <c r="L12" s="450" t="s">
        <v>1523</v>
      </c>
      <c r="M12" s="456">
        <f t="shared" ref="M12" si="2">C12</f>
        <v>3400</v>
      </c>
      <c r="N12" s="461"/>
      <c r="O12" s="462"/>
    </row>
    <row r="13" spans="1:16" s="139" customFormat="1" ht="33.75" customHeight="1">
      <c r="A13" s="448">
        <v>9</v>
      </c>
      <c r="B13" s="448" t="s">
        <v>1524</v>
      </c>
      <c r="C13" s="448">
        <v>2550</v>
      </c>
      <c r="D13" s="459" t="s">
        <v>226</v>
      </c>
      <c r="E13" s="448" t="s">
        <v>1525</v>
      </c>
      <c r="F13" s="448" t="s">
        <v>19</v>
      </c>
      <c r="G13" s="448" t="s">
        <v>253</v>
      </c>
      <c r="H13" s="466" t="s">
        <v>1515</v>
      </c>
      <c r="I13" s="448"/>
      <c r="J13" s="448" t="s">
        <v>43</v>
      </c>
      <c r="K13" s="448" t="s">
        <v>16</v>
      </c>
      <c r="L13" s="448"/>
      <c r="M13" s="448">
        <f t="shared" ref="M13:M31" si="3">C13</f>
        <v>2550</v>
      </c>
      <c r="N13" s="467"/>
      <c r="O13" s="468"/>
    </row>
    <row r="14" spans="1:16" s="463" customFormat="1" ht="68.25" customHeight="1">
      <c r="A14" s="435">
        <v>10</v>
      </c>
      <c r="B14" s="436" t="s">
        <v>540</v>
      </c>
      <c r="C14" s="437">
        <v>3500</v>
      </c>
      <c r="D14" s="459" t="s">
        <v>226</v>
      </c>
      <c r="E14" s="443" t="s">
        <v>1526</v>
      </c>
      <c r="F14" s="439" t="s">
        <v>19</v>
      </c>
      <c r="G14" s="439" t="s">
        <v>20</v>
      </c>
      <c r="H14" s="440" t="s">
        <v>1527</v>
      </c>
      <c r="I14" s="469"/>
      <c r="J14" s="439" t="s">
        <v>43</v>
      </c>
      <c r="K14" s="442" t="s">
        <v>483</v>
      </c>
      <c r="L14" s="439" t="s">
        <v>1528</v>
      </c>
      <c r="M14" s="346">
        <f t="shared" si="3"/>
        <v>3500</v>
      </c>
      <c r="N14" s="139"/>
      <c r="O14" s="139"/>
    </row>
    <row r="15" spans="1:16" s="465" customFormat="1" ht="27" customHeight="1">
      <c r="A15" s="363">
        <v>11</v>
      </c>
      <c r="B15" s="352" t="s">
        <v>1529</v>
      </c>
      <c r="C15" s="353" t="s">
        <v>675</v>
      </c>
      <c r="D15" s="381" t="s">
        <v>1530</v>
      </c>
      <c r="E15" s="381" t="s">
        <v>1531</v>
      </c>
      <c r="F15" s="354" t="s">
        <v>19</v>
      </c>
      <c r="G15" s="354" t="s">
        <v>20</v>
      </c>
      <c r="H15" s="355"/>
      <c r="I15" s="464" t="s">
        <v>1532</v>
      </c>
      <c r="J15" s="354" t="s">
        <v>84</v>
      </c>
      <c r="K15" s="386" t="s">
        <v>84</v>
      </c>
      <c r="L15" s="354" t="s">
        <v>1533</v>
      </c>
      <c r="M15" s="357" t="str">
        <f t="shared" si="3"/>
        <v>HỦY</v>
      </c>
      <c r="N15" s="358"/>
      <c r="O15" s="358"/>
    </row>
    <row r="16" spans="1:16" s="434" customFormat="1" ht="83.25" customHeight="1">
      <c r="A16" s="472">
        <v>12</v>
      </c>
      <c r="B16" s="471" t="s">
        <v>537</v>
      </c>
      <c r="C16" s="471">
        <v>4350</v>
      </c>
      <c r="D16" s="515" t="s">
        <v>226</v>
      </c>
      <c r="E16" s="471" t="s">
        <v>1534</v>
      </c>
      <c r="F16" s="471" t="s">
        <v>19</v>
      </c>
      <c r="G16" s="471" t="s">
        <v>421</v>
      </c>
      <c r="H16" s="471" t="s">
        <v>1535</v>
      </c>
      <c r="I16" s="471" t="s">
        <v>1536</v>
      </c>
      <c r="J16" s="471" t="s">
        <v>16</v>
      </c>
      <c r="K16" s="471" t="s">
        <v>16</v>
      </c>
      <c r="L16" s="471" t="s">
        <v>1537</v>
      </c>
      <c r="M16" s="471">
        <f t="shared" si="3"/>
        <v>4350</v>
      </c>
      <c r="N16" s="3"/>
      <c r="O16" s="3"/>
    </row>
    <row r="17" spans="1:15" s="470" customFormat="1" ht="84" customHeight="1">
      <c r="A17" s="516">
        <v>13</v>
      </c>
      <c r="B17" s="517" t="s">
        <v>1538</v>
      </c>
      <c r="C17" s="518">
        <v>3050</v>
      </c>
      <c r="D17" s="515" t="s">
        <v>226</v>
      </c>
      <c r="E17" s="519" t="s">
        <v>1539</v>
      </c>
      <c r="F17" s="520" t="s">
        <v>19</v>
      </c>
      <c r="G17" s="520" t="s">
        <v>1540</v>
      </c>
      <c r="H17" s="521" t="s">
        <v>1541</v>
      </c>
      <c r="I17" s="522" t="s">
        <v>1542</v>
      </c>
      <c r="J17" s="523" t="s">
        <v>89</v>
      </c>
      <c r="K17" s="520" t="s">
        <v>89</v>
      </c>
      <c r="L17" s="517" t="s">
        <v>1523</v>
      </c>
      <c r="M17" s="524">
        <f t="shared" si="3"/>
        <v>3050</v>
      </c>
      <c r="N17" s="525"/>
      <c r="O17" s="525"/>
    </row>
    <row r="18" spans="1:15" s="139" customFormat="1" ht="195" customHeight="1">
      <c r="A18" s="435">
        <v>14</v>
      </c>
      <c r="B18" s="436" t="s">
        <v>1543</v>
      </c>
      <c r="C18" s="437">
        <v>24800</v>
      </c>
      <c r="D18" s="443" t="s">
        <v>251</v>
      </c>
      <c r="E18" s="443" t="s">
        <v>1544</v>
      </c>
      <c r="F18" s="439" t="s">
        <v>19</v>
      </c>
      <c r="G18" s="439" t="s">
        <v>172</v>
      </c>
      <c r="H18" s="440" t="s">
        <v>1545</v>
      </c>
      <c r="I18" s="453"/>
      <c r="J18" s="439" t="s">
        <v>43</v>
      </c>
      <c r="K18" s="442" t="s">
        <v>89</v>
      </c>
      <c r="L18" s="439" t="s">
        <v>417</v>
      </c>
      <c r="M18" s="346">
        <f t="shared" si="3"/>
        <v>24800</v>
      </c>
      <c r="N18" s="467"/>
      <c r="O18" s="468"/>
    </row>
    <row r="19" spans="1:15" s="139" customFormat="1" ht="78.75" customHeight="1">
      <c r="A19" s="526">
        <v>15</v>
      </c>
      <c r="B19" s="527" t="s">
        <v>1546</v>
      </c>
      <c r="C19" s="437">
        <v>3000</v>
      </c>
      <c r="D19" s="527" t="s">
        <v>226</v>
      </c>
      <c r="E19" s="527" t="s">
        <v>1547</v>
      </c>
      <c r="F19" s="527" t="s">
        <v>19</v>
      </c>
      <c r="G19" s="527" t="s">
        <v>172</v>
      </c>
      <c r="H19" s="528" t="s">
        <v>1548</v>
      </c>
      <c r="I19" s="527" t="s">
        <v>1549</v>
      </c>
      <c r="J19" s="527" t="s">
        <v>54</v>
      </c>
      <c r="K19" s="527" t="s">
        <v>483</v>
      </c>
      <c r="L19" s="527" t="s">
        <v>417</v>
      </c>
      <c r="M19" s="527">
        <f t="shared" si="3"/>
        <v>3000</v>
      </c>
      <c r="N19" s="473"/>
      <c r="O19" s="473"/>
    </row>
    <row r="20" spans="1:15" s="139" customFormat="1" ht="98.25" customHeight="1">
      <c r="A20" s="443">
        <v>16</v>
      </c>
      <c r="B20" s="443" t="s">
        <v>1550</v>
      </c>
      <c r="C20" s="443">
        <v>2500</v>
      </c>
      <c r="D20" s="443" t="s">
        <v>226</v>
      </c>
      <c r="E20" s="443">
        <v>8.11</v>
      </c>
      <c r="F20" s="443" t="s">
        <v>19</v>
      </c>
      <c r="G20" s="443" t="s">
        <v>1540</v>
      </c>
      <c r="H20" s="440" t="s">
        <v>1551</v>
      </c>
      <c r="I20" s="474" t="s">
        <v>1552</v>
      </c>
      <c r="J20" s="443" t="s">
        <v>16</v>
      </c>
      <c r="K20" s="443" t="s">
        <v>16</v>
      </c>
      <c r="L20" s="443" t="s">
        <v>1553</v>
      </c>
      <c r="M20" s="443">
        <f t="shared" si="3"/>
        <v>2500</v>
      </c>
      <c r="N20" s="473"/>
      <c r="O20" s="473"/>
    </row>
    <row r="21" spans="1:15" s="139" customFormat="1" ht="51" customHeight="1">
      <c r="A21" s="443">
        <v>17</v>
      </c>
      <c r="B21" s="443" t="s">
        <v>1554</v>
      </c>
      <c r="C21" s="476">
        <v>4050</v>
      </c>
      <c r="D21" s="443" t="s">
        <v>226</v>
      </c>
      <c r="E21" s="443" t="s">
        <v>1555</v>
      </c>
      <c r="F21" s="443" t="s">
        <v>19</v>
      </c>
      <c r="G21" s="443" t="s">
        <v>20</v>
      </c>
      <c r="H21" s="440" t="s">
        <v>1556</v>
      </c>
      <c r="I21" s="443" t="s">
        <v>1557</v>
      </c>
      <c r="J21" s="443" t="s">
        <v>84</v>
      </c>
      <c r="K21" s="443" t="s">
        <v>84</v>
      </c>
      <c r="L21" s="443"/>
      <c r="M21" s="443">
        <f t="shared" si="3"/>
        <v>4050</v>
      </c>
      <c r="N21" s="473"/>
      <c r="O21" s="473"/>
    </row>
    <row r="22" spans="1:15" s="139" customFormat="1" ht="111.75" customHeight="1">
      <c r="A22" s="478">
        <v>18</v>
      </c>
      <c r="B22" s="479" t="s">
        <v>1558</v>
      </c>
      <c r="C22" s="480">
        <v>3500</v>
      </c>
      <c r="D22" s="443" t="s">
        <v>226</v>
      </c>
      <c r="E22" s="481" t="s">
        <v>1112</v>
      </c>
      <c r="F22" s="482" t="s">
        <v>19</v>
      </c>
      <c r="G22" s="482" t="s">
        <v>172</v>
      </c>
      <c r="H22" s="483" t="s">
        <v>1559</v>
      </c>
      <c r="I22" s="453" t="s">
        <v>1560</v>
      </c>
      <c r="J22" s="137" t="s">
        <v>84</v>
      </c>
      <c r="K22" s="439" t="s">
        <v>84</v>
      </c>
      <c r="L22" s="479"/>
      <c r="M22" s="346">
        <f t="shared" si="3"/>
        <v>3500</v>
      </c>
      <c r="N22" s="473"/>
      <c r="O22" s="473"/>
    </row>
    <row r="23" spans="1:15" s="139" customFormat="1" ht="106.5" customHeight="1">
      <c r="A23" s="478">
        <v>19</v>
      </c>
      <c r="B23" s="479" t="s">
        <v>1561</v>
      </c>
      <c r="C23" s="480">
        <v>7500</v>
      </c>
      <c r="D23" s="443" t="s">
        <v>226</v>
      </c>
      <c r="E23" s="481" t="s">
        <v>1562</v>
      </c>
      <c r="F23" s="482" t="s">
        <v>19</v>
      </c>
      <c r="G23" s="482" t="s">
        <v>421</v>
      </c>
      <c r="H23" s="483" t="s">
        <v>1563</v>
      </c>
      <c r="I23" s="453" t="s">
        <v>1564</v>
      </c>
      <c r="J23" s="137" t="s">
        <v>16</v>
      </c>
      <c r="K23" s="439" t="s">
        <v>16</v>
      </c>
      <c r="L23" s="479" t="s">
        <v>1523</v>
      </c>
      <c r="M23" s="346">
        <f t="shared" si="3"/>
        <v>7500</v>
      </c>
      <c r="N23" s="473"/>
      <c r="O23" s="473"/>
    </row>
    <row r="24" spans="1:15" s="139" customFormat="1" ht="118.5" customHeight="1">
      <c r="A24" s="478">
        <v>20</v>
      </c>
      <c r="B24" s="479" t="s">
        <v>1565</v>
      </c>
      <c r="C24" s="480">
        <v>3050</v>
      </c>
      <c r="D24" s="443" t="s">
        <v>226</v>
      </c>
      <c r="E24" s="481" t="s">
        <v>1566</v>
      </c>
      <c r="F24" s="482" t="s">
        <v>19</v>
      </c>
      <c r="G24" s="482" t="s">
        <v>1404</v>
      </c>
      <c r="H24" s="483" t="s">
        <v>1567</v>
      </c>
      <c r="I24" s="453" t="s">
        <v>1568</v>
      </c>
      <c r="J24" s="137" t="s">
        <v>54</v>
      </c>
      <c r="K24" s="439" t="s">
        <v>89</v>
      </c>
      <c r="L24" s="479" t="s">
        <v>1537</v>
      </c>
      <c r="M24" s="346">
        <f t="shared" si="3"/>
        <v>3050</v>
      </c>
      <c r="N24" s="473"/>
      <c r="O24" s="473"/>
    </row>
    <row r="25" spans="1:15" s="139" customFormat="1" ht="64.5" customHeight="1">
      <c r="A25" s="478">
        <v>21</v>
      </c>
      <c r="B25" s="479" t="s">
        <v>1569</v>
      </c>
      <c r="C25" s="480">
        <v>2200</v>
      </c>
      <c r="D25" s="443" t="s">
        <v>226</v>
      </c>
      <c r="E25" s="481" t="s">
        <v>1570</v>
      </c>
      <c r="F25" s="482" t="s">
        <v>19</v>
      </c>
      <c r="G25" s="482" t="s">
        <v>172</v>
      </c>
      <c r="H25" s="483" t="s">
        <v>1571</v>
      </c>
      <c r="I25" s="453" t="s">
        <v>1572</v>
      </c>
      <c r="J25" s="137" t="s">
        <v>54</v>
      </c>
      <c r="K25" s="484" t="s">
        <v>89</v>
      </c>
      <c r="L25" s="439" t="s">
        <v>417</v>
      </c>
      <c r="M25" s="485">
        <f t="shared" si="3"/>
        <v>2200</v>
      </c>
      <c r="N25" s="473"/>
      <c r="O25" s="473"/>
    </row>
    <row r="26" spans="1:15" s="139" customFormat="1" ht="93" customHeight="1">
      <c r="A26" s="491">
        <v>22</v>
      </c>
      <c r="B26" s="489" t="s">
        <v>589</v>
      </c>
      <c r="C26" s="480">
        <v>3900</v>
      </c>
      <c r="D26" s="488" t="s">
        <v>226</v>
      </c>
      <c r="E26" s="481" t="s">
        <v>1573</v>
      </c>
      <c r="F26" s="482" t="s">
        <v>19</v>
      </c>
      <c r="G26" s="137" t="s">
        <v>172</v>
      </c>
      <c r="H26" s="483" t="s">
        <v>1574</v>
      </c>
      <c r="I26" s="487"/>
      <c r="J26" s="482" t="s">
        <v>43</v>
      </c>
      <c r="K26" s="492" t="s">
        <v>89</v>
      </c>
      <c r="L26" s="482"/>
      <c r="M26" s="493">
        <f t="shared" si="3"/>
        <v>3900</v>
      </c>
      <c r="N26" s="473"/>
      <c r="O26" s="473"/>
    </row>
    <row r="27" spans="1:15" s="139" customFormat="1" ht="186.75" customHeight="1">
      <c r="A27" s="486">
        <v>23</v>
      </c>
      <c r="B27" s="439" t="s">
        <v>1575</v>
      </c>
      <c r="C27" s="437">
        <v>20000</v>
      </c>
      <c r="D27" s="443" t="s">
        <v>226</v>
      </c>
      <c r="E27" s="443" t="s">
        <v>1576</v>
      </c>
      <c r="F27" s="439" t="s">
        <v>19</v>
      </c>
      <c r="G27" s="439" t="s">
        <v>172</v>
      </c>
      <c r="H27" s="440" t="s">
        <v>1577</v>
      </c>
      <c r="I27" s="453" t="s">
        <v>1578</v>
      </c>
      <c r="J27" s="439" t="s">
        <v>43</v>
      </c>
      <c r="K27" s="439" t="s">
        <v>483</v>
      </c>
      <c r="L27" s="439"/>
      <c r="M27" s="490">
        <f t="shared" si="3"/>
        <v>20000</v>
      </c>
      <c r="N27" s="473"/>
      <c r="O27" s="473"/>
    </row>
    <row r="28" spans="1:15" s="139" customFormat="1" ht="93" customHeight="1">
      <c r="A28" s="486">
        <v>24</v>
      </c>
      <c r="B28" s="439" t="s">
        <v>293</v>
      </c>
      <c r="C28" s="437">
        <v>4700</v>
      </c>
      <c r="D28" s="443" t="s">
        <v>226</v>
      </c>
      <c r="E28" s="443" t="s">
        <v>1579</v>
      </c>
      <c r="F28" s="439" t="s">
        <v>19</v>
      </c>
      <c r="G28" s="439" t="s">
        <v>1580</v>
      </c>
      <c r="H28" s="440" t="s">
        <v>1581</v>
      </c>
      <c r="I28" s="453" t="s">
        <v>1582</v>
      </c>
      <c r="J28" s="439" t="s">
        <v>84</v>
      </c>
      <c r="K28" s="439" t="s">
        <v>84</v>
      </c>
      <c r="L28" s="439" t="s">
        <v>417</v>
      </c>
      <c r="M28" s="490">
        <f t="shared" si="3"/>
        <v>4700</v>
      </c>
      <c r="N28" s="473"/>
      <c r="O28" s="473"/>
    </row>
    <row r="29" spans="1:15" s="139" customFormat="1" ht="60.75" customHeight="1">
      <c r="A29" s="486">
        <v>25</v>
      </c>
      <c r="B29" s="439" t="s">
        <v>1583</v>
      </c>
      <c r="C29" s="437">
        <v>2450</v>
      </c>
      <c r="D29" s="443" t="s">
        <v>226</v>
      </c>
      <c r="E29" s="443" t="s">
        <v>1584</v>
      </c>
      <c r="F29" s="439" t="s">
        <v>19</v>
      </c>
      <c r="G29" s="439" t="s">
        <v>172</v>
      </c>
      <c r="H29" s="440" t="s">
        <v>1585</v>
      </c>
      <c r="I29" s="453" t="s">
        <v>251</v>
      </c>
      <c r="J29" s="439" t="s">
        <v>43</v>
      </c>
      <c r="K29" s="439" t="s">
        <v>16</v>
      </c>
      <c r="L29" s="439" t="s">
        <v>417</v>
      </c>
      <c r="M29" s="490">
        <f t="shared" si="3"/>
        <v>2450</v>
      </c>
      <c r="N29" s="473"/>
      <c r="O29" s="473"/>
    </row>
    <row r="30" spans="1:15" s="139" customFormat="1" ht="69.75" customHeight="1">
      <c r="A30" s="486">
        <v>26</v>
      </c>
      <c r="B30" s="439" t="s">
        <v>1586</v>
      </c>
      <c r="C30" s="437">
        <v>4950</v>
      </c>
      <c r="D30" s="443" t="s">
        <v>226</v>
      </c>
      <c r="E30" s="443" t="s">
        <v>1587</v>
      </c>
      <c r="F30" s="439" t="s">
        <v>19</v>
      </c>
      <c r="G30" s="443" t="s">
        <v>1264</v>
      </c>
      <c r="H30" s="483" t="s">
        <v>1588</v>
      </c>
      <c r="I30" s="453" t="s">
        <v>1589</v>
      </c>
      <c r="J30" s="439" t="s">
        <v>43</v>
      </c>
      <c r="K30" s="439" t="s">
        <v>483</v>
      </c>
      <c r="L30" s="439" t="s">
        <v>1523</v>
      </c>
      <c r="M30" s="490">
        <f t="shared" si="3"/>
        <v>4950</v>
      </c>
      <c r="N30" s="473"/>
      <c r="O30" s="473"/>
    </row>
    <row r="31" spans="1:15" s="139" customFormat="1" ht="135" customHeight="1">
      <c r="A31" s="486">
        <v>27</v>
      </c>
      <c r="B31" s="439" t="s">
        <v>1590</v>
      </c>
      <c r="C31" s="437">
        <v>7300</v>
      </c>
      <c r="D31" s="443" t="s">
        <v>226</v>
      </c>
      <c r="E31" s="443" t="s">
        <v>1591</v>
      </c>
      <c r="F31" s="439" t="s">
        <v>19</v>
      </c>
      <c r="G31" s="494" t="s">
        <v>421</v>
      </c>
      <c r="H31" s="440" t="s">
        <v>1592</v>
      </c>
      <c r="I31" s="495" t="s">
        <v>1593</v>
      </c>
      <c r="J31" s="439" t="s">
        <v>16</v>
      </c>
      <c r="K31" s="439" t="s">
        <v>16</v>
      </c>
      <c r="L31" s="482"/>
      <c r="M31" s="490">
        <f t="shared" si="3"/>
        <v>7300</v>
      </c>
      <c r="N31" s="473"/>
      <c r="O31" s="473"/>
    </row>
    <row r="32" spans="1:15" s="139" customFormat="1" ht="123.75" customHeight="1">
      <c r="A32" s="486">
        <v>28</v>
      </c>
      <c r="B32" s="439" t="s">
        <v>1594</v>
      </c>
      <c r="C32" s="437">
        <v>2600</v>
      </c>
      <c r="D32" s="443" t="s">
        <v>226</v>
      </c>
      <c r="E32" s="443" t="s">
        <v>1595</v>
      </c>
      <c r="F32" s="439" t="s">
        <v>19</v>
      </c>
      <c r="G32" s="494" t="s">
        <v>1502</v>
      </c>
      <c r="H32" s="440" t="s">
        <v>1596</v>
      </c>
      <c r="I32" s="495"/>
      <c r="J32" s="439" t="s">
        <v>16</v>
      </c>
      <c r="K32" s="439" t="s">
        <v>16</v>
      </c>
      <c r="L32" s="482" t="s">
        <v>1597</v>
      </c>
      <c r="M32" s="490">
        <f t="shared" ref="M32:M44" si="4">C32</f>
        <v>2600</v>
      </c>
      <c r="N32" s="473"/>
      <c r="O32" s="473"/>
    </row>
    <row r="33" spans="1:15" s="139" customFormat="1" ht="62.25" customHeight="1">
      <c r="A33" s="491">
        <v>29</v>
      </c>
      <c r="B33" s="482" t="s">
        <v>1598</v>
      </c>
      <c r="C33" s="480">
        <v>4020</v>
      </c>
      <c r="D33" s="481" t="s">
        <v>1599</v>
      </c>
      <c r="E33" s="481" t="s">
        <v>1600</v>
      </c>
      <c r="F33" s="439" t="s">
        <v>19</v>
      </c>
      <c r="G33" s="497" t="s">
        <v>172</v>
      </c>
      <c r="H33" s="529" t="s">
        <v>1601</v>
      </c>
      <c r="I33" s="498"/>
      <c r="J33" s="482" t="s">
        <v>84</v>
      </c>
      <c r="K33" s="137" t="s">
        <v>84</v>
      </c>
      <c r="L33" s="439" t="s">
        <v>417</v>
      </c>
      <c r="M33" s="499">
        <f t="shared" si="4"/>
        <v>4020</v>
      </c>
      <c r="N33" s="473"/>
      <c r="O33" s="473"/>
    </row>
    <row r="34" spans="1:15" s="139" customFormat="1" ht="81" customHeight="1">
      <c r="A34" s="491">
        <v>30</v>
      </c>
      <c r="B34" s="482" t="s">
        <v>1602</v>
      </c>
      <c r="C34" s="480">
        <v>3350</v>
      </c>
      <c r="D34" s="481" t="s">
        <v>1599</v>
      </c>
      <c r="E34" s="481" t="s">
        <v>1603</v>
      </c>
      <c r="F34" s="439" t="s">
        <v>19</v>
      </c>
      <c r="G34" s="497" t="s">
        <v>172</v>
      </c>
      <c r="H34" s="452" t="s">
        <v>1604</v>
      </c>
      <c r="I34" s="498"/>
      <c r="J34" s="482" t="s">
        <v>84</v>
      </c>
      <c r="K34" s="137" t="s">
        <v>84</v>
      </c>
      <c r="L34" s="439" t="s">
        <v>417</v>
      </c>
      <c r="M34" s="499">
        <f t="shared" si="4"/>
        <v>3350</v>
      </c>
      <c r="N34" s="473"/>
      <c r="O34" s="473"/>
    </row>
    <row r="35" spans="1:15" s="139" customFormat="1" ht="81" customHeight="1">
      <c r="A35" s="491">
        <v>31</v>
      </c>
      <c r="B35" s="482" t="s">
        <v>1036</v>
      </c>
      <c r="C35" s="480">
        <v>3200</v>
      </c>
      <c r="D35" s="481" t="s">
        <v>1599</v>
      </c>
      <c r="E35" s="481" t="s">
        <v>1605</v>
      </c>
      <c r="F35" s="439" t="s">
        <v>19</v>
      </c>
      <c r="G35" s="497" t="s">
        <v>172</v>
      </c>
      <c r="H35" s="452" t="s">
        <v>1606</v>
      </c>
      <c r="I35" s="498"/>
      <c r="J35" s="482" t="s">
        <v>43</v>
      </c>
      <c r="K35" s="137" t="s">
        <v>89</v>
      </c>
      <c r="L35" s="439" t="s">
        <v>1523</v>
      </c>
      <c r="M35" s="499">
        <f t="shared" si="4"/>
        <v>3200</v>
      </c>
      <c r="N35" s="473"/>
      <c r="O35" s="473"/>
    </row>
    <row r="36" spans="1:15" s="139" customFormat="1" ht="93.75">
      <c r="A36" s="486">
        <v>32</v>
      </c>
      <c r="B36" s="439" t="s">
        <v>785</v>
      </c>
      <c r="C36" s="437">
        <v>1850</v>
      </c>
      <c r="D36" s="443" t="s">
        <v>1599</v>
      </c>
      <c r="E36" s="443" t="s">
        <v>1607</v>
      </c>
      <c r="F36" s="439" t="s">
        <v>19</v>
      </c>
      <c r="G36" s="443" t="s">
        <v>123</v>
      </c>
      <c r="H36" s="500" t="s">
        <v>1608</v>
      </c>
      <c r="I36" s="441" t="s">
        <v>1609</v>
      </c>
      <c r="J36" s="439" t="s">
        <v>54</v>
      </c>
      <c r="K36" s="439" t="s">
        <v>483</v>
      </c>
      <c r="L36" s="443" t="s">
        <v>1523</v>
      </c>
      <c r="M36" s="490">
        <f t="shared" si="4"/>
        <v>1850</v>
      </c>
      <c r="N36" s="473"/>
      <c r="O36" s="473"/>
    </row>
    <row r="37" spans="1:15" s="139" customFormat="1" ht="111.75" customHeight="1">
      <c r="A37" s="486">
        <v>33</v>
      </c>
      <c r="B37" s="439" t="s">
        <v>1610</v>
      </c>
      <c r="C37" s="437">
        <v>3250</v>
      </c>
      <c r="D37" s="443" t="s">
        <v>226</v>
      </c>
      <c r="E37" s="443" t="s">
        <v>1611</v>
      </c>
      <c r="F37" s="439" t="s">
        <v>1612</v>
      </c>
      <c r="G37" s="443" t="s">
        <v>123</v>
      </c>
      <c r="H37" s="483" t="s">
        <v>1613</v>
      </c>
      <c r="I37" s="453" t="s">
        <v>1614</v>
      </c>
      <c r="J37" s="439" t="s">
        <v>16</v>
      </c>
      <c r="K37" s="439" t="s">
        <v>1612</v>
      </c>
      <c r="L37" s="443" t="s">
        <v>1523</v>
      </c>
      <c r="M37" s="490">
        <f t="shared" si="4"/>
        <v>3250</v>
      </c>
      <c r="N37" s="473"/>
      <c r="O37" s="473"/>
    </row>
    <row r="38" spans="1:15" s="139" customFormat="1" ht="65.25" customHeight="1">
      <c r="A38" s="486">
        <v>34</v>
      </c>
      <c r="B38" s="439" t="s">
        <v>1615</v>
      </c>
      <c r="C38" s="437">
        <v>3500</v>
      </c>
      <c r="D38" s="443" t="s">
        <v>226</v>
      </c>
      <c r="E38" s="443" t="s">
        <v>1616</v>
      </c>
      <c r="F38" s="439" t="s">
        <v>19</v>
      </c>
      <c r="G38" s="494" t="s">
        <v>1138</v>
      </c>
      <c r="H38" s="501" t="s">
        <v>1617</v>
      </c>
      <c r="I38" s="495" t="s">
        <v>1618</v>
      </c>
      <c r="J38" s="439" t="s">
        <v>89</v>
      </c>
      <c r="K38" s="439" t="s">
        <v>89</v>
      </c>
      <c r="L38" s="439"/>
      <c r="M38" s="490">
        <f t="shared" si="4"/>
        <v>3500</v>
      </c>
      <c r="N38" s="473"/>
      <c r="O38" s="473"/>
    </row>
    <row r="39" spans="1:15" s="139" customFormat="1" ht="112.5" customHeight="1">
      <c r="A39" s="486">
        <v>35</v>
      </c>
      <c r="B39" s="439" t="s">
        <v>1619</v>
      </c>
      <c r="C39" s="437">
        <v>6600</v>
      </c>
      <c r="D39" s="443" t="s">
        <v>226</v>
      </c>
      <c r="E39" s="443" t="s">
        <v>1620</v>
      </c>
      <c r="F39" s="439" t="s">
        <v>19</v>
      </c>
      <c r="G39" s="494" t="s">
        <v>1443</v>
      </c>
      <c r="H39" s="440" t="s">
        <v>1621</v>
      </c>
      <c r="I39" s="502"/>
      <c r="J39" s="439" t="s">
        <v>84</v>
      </c>
      <c r="K39" s="439" t="s">
        <v>84</v>
      </c>
      <c r="L39" s="439" t="s">
        <v>417</v>
      </c>
      <c r="M39" s="490">
        <f t="shared" si="4"/>
        <v>6600</v>
      </c>
      <c r="N39" s="473"/>
      <c r="O39" s="473"/>
    </row>
    <row r="40" spans="1:15" s="139" customFormat="1" ht="111.75" customHeight="1">
      <c r="A40" s="486">
        <v>36</v>
      </c>
      <c r="B40" s="439" t="s">
        <v>1622</v>
      </c>
      <c r="C40" s="437">
        <v>8800</v>
      </c>
      <c r="D40" s="443" t="s">
        <v>226</v>
      </c>
      <c r="E40" s="443" t="s">
        <v>1623</v>
      </c>
      <c r="F40" s="439" t="s">
        <v>19</v>
      </c>
      <c r="G40" s="443" t="s">
        <v>1580</v>
      </c>
      <c r="H40" s="500" t="s">
        <v>1624</v>
      </c>
      <c r="I40" s="441"/>
      <c r="J40" s="439" t="s">
        <v>1625</v>
      </c>
      <c r="K40" s="439" t="s">
        <v>483</v>
      </c>
      <c r="L40" s="443"/>
      <c r="M40" s="490">
        <f t="shared" si="4"/>
        <v>8800</v>
      </c>
      <c r="N40" s="473"/>
      <c r="O40" s="473"/>
    </row>
    <row r="41" spans="1:15" s="139" customFormat="1" ht="48" hidden="1" customHeight="1">
      <c r="A41" s="486">
        <v>37</v>
      </c>
      <c r="B41" s="439" t="s">
        <v>589</v>
      </c>
      <c r="C41" s="437" t="s">
        <v>675</v>
      </c>
      <c r="D41" s="443" t="s">
        <v>1626</v>
      </c>
      <c r="E41" s="443" t="s">
        <v>1627</v>
      </c>
      <c r="F41" s="439" t="s">
        <v>19</v>
      </c>
      <c r="G41" s="443" t="s">
        <v>1628</v>
      </c>
      <c r="H41" s="503" t="s">
        <v>1629</v>
      </c>
      <c r="I41" s="441" t="s">
        <v>1630</v>
      </c>
      <c r="J41" s="439" t="s">
        <v>43</v>
      </c>
      <c r="K41" s="439" t="s">
        <v>483</v>
      </c>
      <c r="L41" s="443"/>
      <c r="M41" s="490" t="str">
        <f t="shared" si="4"/>
        <v>HỦY</v>
      </c>
      <c r="N41" s="473"/>
      <c r="O41" s="473"/>
    </row>
    <row r="42" spans="1:15" s="139" customFormat="1" ht="72.75" customHeight="1">
      <c r="A42" s="486">
        <v>38</v>
      </c>
      <c r="B42" s="439" t="s">
        <v>1631</v>
      </c>
      <c r="C42" s="437">
        <v>4000</v>
      </c>
      <c r="D42" s="443" t="s">
        <v>226</v>
      </c>
      <c r="E42" s="443" t="s">
        <v>1632</v>
      </c>
      <c r="F42" s="439" t="s">
        <v>19</v>
      </c>
      <c r="G42" s="443" t="s">
        <v>123</v>
      </c>
      <c r="H42" s="483" t="s">
        <v>1633</v>
      </c>
      <c r="I42" s="453"/>
      <c r="J42" s="439" t="s">
        <v>16</v>
      </c>
      <c r="K42" s="439" t="s">
        <v>16</v>
      </c>
      <c r="L42" s="443"/>
      <c r="M42" s="490">
        <f t="shared" si="4"/>
        <v>4000</v>
      </c>
      <c r="N42" s="473"/>
      <c r="O42" s="473"/>
    </row>
    <row r="43" spans="1:15" s="139" customFormat="1" ht="133.5" customHeight="1">
      <c r="A43" s="486">
        <v>39</v>
      </c>
      <c r="B43" s="439" t="s">
        <v>1634</v>
      </c>
      <c r="C43" s="437">
        <v>10500</v>
      </c>
      <c r="D43" s="443" t="s">
        <v>226</v>
      </c>
      <c r="E43" s="443" t="s">
        <v>1635</v>
      </c>
      <c r="F43" s="439" t="s">
        <v>19</v>
      </c>
      <c r="G43" s="443" t="s">
        <v>421</v>
      </c>
      <c r="H43" s="483" t="s">
        <v>1636</v>
      </c>
      <c r="I43" s="453"/>
      <c r="J43" s="439" t="s">
        <v>16</v>
      </c>
      <c r="K43" s="439" t="s">
        <v>16</v>
      </c>
      <c r="L43" s="443"/>
      <c r="M43" s="490">
        <f t="shared" si="4"/>
        <v>10500</v>
      </c>
      <c r="N43" s="473"/>
      <c r="O43" s="473"/>
    </row>
    <row r="44" spans="1:15" s="139" customFormat="1" ht="87" customHeight="1">
      <c r="A44" s="486">
        <v>40</v>
      </c>
      <c r="B44" s="439" t="s">
        <v>638</v>
      </c>
      <c r="C44" s="437">
        <v>3800</v>
      </c>
      <c r="D44" s="443" t="s">
        <v>226</v>
      </c>
      <c r="E44" s="443" t="s">
        <v>1637</v>
      </c>
      <c r="F44" s="439" t="s">
        <v>19</v>
      </c>
      <c r="G44" s="443" t="s">
        <v>1138</v>
      </c>
      <c r="H44" s="483" t="s">
        <v>1638</v>
      </c>
      <c r="I44" s="453"/>
      <c r="J44" s="439" t="s">
        <v>84</v>
      </c>
      <c r="K44" s="439" t="s">
        <v>1284</v>
      </c>
      <c r="L44" s="443"/>
      <c r="M44" s="490">
        <f t="shared" si="4"/>
        <v>3800</v>
      </c>
      <c r="N44" s="473"/>
      <c r="O44" s="473"/>
    </row>
    <row r="45" spans="1:15" s="433" customFormat="1" ht="45" customHeight="1" thickBot="1">
      <c r="A45" s="359"/>
      <c r="B45" s="1"/>
      <c r="C45" s="2"/>
      <c r="D45" s="271"/>
      <c r="E45" s="271"/>
      <c r="F45" s="1"/>
      <c r="G45" s="1"/>
      <c r="H45" s="9"/>
      <c r="I45" s="9"/>
      <c r="J45" s="1"/>
      <c r="K45" s="1"/>
      <c r="L45" s="1"/>
      <c r="M45" s="292"/>
      <c r="N45" s="3"/>
      <c r="O45" s="3"/>
    </row>
    <row r="46" spans="1:15" s="1" customFormat="1">
      <c r="A46" s="359"/>
      <c r="C46" s="2"/>
      <c r="D46" s="3659" t="s">
        <v>1490</v>
      </c>
      <c r="E46" s="3660"/>
      <c r="F46" s="3661"/>
      <c r="G46" s="3661"/>
      <c r="H46" s="3661"/>
      <c r="I46" s="3662"/>
      <c r="M46" s="292"/>
      <c r="N46" s="3"/>
      <c r="O46" s="3"/>
    </row>
    <row r="47" spans="1:15" s="1" customFormat="1">
      <c r="A47" s="359"/>
      <c r="C47" s="2"/>
      <c r="D47" s="3663"/>
      <c r="E47" s="3664"/>
      <c r="F47" s="3664"/>
      <c r="G47" s="3664"/>
      <c r="H47" s="3664"/>
      <c r="I47" s="3665"/>
      <c r="M47" s="292"/>
      <c r="N47" s="3"/>
      <c r="O47" s="3"/>
    </row>
    <row r="48" spans="1:15" s="1" customFormat="1">
      <c r="A48" s="359"/>
      <c r="C48" s="2"/>
      <c r="D48" s="3663"/>
      <c r="E48" s="3664"/>
      <c r="F48" s="3664"/>
      <c r="G48" s="3664"/>
      <c r="H48" s="3664"/>
      <c r="I48" s="3665"/>
      <c r="M48" s="292"/>
      <c r="N48" s="3"/>
      <c r="O48" s="3"/>
    </row>
    <row r="49" spans="4:9" s="1" customFormat="1">
      <c r="D49" s="3666"/>
      <c r="E49" s="3667"/>
      <c r="F49" s="3667"/>
      <c r="G49" s="3667"/>
      <c r="H49" s="3667"/>
      <c r="I49" s="3668"/>
    </row>
  </sheetData>
  <autoFilter ref="A4:Q12" xr:uid="{00000000-0009-0000-0000-000009000000}"/>
  <mergeCells count="4">
    <mergeCell ref="C1:I1"/>
    <mergeCell ref="A2:I2"/>
    <mergeCell ref="I3:J3"/>
    <mergeCell ref="D46:I49"/>
  </mergeCells>
  <conditionalFormatting sqref="A1:A3 A5 A8 A10 A14:A15 A18 A22 A26:A27 A30:A31 A33 A36:A42">
    <cfRule type="duplicateValues" dxfId="711" priority="443"/>
  </conditionalFormatting>
  <conditionalFormatting sqref="A4">
    <cfRule type="duplicateValues" dxfId="710" priority="9"/>
  </conditionalFormatting>
  <conditionalFormatting sqref="A6">
    <cfRule type="duplicateValues" dxfId="709" priority="28"/>
  </conditionalFormatting>
  <conditionalFormatting sqref="A7">
    <cfRule type="duplicateValues" dxfId="708" priority="27"/>
  </conditionalFormatting>
  <conditionalFormatting sqref="A9">
    <cfRule type="duplicateValues" dxfId="707" priority="26"/>
  </conditionalFormatting>
  <conditionalFormatting sqref="A11">
    <cfRule type="duplicateValues" dxfId="706" priority="23"/>
  </conditionalFormatting>
  <conditionalFormatting sqref="A12">
    <cfRule type="duplicateValues" dxfId="705" priority="21"/>
  </conditionalFormatting>
  <conditionalFormatting sqref="A17">
    <cfRule type="duplicateValues" dxfId="704" priority="18"/>
  </conditionalFormatting>
  <conditionalFormatting sqref="A23">
    <cfRule type="duplicateValues" dxfId="703" priority="14"/>
  </conditionalFormatting>
  <conditionalFormatting sqref="A24">
    <cfRule type="duplicateValues" dxfId="702" priority="15"/>
  </conditionalFormatting>
  <conditionalFormatting sqref="A25">
    <cfRule type="duplicateValues" dxfId="701" priority="13"/>
  </conditionalFormatting>
  <conditionalFormatting sqref="A28">
    <cfRule type="duplicateValues" dxfId="700" priority="11"/>
  </conditionalFormatting>
  <conditionalFormatting sqref="A29">
    <cfRule type="duplicateValues" dxfId="699" priority="10"/>
  </conditionalFormatting>
  <conditionalFormatting sqref="A32">
    <cfRule type="duplicateValues" dxfId="698" priority="5"/>
  </conditionalFormatting>
  <conditionalFormatting sqref="A34">
    <cfRule type="duplicateValues" dxfId="697" priority="4"/>
  </conditionalFormatting>
  <conditionalFormatting sqref="A35">
    <cfRule type="duplicateValues" dxfId="696" priority="3"/>
  </conditionalFormatting>
  <conditionalFormatting sqref="A43">
    <cfRule type="duplicateValues" dxfId="695" priority="2"/>
  </conditionalFormatting>
  <conditionalFormatting sqref="A44">
    <cfRule type="duplicateValues" dxfId="694" priority="1"/>
  </conditionalFormatting>
  <conditionalFormatting sqref="B3">
    <cfRule type="duplicateValues" dxfId="693" priority="46"/>
    <cfRule type="duplicateValues" dxfId="692" priority="47"/>
    <cfRule type="duplicateValues" dxfId="691" priority="48"/>
  </conditionalFormatting>
  <conditionalFormatting sqref="B4">
    <cfRule type="duplicateValues" dxfId="690" priority="6"/>
    <cfRule type="duplicateValues" dxfId="689" priority="7"/>
    <cfRule type="duplicateValues" dxfId="688" priority="8"/>
  </conditionalFormatting>
  <pageMargins left="0.7" right="0.7" top="0.75" bottom="0.75" header="0.3" footer="0.3"/>
  <pageSetup paperSize="9" scale="29" orientation="landscape"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pageSetUpPr fitToPage="1"/>
  </sheetPr>
  <dimension ref="A1:P69"/>
  <sheetViews>
    <sheetView zoomScale="70" zoomScaleNormal="70" workbookViewId="0">
      <pane xSplit="3" ySplit="4" topLeftCell="H60" activePane="bottomRight" state="frozen"/>
      <selection pane="topRight" activeCell="H45" sqref="H45"/>
      <selection pane="bottomLeft" activeCell="H45" sqref="H45"/>
      <selection pane="bottomRight" activeCell="H45" sqref="H45"/>
    </sheetView>
  </sheetViews>
  <sheetFormatPr defaultColWidth="25.5703125" defaultRowHeight="18.75"/>
  <cols>
    <col min="1" max="1" width="8.7109375" style="359" customWidth="1"/>
    <col min="2" max="2" width="24.85546875" style="1" customWidth="1"/>
    <col min="3" max="3" width="15.7109375" style="2" customWidth="1"/>
    <col min="4" max="4" width="27" style="271" customWidth="1"/>
    <col min="5" max="5" width="18.42578125" style="271" customWidth="1"/>
    <col min="6" max="6" width="22.28515625" style="1" customWidth="1"/>
    <col min="7" max="7" width="21.42578125" style="1" customWidth="1"/>
    <col min="8" max="8" width="57.7109375" style="9" customWidth="1"/>
    <col min="9" max="9" width="55.140625" style="9" customWidth="1"/>
    <col min="10" max="10" width="20.5703125" style="1" customWidth="1"/>
    <col min="11" max="11" width="19.28515625" style="1" customWidth="1"/>
    <col min="12" max="12" width="11.140625" style="1" customWidth="1"/>
    <col min="13" max="13" width="12.85546875" style="292" customWidth="1"/>
    <col min="14" max="14" width="52.5703125" style="3" bestFit="1" customWidth="1"/>
    <col min="15" max="15" width="15.42578125" style="3" customWidth="1"/>
    <col min="16" max="16" width="34.5703125" style="3" customWidth="1"/>
    <col min="17" max="16384" width="25.5703125" style="3"/>
  </cols>
  <sheetData>
    <row r="1" spans="1:16" ht="17.25" hidden="1" customHeight="1">
      <c r="B1" s="10"/>
      <c r="C1" s="3657"/>
      <c r="D1" s="3657"/>
      <c r="E1" s="3657"/>
      <c r="F1" s="3657"/>
      <c r="G1" s="3657"/>
      <c r="H1" s="3657"/>
      <c r="I1" s="3657"/>
    </row>
    <row r="2" spans="1:16" ht="39.75" customHeight="1">
      <c r="A2" s="3637" t="s">
        <v>1639</v>
      </c>
      <c r="B2" s="3637"/>
      <c r="C2" s="3637"/>
      <c r="D2" s="3637"/>
      <c r="E2" s="3637"/>
      <c r="F2" s="3637"/>
      <c r="G2" s="3637"/>
      <c r="H2" s="3637"/>
      <c r="I2" s="3637"/>
      <c r="J2" s="194"/>
      <c r="K2" s="194"/>
      <c r="L2" s="195"/>
      <c r="M2" s="293"/>
      <c r="N2" s="196"/>
      <c r="O2" s="197"/>
    </row>
    <row r="3" spans="1:16" ht="24" customHeight="1">
      <c r="A3" s="360"/>
      <c r="B3" s="385"/>
      <c r="C3" s="200">
        <f>SUBTOTAL(9,C5:C62)</f>
        <v>194437</v>
      </c>
      <c r="D3" s="378"/>
      <c r="E3" s="378"/>
      <c r="F3" s="201"/>
      <c r="G3" s="199"/>
      <c r="H3" s="202"/>
      <c r="I3" s="3658">
        <f ca="1">TODAY()</f>
        <v>45960</v>
      </c>
      <c r="J3" s="3658"/>
      <c r="K3" s="203"/>
      <c r="L3" s="203"/>
      <c r="M3" s="294"/>
      <c r="N3" s="197"/>
      <c r="O3" s="197"/>
    </row>
    <row r="4" spans="1:16" s="7" customFormat="1" ht="33">
      <c r="A4" s="496" t="s">
        <v>1640</v>
      </c>
      <c r="B4" s="204" t="s">
        <v>1384</v>
      </c>
      <c r="C4" s="205" t="s">
        <v>3</v>
      </c>
      <c r="D4" s="204" t="s">
        <v>4</v>
      </c>
      <c r="E4" s="204" t="s">
        <v>6</v>
      </c>
      <c r="F4" s="204" t="s">
        <v>8</v>
      </c>
      <c r="G4" s="204" t="s">
        <v>9</v>
      </c>
      <c r="H4" s="206" t="s">
        <v>10</v>
      </c>
      <c r="I4" s="204" t="s">
        <v>11</v>
      </c>
      <c r="J4" s="204" t="s">
        <v>5</v>
      </c>
      <c r="K4" s="204" t="s">
        <v>1053</v>
      </c>
      <c r="L4" s="204" t="s">
        <v>1215</v>
      </c>
      <c r="M4" s="295" t="s">
        <v>340</v>
      </c>
      <c r="N4" s="325" t="s">
        <v>341</v>
      </c>
      <c r="O4" s="207">
        <f>SUM(O5:O9)</f>
        <v>191650</v>
      </c>
    </row>
    <row r="5" spans="1:16" ht="30" customHeight="1">
      <c r="A5" s="362" cm="1">
        <f t="array" ref="A5:A69">_xlfn.SEQUENCE(65,1,1,1)</f>
        <v>1</v>
      </c>
      <c r="B5" s="154" t="s">
        <v>1641</v>
      </c>
      <c r="C5" s="120">
        <v>1900</v>
      </c>
      <c r="D5" s="379" t="s">
        <v>226</v>
      </c>
      <c r="E5" s="379"/>
      <c r="F5" s="221" t="s">
        <v>19</v>
      </c>
      <c r="G5" s="91" t="s">
        <v>253</v>
      </c>
      <c r="H5" s="324" t="s">
        <v>1642</v>
      </c>
      <c r="I5" s="317"/>
      <c r="J5" s="154" t="s">
        <v>84</v>
      </c>
      <c r="K5" s="91" t="s">
        <v>84</v>
      </c>
      <c r="L5" s="115" t="s">
        <v>1528</v>
      </c>
      <c r="M5" s="318">
        <f>C5</f>
        <v>1900</v>
      </c>
      <c r="N5" s="198" t="s">
        <v>84</v>
      </c>
      <c r="O5" s="216">
        <f t="shared" ref="O5:O10" si="0">SUMIF($J:$J,N5,M:M)</f>
        <v>46180</v>
      </c>
      <c r="P5" s="4"/>
    </row>
    <row r="6" spans="1:16" ht="85.5" customHeight="1">
      <c r="A6" s="362">
        <v>2</v>
      </c>
      <c r="B6" s="154" t="s">
        <v>82</v>
      </c>
      <c r="C6" s="120">
        <v>4000</v>
      </c>
      <c r="D6" s="379" t="s">
        <v>226</v>
      </c>
      <c r="E6" s="379"/>
      <c r="F6" s="91" t="s">
        <v>19</v>
      </c>
      <c r="G6" s="91" t="s">
        <v>123</v>
      </c>
      <c r="H6" s="119" t="s">
        <v>1643</v>
      </c>
      <c r="I6" s="317" t="s">
        <v>1644</v>
      </c>
      <c r="J6" s="91" t="s">
        <v>84</v>
      </c>
      <c r="K6" s="91" t="s">
        <v>84</v>
      </c>
      <c r="L6" s="91" t="s">
        <v>417</v>
      </c>
      <c r="M6" s="318">
        <f t="shared" ref="M6:M33" si="1">C6</f>
        <v>4000</v>
      </c>
      <c r="N6" s="198" t="s">
        <v>89</v>
      </c>
      <c r="O6" s="216">
        <f t="shared" si="0"/>
        <v>39860</v>
      </c>
    </row>
    <row r="7" spans="1:16" s="1" customFormat="1" ht="45" customHeight="1">
      <c r="A7" s="362">
        <v>3</v>
      </c>
      <c r="B7" s="154" t="s">
        <v>1645</v>
      </c>
      <c r="C7" s="120">
        <v>3000</v>
      </c>
      <c r="D7" s="379" t="s">
        <v>226</v>
      </c>
      <c r="E7" s="379"/>
      <c r="F7" s="91" t="s">
        <v>19</v>
      </c>
      <c r="G7" s="91" t="s">
        <v>123</v>
      </c>
      <c r="H7" s="184" t="s">
        <v>1646</v>
      </c>
      <c r="I7" s="184" t="s">
        <v>1647</v>
      </c>
      <c r="J7" s="91" t="s">
        <v>54</v>
      </c>
      <c r="K7" s="91" t="s">
        <v>483</v>
      </c>
      <c r="L7" s="91" t="s">
        <v>1523</v>
      </c>
      <c r="M7" s="318">
        <f t="shared" si="1"/>
        <v>3000</v>
      </c>
      <c r="N7" s="223" t="s">
        <v>54</v>
      </c>
      <c r="O7" s="224">
        <f t="shared" si="0"/>
        <v>18200</v>
      </c>
    </row>
    <row r="8" spans="1:16" s="1" customFormat="1" ht="75">
      <c r="A8" s="362">
        <v>4</v>
      </c>
      <c r="B8" s="154" t="s">
        <v>1224</v>
      </c>
      <c r="C8" s="120">
        <v>2200</v>
      </c>
      <c r="D8" s="380" t="s">
        <v>226</v>
      </c>
      <c r="E8" s="380"/>
      <c r="F8" s="91" t="s">
        <v>19</v>
      </c>
      <c r="G8" s="91" t="s">
        <v>959</v>
      </c>
      <c r="H8" s="184" t="s">
        <v>1648</v>
      </c>
      <c r="I8" s="317" t="s">
        <v>1649</v>
      </c>
      <c r="J8" s="91" t="s">
        <v>54</v>
      </c>
      <c r="K8" s="91" t="s">
        <v>483</v>
      </c>
      <c r="L8" s="91" t="s">
        <v>1597</v>
      </c>
      <c r="M8" s="318">
        <f t="shared" si="1"/>
        <v>2200</v>
      </c>
      <c r="N8" s="322" t="s">
        <v>43</v>
      </c>
      <c r="O8" s="224">
        <f t="shared" si="0"/>
        <v>47480</v>
      </c>
    </row>
    <row r="9" spans="1:16" ht="187.5">
      <c r="A9" s="362">
        <v>5</v>
      </c>
      <c r="B9" s="154" t="s">
        <v>1650</v>
      </c>
      <c r="C9" s="120">
        <v>2200</v>
      </c>
      <c r="D9" s="380" t="s">
        <v>226</v>
      </c>
      <c r="E9" s="380"/>
      <c r="F9" s="91" t="s">
        <v>19</v>
      </c>
      <c r="G9" s="91" t="s">
        <v>20</v>
      </c>
      <c r="H9" s="184" t="s">
        <v>1651</v>
      </c>
      <c r="I9" s="317" t="s">
        <v>1652</v>
      </c>
      <c r="J9" s="91" t="s">
        <v>89</v>
      </c>
      <c r="K9" s="91" t="s">
        <v>89</v>
      </c>
      <c r="L9" s="91" t="s">
        <v>1597</v>
      </c>
      <c r="M9" s="321">
        <f t="shared" si="1"/>
        <v>2200</v>
      </c>
      <c r="N9" s="144" t="s">
        <v>16</v>
      </c>
      <c r="O9" s="328">
        <f t="shared" si="0"/>
        <v>39930</v>
      </c>
    </row>
    <row r="10" spans="1:16" ht="60.75" customHeight="1">
      <c r="A10" s="362">
        <v>6</v>
      </c>
      <c r="B10" s="154" t="s">
        <v>526</v>
      </c>
      <c r="C10" s="120">
        <v>3400</v>
      </c>
      <c r="D10" s="380" t="s">
        <v>226</v>
      </c>
      <c r="E10" s="380"/>
      <c r="F10" s="91" t="s">
        <v>19</v>
      </c>
      <c r="G10" s="91" t="s">
        <v>1653</v>
      </c>
      <c r="H10" s="122" t="s">
        <v>1654</v>
      </c>
      <c r="I10" s="317" t="s">
        <v>1655</v>
      </c>
      <c r="J10" s="91" t="s">
        <v>43</v>
      </c>
      <c r="K10" s="91" t="s">
        <v>16</v>
      </c>
      <c r="L10" s="91"/>
      <c r="M10" s="321">
        <f t="shared" si="1"/>
        <v>3400</v>
      </c>
      <c r="N10" s="102" t="s">
        <v>514</v>
      </c>
      <c r="O10" s="327">
        <f t="shared" si="0"/>
        <v>2787</v>
      </c>
    </row>
    <row r="11" spans="1:16" ht="48.75" customHeight="1">
      <c r="A11" s="362">
        <v>7</v>
      </c>
      <c r="B11" s="154" t="s">
        <v>1656</v>
      </c>
      <c r="C11" s="120">
        <v>2850</v>
      </c>
      <c r="D11" s="380" t="s">
        <v>226</v>
      </c>
      <c r="E11" s="380"/>
      <c r="F11" s="91" t="s">
        <v>19</v>
      </c>
      <c r="G11" s="91" t="s">
        <v>1657</v>
      </c>
      <c r="H11" s="184" t="s">
        <v>1658</v>
      </c>
      <c r="I11" s="317"/>
      <c r="J11" s="91" t="s">
        <v>16</v>
      </c>
      <c r="K11" s="91" t="s">
        <v>16</v>
      </c>
      <c r="L11" s="91" t="s">
        <v>1523</v>
      </c>
      <c r="M11" s="318">
        <f t="shared" si="1"/>
        <v>2850</v>
      </c>
    </row>
    <row r="12" spans="1:16" ht="48.75" customHeight="1">
      <c r="A12" s="362">
        <v>8</v>
      </c>
      <c r="B12" s="154" t="s">
        <v>1659</v>
      </c>
      <c r="C12" s="120">
        <v>3380</v>
      </c>
      <c r="D12" s="380" t="s">
        <v>226</v>
      </c>
      <c r="E12" s="380"/>
      <c r="F12" s="91" t="s">
        <v>19</v>
      </c>
      <c r="G12" s="91" t="s">
        <v>1657</v>
      </c>
      <c r="H12" s="184" t="s">
        <v>1660</v>
      </c>
      <c r="I12" s="317" t="s">
        <v>1661</v>
      </c>
      <c r="J12" s="91" t="s">
        <v>16</v>
      </c>
      <c r="K12" s="91" t="s">
        <v>16</v>
      </c>
      <c r="L12" s="91" t="s">
        <v>1597</v>
      </c>
      <c r="M12" s="318">
        <f t="shared" si="1"/>
        <v>3380</v>
      </c>
    </row>
    <row r="13" spans="1:16" ht="48.75" customHeight="1">
      <c r="A13" s="362">
        <v>9</v>
      </c>
      <c r="B13" s="154" t="s">
        <v>636</v>
      </c>
      <c r="C13" s="120">
        <v>2950</v>
      </c>
      <c r="D13" s="380" t="s">
        <v>226</v>
      </c>
      <c r="E13" s="380"/>
      <c r="F13" s="91" t="s">
        <v>19</v>
      </c>
      <c r="G13" s="91" t="s">
        <v>1653</v>
      </c>
      <c r="H13" s="184" t="s">
        <v>1662</v>
      </c>
      <c r="I13" s="286" t="s">
        <v>1663</v>
      </c>
      <c r="J13" s="91" t="s">
        <v>84</v>
      </c>
      <c r="K13" s="91" t="s">
        <v>84</v>
      </c>
      <c r="L13" s="91" t="s">
        <v>417</v>
      </c>
      <c r="M13" s="318">
        <f t="shared" si="1"/>
        <v>2950</v>
      </c>
    </row>
    <row r="14" spans="1:16" ht="48.75" customHeight="1">
      <c r="A14" s="362">
        <v>10</v>
      </c>
      <c r="B14" s="154" t="s">
        <v>1020</v>
      </c>
      <c r="C14" s="120">
        <v>3000</v>
      </c>
      <c r="D14" s="380" t="s">
        <v>226</v>
      </c>
      <c r="E14" s="380"/>
      <c r="F14" s="91" t="s">
        <v>19</v>
      </c>
      <c r="G14" s="91" t="s">
        <v>1580</v>
      </c>
      <c r="H14" s="184" t="s">
        <v>1662</v>
      </c>
      <c r="I14" s="286"/>
      <c r="J14" s="91" t="s">
        <v>16</v>
      </c>
      <c r="K14" s="91" t="s">
        <v>16</v>
      </c>
      <c r="L14" s="91" t="s">
        <v>417</v>
      </c>
      <c r="M14" s="318">
        <f>C14</f>
        <v>3000</v>
      </c>
    </row>
    <row r="15" spans="1:16" ht="42.75" customHeight="1">
      <c r="A15" s="362">
        <v>11</v>
      </c>
      <c r="B15" s="154" t="s">
        <v>1664</v>
      </c>
      <c r="C15" s="120">
        <v>2550</v>
      </c>
      <c r="D15" s="380" t="s">
        <v>226</v>
      </c>
      <c r="E15" s="380"/>
      <c r="F15" s="91" t="s">
        <v>19</v>
      </c>
      <c r="G15" s="91" t="s">
        <v>959</v>
      </c>
      <c r="H15" s="331" t="s">
        <v>1665</v>
      </c>
      <c r="I15" s="286"/>
      <c r="J15" s="91" t="s">
        <v>43</v>
      </c>
      <c r="K15" s="91" t="s">
        <v>483</v>
      </c>
      <c r="L15" s="91" t="s">
        <v>417</v>
      </c>
      <c r="M15" s="318">
        <f>C15</f>
        <v>2550</v>
      </c>
    </row>
    <row r="16" spans="1:16" ht="48.75" customHeight="1">
      <c r="A16" s="362">
        <v>12</v>
      </c>
      <c r="B16" s="154" t="s">
        <v>1666</v>
      </c>
      <c r="C16" s="120">
        <v>4030</v>
      </c>
      <c r="D16" s="380" t="s">
        <v>226</v>
      </c>
      <c r="E16" s="380"/>
      <c r="F16" s="91" t="s">
        <v>19</v>
      </c>
      <c r="G16" s="91" t="s">
        <v>1657</v>
      </c>
      <c r="H16" s="184" t="s">
        <v>1667</v>
      </c>
      <c r="I16" s="286" t="s">
        <v>1668</v>
      </c>
      <c r="J16" s="91" t="s">
        <v>84</v>
      </c>
      <c r="K16" s="91" t="s">
        <v>84</v>
      </c>
      <c r="L16" s="91" t="s">
        <v>417</v>
      </c>
      <c r="M16" s="318">
        <f t="shared" si="1"/>
        <v>4030</v>
      </c>
    </row>
    <row r="17" spans="1:15" ht="53.25" customHeight="1">
      <c r="A17" s="362">
        <v>13</v>
      </c>
      <c r="B17" s="154" t="s">
        <v>1669</v>
      </c>
      <c r="C17" s="120">
        <v>4200</v>
      </c>
      <c r="D17" s="380" t="s">
        <v>226</v>
      </c>
      <c r="E17" s="380"/>
      <c r="F17" s="91" t="s">
        <v>19</v>
      </c>
      <c r="G17" s="91" t="s">
        <v>199</v>
      </c>
      <c r="H17" s="184" t="s">
        <v>1670</v>
      </c>
      <c r="I17" s="286" t="s">
        <v>1671</v>
      </c>
      <c r="J17" s="91" t="s">
        <v>16</v>
      </c>
      <c r="K17" s="91" t="s">
        <v>16</v>
      </c>
      <c r="L17" s="91" t="s">
        <v>1523</v>
      </c>
      <c r="M17" s="318">
        <f t="shared" ref="M17:M24" si="2">C17</f>
        <v>4200</v>
      </c>
    </row>
    <row r="18" spans="1:15" ht="42.75" customHeight="1">
      <c r="A18" s="362">
        <v>14</v>
      </c>
      <c r="B18" s="154" t="s">
        <v>540</v>
      </c>
      <c r="C18" s="120">
        <v>3500</v>
      </c>
      <c r="D18" s="380" t="s">
        <v>226</v>
      </c>
      <c r="E18" s="380"/>
      <c r="F18" s="91" t="s">
        <v>19</v>
      </c>
      <c r="G18" s="91" t="s">
        <v>172</v>
      </c>
      <c r="H18" s="184" t="s">
        <v>1672</v>
      </c>
      <c r="I18" s="286" t="s">
        <v>1673</v>
      </c>
      <c r="J18" s="91" t="s">
        <v>43</v>
      </c>
      <c r="K18" s="91" t="s">
        <v>89</v>
      </c>
      <c r="L18" s="91" t="s">
        <v>417</v>
      </c>
      <c r="M18" s="318">
        <f t="shared" si="2"/>
        <v>3500</v>
      </c>
    </row>
    <row r="19" spans="1:15" s="1" customFormat="1" ht="42.75" customHeight="1">
      <c r="A19" s="362">
        <v>15</v>
      </c>
      <c r="B19" s="348" t="s">
        <v>1583</v>
      </c>
      <c r="C19" s="120">
        <v>2450</v>
      </c>
      <c r="D19" s="380" t="s">
        <v>226</v>
      </c>
      <c r="E19" s="380"/>
      <c r="F19" s="91" t="s">
        <v>19</v>
      </c>
      <c r="G19" s="91" t="s">
        <v>172</v>
      </c>
      <c r="H19" s="184" t="s">
        <v>1662</v>
      </c>
      <c r="I19" s="122" t="s">
        <v>1674</v>
      </c>
      <c r="J19" s="91" t="s">
        <v>43</v>
      </c>
      <c r="K19" s="91" t="s">
        <v>89</v>
      </c>
      <c r="L19" s="91" t="s">
        <v>417</v>
      </c>
      <c r="M19" s="318">
        <f t="shared" si="2"/>
        <v>2450</v>
      </c>
      <c r="N19" s="287"/>
      <c r="O19" s="320"/>
    </row>
    <row r="20" spans="1:15" ht="48.75" customHeight="1">
      <c r="A20" s="362">
        <v>16</v>
      </c>
      <c r="B20" s="154" t="s">
        <v>1675</v>
      </c>
      <c r="C20" s="120">
        <v>2950</v>
      </c>
      <c r="D20" s="380" t="s">
        <v>226</v>
      </c>
      <c r="E20" s="380"/>
      <c r="F20" s="91" t="s">
        <v>19</v>
      </c>
      <c r="G20" s="91" t="s">
        <v>172</v>
      </c>
      <c r="H20" s="184" t="s">
        <v>1662</v>
      </c>
      <c r="I20" s="286" t="s">
        <v>1674</v>
      </c>
      <c r="J20" s="91" t="s">
        <v>89</v>
      </c>
      <c r="K20" s="91" t="s">
        <v>89</v>
      </c>
      <c r="L20" s="91" t="s">
        <v>417</v>
      </c>
      <c r="M20" s="318">
        <f t="shared" si="2"/>
        <v>2950</v>
      </c>
    </row>
    <row r="21" spans="1:15" s="1" customFormat="1" ht="93" customHeight="1">
      <c r="A21" s="362">
        <v>17</v>
      </c>
      <c r="B21" s="348" t="s">
        <v>1676</v>
      </c>
      <c r="C21" s="120">
        <v>5400</v>
      </c>
      <c r="D21" s="380" t="s">
        <v>226</v>
      </c>
      <c r="E21" s="380"/>
      <c r="F21" s="91" t="s">
        <v>19</v>
      </c>
      <c r="G21" s="87" t="s">
        <v>172</v>
      </c>
      <c r="H21" s="184" t="s">
        <v>1677</v>
      </c>
      <c r="I21" s="286" t="s">
        <v>1678</v>
      </c>
      <c r="J21" s="91" t="s">
        <v>16</v>
      </c>
      <c r="K21" s="91" t="s">
        <v>16</v>
      </c>
      <c r="L21" s="91" t="s">
        <v>1679</v>
      </c>
      <c r="M21" s="318">
        <f t="shared" si="2"/>
        <v>5400</v>
      </c>
      <c r="N21" s="9" t="s">
        <v>1680</v>
      </c>
      <c r="O21" s="3"/>
    </row>
    <row r="22" spans="1:15" s="1" customFormat="1" ht="131.25" customHeight="1">
      <c r="A22" s="362">
        <v>18</v>
      </c>
      <c r="B22" s="348" t="s">
        <v>1681</v>
      </c>
      <c r="C22" s="120">
        <v>3000</v>
      </c>
      <c r="D22" s="380" t="s">
        <v>226</v>
      </c>
      <c r="E22" s="380"/>
      <c r="F22" s="91" t="s">
        <v>19</v>
      </c>
      <c r="G22" s="91" t="s">
        <v>421</v>
      </c>
      <c r="H22" s="184" t="s">
        <v>1682</v>
      </c>
      <c r="I22" s="184" t="s">
        <v>1683</v>
      </c>
      <c r="J22" s="91" t="s">
        <v>84</v>
      </c>
      <c r="K22" s="91" t="s">
        <v>84</v>
      </c>
      <c r="L22" s="91" t="s">
        <v>1684</v>
      </c>
      <c r="M22" s="318">
        <f t="shared" si="2"/>
        <v>3000</v>
      </c>
      <c r="N22" s="287" t="s">
        <v>1685</v>
      </c>
      <c r="O22" s="320"/>
    </row>
    <row r="23" spans="1:15" ht="70.5" customHeight="1">
      <c r="A23" s="362">
        <v>19</v>
      </c>
      <c r="B23" s="349" t="s">
        <v>1686</v>
      </c>
      <c r="C23" s="94">
        <v>3100</v>
      </c>
      <c r="D23" s="380" t="s">
        <v>226</v>
      </c>
      <c r="E23" s="380"/>
      <c r="F23" s="91" t="s">
        <v>19</v>
      </c>
      <c r="G23" s="89" t="s">
        <v>172</v>
      </c>
      <c r="H23" s="188" t="s">
        <v>1687</v>
      </c>
      <c r="I23" s="326"/>
      <c r="J23" s="87" t="s">
        <v>16</v>
      </c>
      <c r="K23" s="87" t="s">
        <v>16</v>
      </c>
      <c r="L23" s="87" t="s">
        <v>1528</v>
      </c>
      <c r="M23" s="318">
        <f t="shared" si="2"/>
        <v>3100</v>
      </c>
      <c r="N23" s="3" t="s">
        <v>1688</v>
      </c>
    </row>
    <row r="24" spans="1:15" s="1" customFormat="1" ht="42.75" customHeight="1">
      <c r="A24" s="362">
        <v>20</v>
      </c>
      <c r="B24" s="348" t="s">
        <v>775</v>
      </c>
      <c r="C24" s="120">
        <v>2500</v>
      </c>
      <c r="D24" s="380" t="s">
        <v>226</v>
      </c>
      <c r="E24" s="380"/>
      <c r="F24" s="91" t="s">
        <v>19</v>
      </c>
      <c r="G24" s="91" t="s">
        <v>253</v>
      </c>
      <c r="H24" s="184" t="s">
        <v>1689</v>
      </c>
      <c r="I24" s="317" t="s">
        <v>1690</v>
      </c>
      <c r="J24" s="91" t="s">
        <v>54</v>
      </c>
      <c r="K24" s="91" t="s">
        <v>483</v>
      </c>
      <c r="L24" s="91" t="s">
        <v>1528</v>
      </c>
      <c r="M24" s="332">
        <f t="shared" si="2"/>
        <v>2500</v>
      </c>
      <c r="N24" s="287"/>
      <c r="O24" s="320"/>
    </row>
    <row r="25" spans="1:15" s="336" customFormat="1" ht="80.25" customHeight="1">
      <c r="A25" s="362">
        <v>21</v>
      </c>
      <c r="B25" s="349" t="s">
        <v>1691</v>
      </c>
      <c r="C25" s="94">
        <v>2787</v>
      </c>
      <c r="D25" s="334" t="s">
        <v>226</v>
      </c>
      <c r="E25" s="334"/>
      <c r="F25" s="87" t="s">
        <v>19</v>
      </c>
      <c r="G25" s="87" t="s">
        <v>172</v>
      </c>
      <c r="H25" s="155" t="s">
        <v>1692</v>
      </c>
      <c r="I25" s="155" t="s">
        <v>1693</v>
      </c>
      <c r="J25" s="87" t="s">
        <v>514</v>
      </c>
      <c r="K25" s="87" t="s">
        <v>483</v>
      </c>
      <c r="L25" s="87" t="s">
        <v>417</v>
      </c>
      <c r="M25" s="335">
        <f t="shared" si="1"/>
        <v>2787</v>
      </c>
    </row>
    <row r="26" spans="1:15" s="139" customFormat="1" ht="42.75" customHeight="1">
      <c r="A26" s="362">
        <v>22</v>
      </c>
      <c r="B26" s="350" t="s">
        <v>1694</v>
      </c>
      <c r="C26" s="114">
        <v>2950</v>
      </c>
      <c r="D26" s="380" t="s">
        <v>226</v>
      </c>
      <c r="E26" s="383"/>
      <c r="F26" s="130" t="s">
        <v>19</v>
      </c>
      <c r="G26" s="113" t="s">
        <v>172</v>
      </c>
      <c r="H26" s="512" t="s">
        <v>1695</v>
      </c>
      <c r="I26" s="329"/>
      <c r="J26" s="113" t="s">
        <v>84</v>
      </c>
      <c r="K26" s="113" t="s">
        <v>84</v>
      </c>
      <c r="L26" s="113" t="s">
        <v>417</v>
      </c>
      <c r="M26" s="330">
        <f t="shared" si="1"/>
        <v>2950</v>
      </c>
    </row>
    <row r="27" spans="1:15" s="139" customFormat="1" ht="75">
      <c r="A27" s="362">
        <v>23</v>
      </c>
      <c r="B27" s="129" t="s">
        <v>595</v>
      </c>
      <c r="C27" s="88">
        <v>3750</v>
      </c>
      <c r="D27" s="133" t="s">
        <v>226</v>
      </c>
      <c r="E27" s="349"/>
      <c r="F27" s="129" t="s">
        <v>19</v>
      </c>
      <c r="G27" s="129" t="s">
        <v>1696</v>
      </c>
      <c r="H27" s="93" t="s">
        <v>1697</v>
      </c>
      <c r="I27" s="142" t="s">
        <v>1698</v>
      </c>
      <c r="J27" s="87" t="s">
        <v>16</v>
      </c>
      <c r="K27" s="87" t="s">
        <v>16</v>
      </c>
      <c r="L27" s="133" t="s">
        <v>1699</v>
      </c>
      <c r="M27" s="330">
        <f t="shared" si="1"/>
        <v>3750</v>
      </c>
    </row>
    <row r="28" spans="1:15" s="336" customFormat="1" ht="56.25" customHeight="1">
      <c r="A28" s="362">
        <v>24</v>
      </c>
      <c r="B28" s="125" t="s">
        <v>270</v>
      </c>
      <c r="C28" s="114">
        <v>3950</v>
      </c>
      <c r="D28" s="133" t="s">
        <v>226</v>
      </c>
      <c r="E28" s="133"/>
      <c r="F28" s="87" t="s">
        <v>19</v>
      </c>
      <c r="G28" s="339" t="s">
        <v>421</v>
      </c>
      <c r="H28" s="340" t="s">
        <v>1700</v>
      </c>
      <c r="I28" s="341"/>
      <c r="J28" s="113" t="s">
        <v>84</v>
      </c>
      <c r="K28" s="113" t="s">
        <v>84</v>
      </c>
      <c r="L28" s="133" t="s">
        <v>1701</v>
      </c>
      <c r="M28" s="330">
        <f t="shared" si="1"/>
        <v>3950</v>
      </c>
    </row>
    <row r="29" spans="1:15" s="336" customFormat="1" ht="56.25" customHeight="1">
      <c r="A29" s="362">
        <v>25</v>
      </c>
      <c r="B29" s="125" t="s">
        <v>1702</v>
      </c>
      <c r="C29" s="114">
        <v>3050</v>
      </c>
      <c r="D29" s="133" t="s">
        <v>226</v>
      </c>
      <c r="E29" s="133"/>
      <c r="F29" s="87" t="s">
        <v>19</v>
      </c>
      <c r="G29" s="339" t="s">
        <v>172</v>
      </c>
      <c r="H29" s="340" t="s">
        <v>1703</v>
      </c>
      <c r="I29" s="341" t="s">
        <v>1704</v>
      </c>
      <c r="J29" s="113" t="s">
        <v>84</v>
      </c>
      <c r="K29" s="113" t="s">
        <v>84</v>
      </c>
      <c r="L29" s="133" t="s">
        <v>1528</v>
      </c>
      <c r="M29" s="330">
        <f>C29</f>
        <v>3050</v>
      </c>
    </row>
    <row r="30" spans="1:15" s="336" customFormat="1" ht="42" customHeight="1">
      <c r="A30" s="362">
        <v>26</v>
      </c>
      <c r="B30" s="351" t="s">
        <v>1213</v>
      </c>
      <c r="C30" s="337">
        <v>4400</v>
      </c>
      <c r="D30" s="133" t="s">
        <v>226</v>
      </c>
      <c r="E30" s="383"/>
      <c r="F30" s="130" t="s">
        <v>19</v>
      </c>
      <c r="G30" s="343" t="s">
        <v>172</v>
      </c>
      <c r="H30" s="513" t="s">
        <v>1705</v>
      </c>
      <c r="I30" s="344"/>
      <c r="J30" s="130" t="s">
        <v>89</v>
      </c>
      <c r="K30" s="130" t="s">
        <v>89</v>
      </c>
      <c r="L30" s="343" t="s">
        <v>1528</v>
      </c>
      <c r="M30" s="338">
        <f>C30</f>
        <v>4400</v>
      </c>
    </row>
    <row r="31" spans="1:15" s="333" customFormat="1" ht="67.5" customHeight="1">
      <c r="A31" s="362">
        <v>27</v>
      </c>
      <c r="B31" s="349" t="s">
        <v>1218</v>
      </c>
      <c r="C31" s="94">
        <v>2650</v>
      </c>
      <c r="D31" s="133" t="s">
        <v>226</v>
      </c>
      <c r="E31" s="133"/>
      <c r="F31" s="87" t="s">
        <v>19</v>
      </c>
      <c r="G31" s="87" t="s">
        <v>172</v>
      </c>
      <c r="H31" s="188" t="s">
        <v>1706</v>
      </c>
      <c r="I31" s="345"/>
      <c r="J31" s="87" t="s">
        <v>54</v>
      </c>
      <c r="K31" s="87" t="s">
        <v>89</v>
      </c>
      <c r="L31" s="133" t="s">
        <v>1510</v>
      </c>
      <c r="M31" s="335">
        <f>C31</f>
        <v>2650</v>
      </c>
    </row>
    <row r="32" spans="1:15" s="333" customFormat="1" ht="67.5" customHeight="1">
      <c r="A32" s="362">
        <v>28</v>
      </c>
      <c r="B32" s="349" t="s">
        <v>1707</v>
      </c>
      <c r="C32" s="94">
        <v>4700</v>
      </c>
      <c r="D32" s="133" t="s">
        <v>226</v>
      </c>
      <c r="E32" s="133"/>
      <c r="F32" s="87" t="s">
        <v>19</v>
      </c>
      <c r="G32" s="87" t="s">
        <v>20</v>
      </c>
      <c r="H32" s="188" t="s">
        <v>1708</v>
      </c>
      <c r="I32" s="345" t="s">
        <v>1709</v>
      </c>
      <c r="J32" s="87" t="s">
        <v>89</v>
      </c>
      <c r="K32" s="87" t="s">
        <v>89</v>
      </c>
      <c r="L32" s="133" t="s">
        <v>1528</v>
      </c>
      <c r="M32" s="335">
        <f t="shared" si="1"/>
        <v>4700</v>
      </c>
    </row>
    <row r="33" spans="1:15" s="333" customFormat="1" ht="183" customHeight="1">
      <c r="A33" s="362">
        <v>29</v>
      </c>
      <c r="B33" s="349" t="s">
        <v>1710</v>
      </c>
      <c r="C33" s="94">
        <v>2900</v>
      </c>
      <c r="D33" s="133" t="s">
        <v>226</v>
      </c>
      <c r="E33" s="133"/>
      <c r="F33" s="87" t="s">
        <v>19</v>
      </c>
      <c r="G33" s="87" t="s">
        <v>1696</v>
      </c>
      <c r="H33" s="188" t="s">
        <v>1711</v>
      </c>
      <c r="I33" s="345" t="s">
        <v>1712</v>
      </c>
      <c r="J33" s="87" t="s">
        <v>89</v>
      </c>
      <c r="K33" s="87" t="s">
        <v>89</v>
      </c>
      <c r="L33" s="133" t="s">
        <v>1713</v>
      </c>
      <c r="M33" s="335">
        <f t="shared" si="1"/>
        <v>2900</v>
      </c>
    </row>
    <row r="34" spans="1:15" s="139" customFormat="1" ht="63" customHeight="1">
      <c r="A34" s="362">
        <v>30</v>
      </c>
      <c r="B34" s="125" t="s">
        <v>1714</v>
      </c>
      <c r="C34" s="114">
        <v>3800</v>
      </c>
      <c r="D34" s="133" t="s">
        <v>226</v>
      </c>
      <c r="E34" s="384"/>
      <c r="F34" s="113" t="s">
        <v>19</v>
      </c>
      <c r="G34" s="113" t="s">
        <v>467</v>
      </c>
      <c r="H34" s="340" t="s">
        <v>1715</v>
      </c>
      <c r="I34" s="347" t="s">
        <v>1716</v>
      </c>
      <c r="J34" s="113" t="s">
        <v>89</v>
      </c>
      <c r="K34" s="113" t="s">
        <v>89</v>
      </c>
      <c r="L34" s="113" t="s">
        <v>1523</v>
      </c>
      <c r="M34" s="346">
        <f t="shared" ref="M34:M47" si="3">C34</f>
        <v>3800</v>
      </c>
    </row>
    <row r="35" spans="1:15" s="367" customFormat="1" ht="42.75" customHeight="1">
      <c r="A35" s="362">
        <v>31</v>
      </c>
      <c r="B35" s="349" t="s">
        <v>775</v>
      </c>
      <c r="C35" s="94">
        <v>2500</v>
      </c>
      <c r="D35" s="133" t="s">
        <v>226</v>
      </c>
      <c r="E35" s="133"/>
      <c r="F35" s="87" t="s">
        <v>19</v>
      </c>
      <c r="G35" s="87" t="s">
        <v>253</v>
      </c>
      <c r="H35" s="188" t="s">
        <v>1717</v>
      </c>
      <c r="I35" s="364" t="s">
        <v>1718</v>
      </c>
      <c r="J35" s="87" t="s">
        <v>54</v>
      </c>
      <c r="K35" s="87" t="s">
        <v>483</v>
      </c>
      <c r="L35" s="87" t="s">
        <v>1528</v>
      </c>
      <c r="M35" s="335">
        <f t="shared" si="3"/>
        <v>2500</v>
      </c>
      <c r="N35" s="365"/>
      <c r="O35" s="366"/>
    </row>
    <row r="36" spans="1:15" s="333" customFormat="1" ht="67.5" customHeight="1">
      <c r="A36" s="362">
        <v>32</v>
      </c>
      <c r="B36" s="349" t="s">
        <v>1189</v>
      </c>
      <c r="C36" s="94">
        <v>1850</v>
      </c>
      <c r="D36" s="133" t="s">
        <v>1719</v>
      </c>
      <c r="E36" s="133"/>
      <c r="F36" s="87" t="s">
        <v>19</v>
      </c>
      <c r="G36" s="87" t="s">
        <v>172</v>
      </c>
      <c r="H36" s="188" t="s">
        <v>1720</v>
      </c>
      <c r="I36" s="345"/>
      <c r="J36" s="87" t="s">
        <v>16</v>
      </c>
      <c r="K36" s="87" t="s">
        <v>16</v>
      </c>
      <c r="L36" s="133" t="s">
        <v>417</v>
      </c>
      <c r="M36" s="335">
        <f t="shared" si="3"/>
        <v>1850</v>
      </c>
    </row>
    <row r="37" spans="1:15" s="336" customFormat="1" ht="108" customHeight="1">
      <c r="A37" s="362">
        <v>33</v>
      </c>
      <c r="B37" s="129" t="s">
        <v>1147</v>
      </c>
      <c r="C37" s="94">
        <v>5250</v>
      </c>
      <c r="D37" s="133" t="s">
        <v>1719</v>
      </c>
      <c r="E37" s="133"/>
      <c r="F37" s="87" t="s">
        <v>19</v>
      </c>
      <c r="G37" s="87" t="s">
        <v>172</v>
      </c>
      <c r="H37" s="93" t="s">
        <v>1721</v>
      </c>
      <c r="I37" s="364" t="s">
        <v>1722</v>
      </c>
      <c r="J37" s="87" t="s">
        <v>16</v>
      </c>
      <c r="K37" s="91" t="s">
        <v>16</v>
      </c>
      <c r="L37" s="133" t="s">
        <v>1723</v>
      </c>
      <c r="M37" s="377">
        <f t="shared" si="3"/>
        <v>5250</v>
      </c>
    </row>
    <row r="38" spans="1:15" s="336" customFormat="1" ht="73.5" customHeight="1">
      <c r="A38" s="362">
        <v>34</v>
      </c>
      <c r="B38" s="129" t="s">
        <v>1565</v>
      </c>
      <c r="C38" s="94">
        <v>3050</v>
      </c>
      <c r="D38" s="133" t="s">
        <v>226</v>
      </c>
      <c r="E38" s="133"/>
      <c r="F38" s="87" t="s">
        <v>19</v>
      </c>
      <c r="G38" s="87" t="s">
        <v>172</v>
      </c>
      <c r="H38" s="93" t="s">
        <v>1724</v>
      </c>
      <c r="I38" s="364"/>
      <c r="J38" s="89" t="s">
        <v>54</v>
      </c>
      <c r="K38" s="91" t="s">
        <v>483</v>
      </c>
      <c r="L38" s="349" t="s">
        <v>1725</v>
      </c>
      <c r="M38" s="377">
        <f t="shared" si="3"/>
        <v>3050</v>
      </c>
    </row>
    <row r="39" spans="1:15" s="358" customFormat="1" ht="19.5" customHeight="1">
      <c r="A39" s="363">
        <v>35</v>
      </c>
      <c r="B39" s="352" t="s">
        <v>1726</v>
      </c>
      <c r="C39" s="353" t="s">
        <v>675</v>
      </c>
      <c r="D39" s="381" t="s">
        <v>1727</v>
      </c>
      <c r="E39" s="381"/>
      <c r="F39" s="354" t="s">
        <v>19</v>
      </c>
      <c r="G39" s="354" t="s">
        <v>517</v>
      </c>
      <c r="H39" s="355"/>
      <c r="I39" s="356"/>
      <c r="J39" s="354"/>
      <c r="K39" s="354" t="s">
        <v>89</v>
      </c>
      <c r="L39" s="354"/>
      <c r="M39" s="357" t="str">
        <f>C39</f>
        <v>HỦY</v>
      </c>
    </row>
    <row r="40" spans="1:15" s="336" customFormat="1" ht="57.75" customHeight="1">
      <c r="A40" s="362">
        <v>36</v>
      </c>
      <c r="B40" s="129" t="s">
        <v>1728</v>
      </c>
      <c r="C40" s="94">
        <v>2900</v>
      </c>
      <c r="D40" s="133" t="s">
        <v>226</v>
      </c>
      <c r="E40" s="133"/>
      <c r="F40" s="87" t="s">
        <v>19</v>
      </c>
      <c r="G40" s="87" t="s">
        <v>1502</v>
      </c>
      <c r="H40" s="93" t="s">
        <v>1729</v>
      </c>
      <c r="I40" s="364" t="s">
        <v>1730</v>
      </c>
      <c r="J40" s="89" t="s">
        <v>84</v>
      </c>
      <c r="K40" s="91" t="s">
        <v>84</v>
      </c>
      <c r="L40" s="349" t="s">
        <v>417</v>
      </c>
      <c r="M40" s="377">
        <f>C40</f>
        <v>2900</v>
      </c>
    </row>
    <row r="41" spans="1:15" s="376" customFormat="1" ht="21" customHeight="1">
      <c r="A41" s="368">
        <v>37</v>
      </c>
      <c r="B41" s="369" t="s">
        <v>1731</v>
      </c>
      <c r="C41" s="370" t="s">
        <v>675</v>
      </c>
      <c r="D41" s="371"/>
      <c r="E41" s="371"/>
      <c r="F41" s="372"/>
      <c r="G41" s="372"/>
      <c r="H41" s="373" t="s">
        <v>1732</v>
      </c>
      <c r="I41" s="374"/>
      <c r="J41" s="372"/>
      <c r="K41" s="372" t="s">
        <v>89</v>
      </c>
      <c r="L41" s="372" t="s">
        <v>417</v>
      </c>
      <c r="M41" s="375" t="str">
        <f>C41</f>
        <v>HỦY</v>
      </c>
    </row>
    <row r="42" spans="1:15" s="336" customFormat="1" ht="69" customHeight="1">
      <c r="A42" s="362">
        <v>38</v>
      </c>
      <c r="B42" s="129" t="s">
        <v>82</v>
      </c>
      <c r="C42" s="94">
        <v>4000</v>
      </c>
      <c r="D42" s="133" t="s">
        <v>226</v>
      </c>
      <c r="E42" s="133"/>
      <c r="F42" s="87" t="s">
        <v>19</v>
      </c>
      <c r="G42" s="87" t="s">
        <v>421</v>
      </c>
      <c r="H42" s="93" t="s">
        <v>1733</v>
      </c>
      <c r="I42" s="364"/>
      <c r="J42" s="89" t="s">
        <v>84</v>
      </c>
      <c r="K42" s="91" t="s">
        <v>84</v>
      </c>
      <c r="L42" s="349" t="s">
        <v>1734</v>
      </c>
      <c r="M42" s="377">
        <f t="shared" si="3"/>
        <v>4000</v>
      </c>
    </row>
    <row r="43" spans="1:15" s="150" customFormat="1" ht="51.75" customHeight="1">
      <c r="A43" s="387">
        <v>39</v>
      </c>
      <c r="B43" s="181" t="s">
        <v>1735</v>
      </c>
      <c r="C43" s="186">
        <v>4460</v>
      </c>
      <c r="D43" s="133" t="s">
        <v>226</v>
      </c>
      <c r="E43" s="388"/>
      <c r="F43" s="177" t="s">
        <v>19</v>
      </c>
      <c r="G43" s="177" t="s">
        <v>172</v>
      </c>
      <c r="H43" s="188" t="s">
        <v>1736</v>
      </c>
      <c r="I43" s="364"/>
      <c r="J43" s="389" t="s">
        <v>89</v>
      </c>
      <c r="K43" s="180" t="s">
        <v>89</v>
      </c>
      <c r="L43" s="390" t="s">
        <v>1737</v>
      </c>
      <c r="M43" s="391">
        <f>C43</f>
        <v>4460</v>
      </c>
    </row>
    <row r="44" spans="1:15" s="336" customFormat="1" ht="55.5" customHeight="1">
      <c r="A44" s="362">
        <v>40</v>
      </c>
      <c r="B44" s="181" t="s">
        <v>1738</v>
      </c>
      <c r="C44" s="94">
        <v>2900</v>
      </c>
      <c r="D44" s="133" t="s">
        <v>226</v>
      </c>
      <c r="E44" s="392" t="s">
        <v>1739</v>
      </c>
      <c r="F44" s="87" t="s">
        <v>19</v>
      </c>
      <c r="G44" s="87" t="s">
        <v>172</v>
      </c>
      <c r="H44" s="93" t="s">
        <v>1740</v>
      </c>
      <c r="I44" s="345" t="s">
        <v>1741</v>
      </c>
      <c r="J44" s="89" t="s">
        <v>84</v>
      </c>
      <c r="K44" s="91" t="s">
        <v>84</v>
      </c>
      <c r="L44" s="349" t="s">
        <v>1742</v>
      </c>
      <c r="M44" s="377">
        <f>C44</f>
        <v>2900</v>
      </c>
    </row>
    <row r="45" spans="1:15" s="336" customFormat="1" ht="54" customHeight="1">
      <c r="A45" s="362">
        <v>41</v>
      </c>
      <c r="B45" s="181" t="s">
        <v>1586</v>
      </c>
      <c r="C45" s="94">
        <v>4950</v>
      </c>
      <c r="D45" s="133" t="s">
        <v>226</v>
      </c>
      <c r="E45" s="393" t="s">
        <v>1743</v>
      </c>
      <c r="F45" s="87" t="s">
        <v>19</v>
      </c>
      <c r="G45" s="87" t="s">
        <v>421</v>
      </c>
      <c r="H45" s="93" t="s">
        <v>1744</v>
      </c>
      <c r="I45" s="364" t="s">
        <v>1745</v>
      </c>
      <c r="J45" s="89" t="s">
        <v>43</v>
      </c>
      <c r="K45" s="177" t="s">
        <v>483</v>
      </c>
      <c r="L45" s="129"/>
      <c r="M45" s="377">
        <f>C45</f>
        <v>4950</v>
      </c>
    </row>
    <row r="46" spans="1:15" s="336" customFormat="1" ht="104.25" customHeight="1">
      <c r="A46" s="362">
        <v>42</v>
      </c>
      <c r="B46" s="181" t="s">
        <v>775</v>
      </c>
      <c r="C46" s="94">
        <v>2300</v>
      </c>
      <c r="D46" s="133" t="s">
        <v>226</v>
      </c>
      <c r="E46" s="393" t="s">
        <v>1746</v>
      </c>
      <c r="F46" s="87" t="s">
        <v>19</v>
      </c>
      <c r="G46" s="87" t="s">
        <v>123</v>
      </c>
      <c r="H46" s="93" t="s">
        <v>1747</v>
      </c>
      <c r="I46" s="364"/>
      <c r="J46" s="89" t="s">
        <v>54</v>
      </c>
      <c r="K46" s="177" t="s">
        <v>84</v>
      </c>
      <c r="L46" s="129" t="s">
        <v>1748</v>
      </c>
      <c r="M46" s="377">
        <f t="shared" si="3"/>
        <v>2300</v>
      </c>
    </row>
    <row r="47" spans="1:15" s="358" customFormat="1" ht="24.75" customHeight="1">
      <c r="A47" s="363">
        <v>43</v>
      </c>
      <c r="B47" s="352" t="s">
        <v>1645</v>
      </c>
      <c r="C47" s="382" t="s">
        <v>675</v>
      </c>
      <c r="D47" s="381" t="s">
        <v>675</v>
      </c>
      <c r="E47" s="381"/>
      <c r="F47" s="354" t="s">
        <v>19</v>
      </c>
      <c r="G47" s="354" t="s">
        <v>172</v>
      </c>
      <c r="H47" s="355"/>
      <c r="I47" s="356"/>
      <c r="J47" s="354" t="s">
        <v>54</v>
      </c>
      <c r="K47" s="354" t="s">
        <v>483</v>
      </c>
      <c r="L47" s="354"/>
      <c r="M47" s="357" t="str">
        <f t="shared" si="3"/>
        <v>HỦY</v>
      </c>
    </row>
    <row r="48" spans="1:15" s="336" customFormat="1" ht="73.5" customHeight="1">
      <c r="A48" s="362">
        <v>44</v>
      </c>
      <c r="B48" s="129" t="s">
        <v>1550</v>
      </c>
      <c r="C48" s="94">
        <v>2500</v>
      </c>
      <c r="D48" s="133" t="s">
        <v>226</v>
      </c>
      <c r="E48" s="393" t="s">
        <v>1749</v>
      </c>
      <c r="F48" s="87" t="s">
        <v>19</v>
      </c>
      <c r="G48" s="87" t="s">
        <v>172</v>
      </c>
      <c r="H48" s="93" t="s">
        <v>1750</v>
      </c>
      <c r="I48" s="364"/>
      <c r="J48" s="113" t="s">
        <v>16</v>
      </c>
      <c r="K48" s="113" t="s">
        <v>16</v>
      </c>
      <c r="L48" s="133" t="s">
        <v>1751</v>
      </c>
      <c r="M48" s="377">
        <f t="shared" ref="M48:M62" si="4">C48</f>
        <v>2500</v>
      </c>
    </row>
    <row r="49" spans="1:13" s="336" customFormat="1" ht="57.75" customHeight="1">
      <c r="A49" s="362">
        <v>45</v>
      </c>
      <c r="B49" s="129" t="s">
        <v>1752</v>
      </c>
      <c r="C49" s="94">
        <v>2000</v>
      </c>
      <c r="D49" s="133" t="s">
        <v>226</v>
      </c>
      <c r="E49" s="133" t="s">
        <v>1753</v>
      </c>
      <c r="F49" s="87" t="s">
        <v>19</v>
      </c>
      <c r="G49" s="87" t="s">
        <v>199</v>
      </c>
      <c r="H49" s="93" t="s">
        <v>1754</v>
      </c>
      <c r="I49" s="364" t="s">
        <v>1755</v>
      </c>
      <c r="J49" s="87" t="s">
        <v>89</v>
      </c>
      <c r="K49" s="113" t="s">
        <v>89</v>
      </c>
      <c r="L49" s="133" t="s">
        <v>1756</v>
      </c>
      <c r="M49" s="377">
        <f t="shared" si="4"/>
        <v>2000</v>
      </c>
    </row>
    <row r="50" spans="1:13" s="336" customFormat="1" ht="57.75" customHeight="1">
      <c r="A50" s="362">
        <v>46</v>
      </c>
      <c r="B50" s="129" t="s">
        <v>1757</v>
      </c>
      <c r="C50" s="94">
        <v>4250</v>
      </c>
      <c r="D50" s="133" t="s">
        <v>226</v>
      </c>
      <c r="E50" s="133" t="s">
        <v>1753</v>
      </c>
      <c r="F50" s="87" t="s">
        <v>19</v>
      </c>
      <c r="G50" s="87" t="s">
        <v>172</v>
      </c>
      <c r="H50" s="93" t="s">
        <v>1758</v>
      </c>
      <c r="I50" s="364" t="s">
        <v>1759</v>
      </c>
      <c r="J50" s="87" t="s">
        <v>89</v>
      </c>
      <c r="K50" s="113" t="s">
        <v>89</v>
      </c>
      <c r="L50" s="133"/>
      <c r="M50" s="377">
        <f t="shared" si="4"/>
        <v>4250</v>
      </c>
    </row>
    <row r="51" spans="1:13" s="336" customFormat="1" ht="57.75" customHeight="1">
      <c r="A51" s="362">
        <v>47</v>
      </c>
      <c r="B51" s="129" t="s">
        <v>914</v>
      </c>
      <c r="C51" s="94">
        <v>3500</v>
      </c>
      <c r="D51" s="133" t="s">
        <v>226</v>
      </c>
      <c r="E51" s="133" t="s">
        <v>1760</v>
      </c>
      <c r="F51" s="87" t="s">
        <v>19</v>
      </c>
      <c r="G51" s="87" t="s">
        <v>172</v>
      </c>
      <c r="H51" s="93" t="s">
        <v>1761</v>
      </c>
      <c r="I51" s="364"/>
      <c r="J51" s="87" t="s">
        <v>89</v>
      </c>
      <c r="K51" s="113" t="s">
        <v>89</v>
      </c>
      <c r="L51" s="133"/>
      <c r="M51" s="377">
        <f t="shared" si="4"/>
        <v>3500</v>
      </c>
    </row>
    <row r="52" spans="1:13" s="336" customFormat="1" ht="57.75" customHeight="1">
      <c r="A52" s="362">
        <v>48</v>
      </c>
      <c r="B52" s="129" t="s">
        <v>1656</v>
      </c>
      <c r="C52" s="94">
        <v>2850</v>
      </c>
      <c r="D52" s="133" t="s">
        <v>226</v>
      </c>
      <c r="E52" s="133" t="s">
        <v>1762</v>
      </c>
      <c r="F52" s="87" t="s">
        <v>19</v>
      </c>
      <c r="G52" s="87" t="s">
        <v>172</v>
      </c>
      <c r="H52" s="93" t="s">
        <v>1763</v>
      </c>
      <c r="I52" s="364" t="s">
        <v>1764</v>
      </c>
      <c r="J52" s="87" t="s">
        <v>16</v>
      </c>
      <c r="K52" s="113" t="s">
        <v>16</v>
      </c>
      <c r="L52" s="133" t="s">
        <v>1510</v>
      </c>
      <c r="M52" s="377">
        <f t="shared" si="4"/>
        <v>2850</v>
      </c>
    </row>
    <row r="53" spans="1:13" s="336" customFormat="1" ht="61.5" customHeight="1">
      <c r="A53" s="362">
        <v>49</v>
      </c>
      <c r="B53" s="129" t="s">
        <v>1001</v>
      </c>
      <c r="C53" s="94">
        <v>3400</v>
      </c>
      <c r="D53" s="133" t="s">
        <v>226</v>
      </c>
      <c r="E53" s="133" t="s">
        <v>1765</v>
      </c>
      <c r="F53" s="87" t="s">
        <v>19</v>
      </c>
      <c r="G53" s="87" t="s">
        <v>172</v>
      </c>
      <c r="H53" s="93" t="s">
        <v>1766</v>
      </c>
      <c r="I53" s="364"/>
      <c r="J53" s="87" t="s">
        <v>84</v>
      </c>
      <c r="K53" s="87" t="s">
        <v>84</v>
      </c>
      <c r="L53" s="87" t="s">
        <v>417</v>
      </c>
      <c r="M53" s="377">
        <f t="shared" si="4"/>
        <v>3400</v>
      </c>
    </row>
    <row r="54" spans="1:13" s="336" customFormat="1" ht="152.25" customHeight="1">
      <c r="A54" s="514">
        <v>50</v>
      </c>
      <c r="B54" s="394" t="s">
        <v>381</v>
      </c>
      <c r="C54" s="395">
        <v>20000</v>
      </c>
      <c r="D54" s="396" t="s">
        <v>226</v>
      </c>
      <c r="E54" s="396"/>
      <c r="F54" s="397" t="s">
        <v>19</v>
      </c>
      <c r="G54" s="397" t="s">
        <v>172</v>
      </c>
      <c r="H54" s="142" t="s">
        <v>1767</v>
      </c>
      <c r="I54" s="364" t="s">
        <v>1768</v>
      </c>
      <c r="J54" s="397" t="s">
        <v>43</v>
      </c>
      <c r="K54" s="398" t="s">
        <v>16</v>
      </c>
      <c r="L54" s="396" t="s">
        <v>1769</v>
      </c>
      <c r="M54" s="399">
        <f t="shared" si="4"/>
        <v>20000</v>
      </c>
    </row>
    <row r="55" spans="1:13" s="358" customFormat="1" ht="23.25" customHeight="1">
      <c r="A55" s="363">
        <v>51</v>
      </c>
      <c r="B55" s="352" t="s">
        <v>1770</v>
      </c>
      <c r="C55" s="353" t="s">
        <v>676</v>
      </c>
      <c r="D55" s="381" t="s">
        <v>1771</v>
      </c>
      <c r="E55" s="381" t="s">
        <v>1772</v>
      </c>
      <c r="F55" s="354" t="s">
        <v>19</v>
      </c>
      <c r="G55" s="354" t="s">
        <v>172</v>
      </c>
      <c r="H55" s="353" t="s">
        <v>1773</v>
      </c>
      <c r="I55" s="353" t="s">
        <v>1773</v>
      </c>
      <c r="J55" s="354" t="s">
        <v>89</v>
      </c>
      <c r="K55" s="386" t="s">
        <v>89</v>
      </c>
      <c r="L55" s="354"/>
      <c r="M55" s="357" t="str">
        <f t="shared" si="4"/>
        <v>Hủy</v>
      </c>
    </row>
    <row r="56" spans="1:13" s="336" customFormat="1" ht="33" customHeight="1">
      <c r="A56" s="514">
        <v>52</v>
      </c>
      <c r="B56" s="394" t="s">
        <v>1774</v>
      </c>
      <c r="C56" s="395">
        <v>2630</v>
      </c>
      <c r="D56" s="396" t="s">
        <v>226</v>
      </c>
      <c r="E56" s="396" t="s">
        <v>1775</v>
      </c>
      <c r="F56" s="397" t="s">
        <v>19</v>
      </c>
      <c r="G56" s="397" t="s">
        <v>172</v>
      </c>
      <c r="H56" s="142" t="s">
        <v>1776</v>
      </c>
      <c r="I56" s="364"/>
      <c r="J56" s="397" t="s">
        <v>43</v>
      </c>
      <c r="K56" s="398" t="s">
        <v>483</v>
      </c>
      <c r="L56" s="396"/>
      <c r="M56" s="399">
        <f t="shared" si="4"/>
        <v>2630</v>
      </c>
    </row>
    <row r="57" spans="1:13" s="407" customFormat="1" ht="65.25" customHeight="1">
      <c r="A57" s="400">
        <v>53</v>
      </c>
      <c r="B57" s="401" t="s">
        <v>1777</v>
      </c>
      <c r="C57" s="402">
        <v>1800</v>
      </c>
      <c r="D57" s="403" t="s">
        <v>226</v>
      </c>
      <c r="E57" s="403" t="s">
        <v>1775</v>
      </c>
      <c r="F57" s="404" t="s">
        <v>19</v>
      </c>
      <c r="G57" s="404" t="s">
        <v>467</v>
      </c>
      <c r="H57" s="345" t="s">
        <v>1778</v>
      </c>
      <c r="I57" s="345" t="s">
        <v>1779</v>
      </c>
      <c r="J57" s="404" t="s">
        <v>16</v>
      </c>
      <c r="K57" s="405" t="s">
        <v>16</v>
      </c>
      <c r="L57" s="403" t="s">
        <v>1701</v>
      </c>
      <c r="M57" s="406">
        <f t="shared" si="4"/>
        <v>1800</v>
      </c>
    </row>
    <row r="58" spans="1:13" s="336" customFormat="1" ht="97.5" customHeight="1">
      <c r="A58" s="514">
        <v>54</v>
      </c>
      <c r="B58" s="394" t="s">
        <v>921</v>
      </c>
      <c r="C58" s="395">
        <v>4700</v>
      </c>
      <c r="D58" s="396" t="s">
        <v>226</v>
      </c>
      <c r="E58" s="396" t="s">
        <v>226</v>
      </c>
      <c r="F58" s="397" t="s">
        <v>19</v>
      </c>
      <c r="G58" s="397" t="s">
        <v>467</v>
      </c>
      <c r="H58" s="142" t="s">
        <v>1780</v>
      </c>
      <c r="I58" s="364" t="s">
        <v>1781</v>
      </c>
      <c r="J58" s="397" t="s">
        <v>84</v>
      </c>
      <c r="K58" s="398" t="s">
        <v>84</v>
      </c>
      <c r="L58" s="396" t="s">
        <v>1528</v>
      </c>
      <c r="M58" s="399">
        <f t="shared" si="4"/>
        <v>4700</v>
      </c>
    </row>
    <row r="59" spans="1:13" s="150" customFormat="1" ht="78" customHeight="1">
      <c r="A59" s="387">
        <v>55</v>
      </c>
      <c r="B59" s="181" t="s">
        <v>1087</v>
      </c>
      <c r="C59" s="186">
        <v>4800</v>
      </c>
      <c r="D59" s="388" t="s">
        <v>226</v>
      </c>
      <c r="E59" s="388" t="s">
        <v>1782</v>
      </c>
      <c r="F59" s="177" t="s">
        <v>19</v>
      </c>
      <c r="G59" s="177" t="s">
        <v>172</v>
      </c>
      <c r="H59" s="188" t="s">
        <v>1783</v>
      </c>
      <c r="I59" s="364"/>
      <c r="J59" s="177" t="s">
        <v>43</v>
      </c>
      <c r="K59" s="182" t="s">
        <v>483</v>
      </c>
      <c r="L59" s="177"/>
      <c r="M59" s="391">
        <f t="shared" si="4"/>
        <v>4800</v>
      </c>
    </row>
    <row r="60" spans="1:13" s="336" customFormat="1" ht="73.5" customHeight="1">
      <c r="A60" s="362">
        <v>56</v>
      </c>
      <c r="B60" s="181" t="s">
        <v>1726</v>
      </c>
      <c r="C60" s="186">
        <v>4700</v>
      </c>
      <c r="D60" s="133" t="s">
        <v>226</v>
      </c>
      <c r="E60" s="393" t="s">
        <v>1784</v>
      </c>
      <c r="F60" s="87" t="s">
        <v>19</v>
      </c>
      <c r="G60" s="87" t="s">
        <v>467</v>
      </c>
      <c r="H60" s="93" t="s">
        <v>1780</v>
      </c>
      <c r="I60" s="345" t="s">
        <v>1785</v>
      </c>
      <c r="J60" s="87" t="s">
        <v>89</v>
      </c>
      <c r="K60" s="113" t="s">
        <v>89</v>
      </c>
      <c r="L60" s="87" t="s">
        <v>1528</v>
      </c>
      <c r="M60" s="377">
        <f t="shared" si="4"/>
        <v>4700</v>
      </c>
    </row>
    <row r="61" spans="1:13" s="336" customFormat="1" ht="71.25" customHeight="1">
      <c r="A61" s="362">
        <v>57</v>
      </c>
      <c r="B61" s="181" t="s">
        <v>1786</v>
      </c>
      <c r="C61" s="186">
        <v>3200</v>
      </c>
      <c r="D61" s="133" t="s">
        <v>226</v>
      </c>
      <c r="E61" s="408" t="s">
        <v>1787</v>
      </c>
      <c r="F61" s="87" t="s">
        <v>19</v>
      </c>
      <c r="G61" s="87" t="s">
        <v>172</v>
      </c>
      <c r="H61" s="93" t="s">
        <v>1788</v>
      </c>
      <c r="I61" s="364"/>
      <c r="J61" s="87" t="s">
        <v>43</v>
      </c>
      <c r="K61" s="113" t="s">
        <v>483</v>
      </c>
      <c r="L61" s="87"/>
      <c r="M61" s="377">
        <f t="shared" si="4"/>
        <v>3200</v>
      </c>
    </row>
    <row r="62" spans="1:13" s="418" customFormat="1" ht="90.75" customHeight="1">
      <c r="A62" s="409">
        <v>58</v>
      </c>
      <c r="B62" s="410" t="s">
        <v>1789</v>
      </c>
      <c r="C62" s="411">
        <v>2450</v>
      </c>
      <c r="D62" s="412" t="s">
        <v>226</v>
      </c>
      <c r="E62" s="412" t="s">
        <v>1790</v>
      </c>
      <c r="F62" s="413" t="s">
        <v>19</v>
      </c>
      <c r="G62" s="413" t="s">
        <v>123</v>
      </c>
      <c r="H62" s="414" t="s">
        <v>1791</v>
      </c>
      <c r="I62" s="415" t="s">
        <v>1792</v>
      </c>
      <c r="J62" s="413" t="s">
        <v>84</v>
      </c>
      <c r="K62" s="416" t="s">
        <v>84</v>
      </c>
      <c r="L62" s="412" t="s">
        <v>1793</v>
      </c>
      <c r="M62" s="417">
        <f t="shared" si="4"/>
        <v>2450</v>
      </c>
    </row>
    <row r="63" spans="1:13">
      <c r="A63" s="360">
        <v>59</v>
      </c>
    </row>
    <row r="64" spans="1:13">
      <c r="A64" s="360">
        <v>60</v>
      </c>
    </row>
    <row r="65" spans="1:8">
      <c r="A65" s="360">
        <v>61</v>
      </c>
    </row>
    <row r="66" spans="1:8">
      <c r="A66" s="359">
        <v>62</v>
      </c>
      <c r="H66" s="342"/>
    </row>
    <row r="67" spans="1:8">
      <c r="A67" s="359">
        <v>63</v>
      </c>
    </row>
    <row r="68" spans="1:8">
      <c r="A68" s="359">
        <v>64</v>
      </c>
    </row>
    <row r="69" spans="1:8">
      <c r="A69" s="359">
        <v>65</v>
      </c>
    </row>
  </sheetData>
  <autoFilter ref="A4:Q8" xr:uid="{00000000-0009-0000-0000-00000A000000}"/>
  <mergeCells count="3">
    <mergeCell ref="C1:I1"/>
    <mergeCell ref="A2:I2"/>
    <mergeCell ref="I3:J3"/>
  </mergeCells>
  <conditionalFormatting sqref="A1:A3 A5:A14 A16 A23 A25:A26 A30:A31 A34 A37:A41 A43:A45 A53:A55 A59:A62">
    <cfRule type="duplicateValues" dxfId="687" priority="394"/>
  </conditionalFormatting>
  <conditionalFormatting sqref="A15">
    <cfRule type="duplicateValues" dxfId="686" priority="19"/>
  </conditionalFormatting>
  <conditionalFormatting sqref="A17">
    <cfRule type="duplicateValues" dxfId="685" priority="17"/>
  </conditionalFormatting>
  <conditionalFormatting sqref="A18">
    <cfRule type="duplicateValues" dxfId="684" priority="18"/>
  </conditionalFormatting>
  <conditionalFormatting sqref="A19 A21:A22 A24 A35">
    <cfRule type="duplicateValues" dxfId="683" priority="388"/>
  </conditionalFormatting>
  <conditionalFormatting sqref="A20">
    <cfRule type="duplicateValues" dxfId="682" priority="16"/>
  </conditionalFormatting>
  <conditionalFormatting sqref="A32">
    <cfRule type="duplicateValues" dxfId="681" priority="15"/>
  </conditionalFormatting>
  <conditionalFormatting sqref="A33">
    <cfRule type="duplicateValues" dxfId="680" priority="12"/>
  </conditionalFormatting>
  <conditionalFormatting sqref="A36">
    <cfRule type="duplicateValues" dxfId="679" priority="11"/>
  </conditionalFormatting>
  <conditionalFormatting sqref="A42">
    <cfRule type="duplicateValues" dxfId="678" priority="8"/>
  </conditionalFormatting>
  <conditionalFormatting sqref="A46">
    <cfRule type="duplicateValues" dxfId="677" priority="7"/>
  </conditionalFormatting>
  <conditionalFormatting sqref="A47">
    <cfRule type="duplicateValues" dxfId="676" priority="10"/>
  </conditionalFormatting>
  <conditionalFormatting sqref="A48:A49">
    <cfRule type="duplicateValues" dxfId="675" priority="9"/>
  </conditionalFormatting>
  <conditionalFormatting sqref="A50">
    <cfRule type="duplicateValues" dxfId="674" priority="6"/>
  </conditionalFormatting>
  <conditionalFormatting sqref="A51">
    <cfRule type="duplicateValues" dxfId="673" priority="5"/>
  </conditionalFormatting>
  <conditionalFormatting sqref="A52">
    <cfRule type="duplicateValues" dxfId="672" priority="4"/>
  </conditionalFormatting>
  <conditionalFormatting sqref="A56">
    <cfRule type="duplicateValues" dxfId="671" priority="2"/>
  </conditionalFormatting>
  <conditionalFormatting sqref="A57">
    <cfRule type="duplicateValues" dxfId="670" priority="1"/>
  </conditionalFormatting>
  <conditionalFormatting sqref="A58">
    <cfRule type="duplicateValues" dxfId="669" priority="3"/>
  </conditionalFormatting>
  <conditionalFormatting sqref="B3:B4">
    <cfRule type="duplicateValues" dxfId="668" priority="26"/>
    <cfRule type="duplicateValues" dxfId="667" priority="27"/>
    <cfRule type="duplicateValues" dxfId="666" priority="28"/>
  </conditionalFormatting>
  <pageMargins left="0.7" right="0.7" top="0.75" bottom="0.75" header="0.3" footer="0.3"/>
  <pageSetup paperSize="9" scale="31" orientation="landscape"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pageSetUpPr fitToPage="1"/>
  </sheetPr>
  <dimension ref="A1:O74"/>
  <sheetViews>
    <sheetView zoomScale="70" zoomScaleNormal="70" workbookViewId="0">
      <pane xSplit="3" ySplit="4" topLeftCell="G52" activePane="bottomRight" state="frozen"/>
      <selection pane="topRight" activeCell="H45" sqref="H45"/>
      <selection pane="bottomLeft" activeCell="H45" sqref="H45"/>
      <selection pane="bottomRight" activeCell="H45" sqref="H45"/>
    </sheetView>
  </sheetViews>
  <sheetFormatPr defaultColWidth="25.5703125" defaultRowHeight="18.75"/>
  <cols>
    <col min="1" max="1" width="7.28515625" style="1" customWidth="1"/>
    <col min="2" max="2" width="23.28515625" style="1" customWidth="1"/>
    <col min="3" max="3" width="18.42578125" style="2" customWidth="1"/>
    <col min="4" max="4" width="26.42578125" style="1" customWidth="1"/>
    <col min="5" max="5" width="16.28515625" style="1" customWidth="1"/>
    <col min="6" max="6" width="18.42578125" style="1" customWidth="1"/>
    <col min="7" max="7" width="49.42578125" style="9" customWidth="1"/>
    <col min="8" max="8" width="50.42578125" style="9" customWidth="1"/>
    <col min="9" max="9" width="19" style="1" customWidth="1"/>
    <col min="10" max="10" width="19.28515625" style="1" customWidth="1"/>
    <col min="11" max="11" width="15.85546875" style="1" customWidth="1"/>
    <col min="12" max="12" width="12.85546875" style="292" customWidth="1"/>
    <col min="13" max="13" width="25.28515625" style="3" customWidth="1"/>
    <col min="14" max="14" width="18.7109375" style="3" customWidth="1"/>
    <col min="15" max="15" width="34.5703125" style="3" customWidth="1"/>
    <col min="16" max="16384" width="25.5703125" style="3"/>
  </cols>
  <sheetData>
    <row r="1" spans="1:15" ht="9" customHeight="1">
      <c r="B1" s="10"/>
      <c r="C1" s="3657"/>
      <c r="D1" s="3657"/>
      <c r="E1" s="3657"/>
      <c r="F1" s="3657"/>
      <c r="G1" s="3657"/>
      <c r="H1" s="3657"/>
    </row>
    <row r="2" spans="1:15" ht="30" customHeight="1">
      <c r="A2" s="3669" t="s">
        <v>1794</v>
      </c>
      <c r="B2" s="3670"/>
      <c r="C2" s="3670"/>
      <c r="D2" s="3670"/>
      <c r="E2" s="3670"/>
      <c r="F2" s="3670"/>
      <c r="G2" s="3670"/>
      <c r="H2" s="3671"/>
      <c r="I2" s="194"/>
      <c r="J2" s="194"/>
      <c r="K2" s="195"/>
      <c r="L2" s="293"/>
      <c r="M2" s="196"/>
      <c r="N2" s="197"/>
    </row>
    <row r="3" spans="1:15" ht="24" customHeight="1">
      <c r="A3" s="198"/>
      <c r="B3" s="199"/>
      <c r="C3" s="200">
        <f>SUBTOTAL(9,C5:C9958)</f>
        <v>167518</v>
      </c>
      <c r="D3" s="201"/>
      <c r="E3" s="201"/>
      <c r="F3" s="199"/>
      <c r="G3" s="202"/>
      <c r="H3" s="3658">
        <f ca="1">TODAY()</f>
        <v>45960</v>
      </c>
      <c r="I3" s="3658"/>
      <c r="J3" s="203"/>
      <c r="K3" s="203"/>
      <c r="L3" s="294"/>
      <c r="M3" s="197"/>
      <c r="N3" s="197"/>
    </row>
    <row r="4" spans="1:15" s="7" customFormat="1" ht="33">
      <c r="A4" s="204" t="s">
        <v>1</v>
      </c>
      <c r="B4" s="204" t="s">
        <v>1384</v>
      </c>
      <c r="C4" s="205" t="s">
        <v>3</v>
      </c>
      <c r="D4" s="204" t="s">
        <v>4</v>
      </c>
      <c r="E4" s="204" t="s">
        <v>8</v>
      </c>
      <c r="F4" s="204" t="s">
        <v>9</v>
      </c>
      <c r="G4" s="206" t="s">
        <v>10</v>
      </c>
      <c r="H4" s="204" t="s">
        <v>11</v>
      </c>
      <c r="I4" s="204" t="s">
        <v>5</v>
      </c>
      <c r="J4" s="204" t="s">
        <v>1053</v>
      </c>
      <c r="K4" s="204" t="s">
        <v>1215</v>
      </c>
      <c r="L4" s="295" t="s">
        <v>340</v>
      </c>
      <c r="M4" s="204" t="s">
        <v>341</v>
      </c>
      <c r="N4" s="207">
        <f>SUM(N5:N10)</f>
        <v>167518</v>
      </c>
    </row>
    <row r="5" spans="1:15" ht="49.5">
      <c r="A5" s="208" cm="1">
        <f t="array" ref="A5:A74">_xlfn.SEQUENCE(70,1,1,1)</f>
        <v>1</v>
      </c>
      <c r="B5" s="209" t="s">
        <v>633</v>
      </c>
      <c r="C5" s="210">
        <v>4800</v>
      </c>
      <c r="D5" s="211" t="s">
        <v>226</v>
      </c>
      <c r="E5" s="212" t="s">
        <v>19</v>
      </c>
      <c r="F5" s="212" t="s">
        <v>1795</v>
      </c>
      <c r="G5" s="213" t="s">
        <v>1796</v>
      </c>
      <c r="H5" s="214" t="s">
        <v>1797</v>
      </c>
      <c r="I5" s="212" t="s">
        <v>16</v>
      </c>
      <c r="J5" s="212" t="s">
        <v>16</v>
      </c>
      <c r="K5" s="215" t="s">
        <v>417</v>
      </c>
      <c r="L5" s="296">
        <f>C5</f>
        <v>4800</v>
      </c>
      <c r="M5" s="198" t="s">
        <v>84</v>
      </c>
      <c r="N5" s="216">
        <f t="shared" ref="N5:N10" si="0">SUMIF($I:$I,M5,L:L)</f>
        <v>52350</v>
      </c>
      <c r="O5" s="4"/>
    </row>
    <row r="6" spans="1:15" ht="29.1" customHeight="1">
      <c r="A6" s="208">
        <v>2</v>
      </c>
      <c r="B6" s="209" t="s">
        <v>612</v>
      </c>
      <c r="C6" s="210">
        <v>2700</v>
      </c>
      <c r="D6" s="217" t="s">
        <v>226</v>
      </c>
      <c r="E6" s="212" t="s">
        <v>19</v>
      </c>
      <c r="F6" s="212" t="s">
        <v>74</v>
      </c>
      <c r="G6" s="213" t="s">
        <v>1798</v>
      </c>
      <c r="H6" s="214" t="s">
        <v>1799</v>
      </c>
      <c r="I6" s="212" t="s">
        <v>89</v>
      </c>
      <c r="J6" s="212" t="s">
        <v>89</v>
      </c>
      <c r="K6" s="218" t="s">
        <v>1523</v>
      </c>
      <c r="L6" s="296">
        <f t="shared" ref="L6:L14" si="1">C6</f>
        <v>2700</v>
      </c>
      <c r="M6" s="198" t="s">
        <v>89</v>
      </c>
      <c r="N6" s="216">
        <f t="shared" si="0"/>
        <v>42050</v>
      </c>
    </row>
    <row r="7" spans="1:15" s="1" customFormat="1" ht="30.6" customHeight="1">
      <c r="A7" s="208">
        <v>3</v>
      </c>
      <c r="B7" s="219" t="s">
        <v>1800</v>
      </c>
      <c r="C7" s="220">
        <v>2950</v>
      </c>
      <c r="D7" s="217" t="s">
        <v>226</v>
      </c>
      <c r="E7" s="221" t="s">
        <v>19</v>
      </c>
      <c r="F7" s="221" t="s">
        <v>63</v>
      </c>
      <c r="G7" s="222" t="s">
        <v>1801</v>
      </c>
      <c r="H7" s="214"/>
      <c r="I7" s="212" t="s">
        <v>54</v>
      </c>
      <c r="J7" s="212" t="s">
        <v>483</v>
      </c>
      <c r="K7" s="218" t="s">
        <v>1523</v>
      </c>
      <c r="L7" s="296">
        <f t="shared" si="1"/>
        <v>2950</v>
      </c>
      <c r="M7" s="223" t="s">
        <v>54</v>
      </c>
      <c r="N7" s="224">
        <f t="shared" si="0"/>
        <v>13990</v>
      </c>
    </row>
    <row r="8" spans="1:15" s="1" customFormat="1" ht="27" customHeight="1">
      <c r="A8" s="208">
        <v>4</v>
      </c>
      <c r="B8" s="219" t="s">
        <v>274</v>
      </c>
      <c r="C8" s="220">
        <v>4000</v>
      </c>
      <c r="D8" s="217" t="s">
        <v>226</v>
      </c>
      <c r="E8" s="221" t="s">
        <v>19</v>
      </c>
      <c r="F8" s="221" t="s">
        <v>63</v>
      </c>
      <c r="G8" s="222" t="s">
        <v>1802</v>
      </c>
      <c r="H8" s="225" t="s">
        <v>1803</v>
      </c>
      <c r="I8" s="221" t="s">
        <v>84</v>
      </c>
      <c r="J8" s="221" t="s">
        <v>84</v>
      </c>
      <c r="K8" s="215" t="s">
        <v>1804</v>
      </c>
      <c r="L8" s="296">
        <f t="shared" si="1"/>
        <v>4000</v>
      </c>
      <c r="M8" s="198" t="s">
        <v>16</v>
      </c>
      <c r="N8" s="224">
        <f t="shared" si="0"/>
        <v>34450</v>
      </c>
    </row>
    <row r="9" spans="1:15" s="1" customFormat="1" ht="33.6" customHeight="1">
      <c r="A9" s="208">
        <v>5</v>
      </c>
      <c r="B9" s="226" t="s">
        <v>1805</v>
      </c>
      <c r="C9" s="227">
        <v>4150</v>
      </c>
      <c r="D9" s="217" t="s">
        <v>226</v>
      </c>
      <c r="E9" s="228" t="s">
        <v>19</v>
      </c>
      <c r="F9" s="228" t="s">
        <v>63</v>
      </c>
      <c r="G9" s="229" t="s">
        <v>1806</v>
      </c>
      <c r="H9" s="230"/>
      <c r="I9" s="228" t="s">
        <v>89</v>
      </c>
      <c r="J9" s="228" t="s">
        <v>89</v>
      </c>
      <c r="K9" s="198" t="s">
        <v>1523</v>
      </c>
      <c r="L9" s="297">
        <f t="shared" si="1"/>
        <v>4150</v>
      </c>
      <c r="M9" s="223" t="s">
        <v>43</v>
      </c>
      <c r="N9" s="224">
        <f t="shared" si="0"/>
        <v>21800</v>
      </c>
    </row>
    <row r="10" spans="1:15" ht="39" customHeight="1">
      <c r="A10" s="208">
        <v>6</v>
      </c>
      <c r="B10" s="231" t="s">
        <v>1295</v>
      </c>
      <c r="C10" s="232">
        <v>3350</v>
      </c>
      <c r="D10" s="233" t="s">
        <v>226</v>
      </c>
      <c r="E10" s="228" t="s">
        <v>19</v>
      </c>
      <c r="F10" s="233" t="s">
        <v>1657</v>
      </c>
      <c r="G10" s="234" t="s">
        <v>1807</v>
      </c>
      <c r="H10" s="234"/>
      <c r="I10" s="233" t="s">
        <v>84</v>
      </c>
      <c r="J10" s="233" t="s">
        <v>84</v>
      </c>
      <c r="K10" s="198" t="s">
        <v>417</v>
      </c>
      <c r="L10" s="297">
        <f t="shared" si="1"/>
        <v>3350</v>
      </c>
      <c r="M10" s="198" t="s">
        <v>514</v>
      </c>
      <c r="N10" s="316">
        <f t="shared" si="0"/>
        <v>2878</v>
      </c>
    </row>
    <row r="11" spans="1:15" ht="39" customHeight="1">
      <c r="A11" s="208">
        <v>7</v>
      </c>
      <c r="B11" s="231" t="s">
        <v>1218</v>
      </c>
      <c r="C11" s="232">
        <v>2660</v>
      </c>
      <c r="D11" s="233" t="s">
        <v>226</v>
      </c>
      <c r="E11" s="228" t="s">
        <v>19</v>
      </c>
      <c r="F11" s="233" t="s">
        <v>1808</v>
      </c>
      <c r="G11" s="234" t="s">
        <v>1809</v>
      </c>
      <c r="H11" s="234" t="s">
        <v>236</v>
      </c>
      <c r="I11" s="233" t="s">
        <v>54</v>
      </c>
      <c r="J11" s="233" t="s">
        <v>16</v>
      </c>
      <c r="K11" s="198" t="s">
        <v>417</v>
      </c>
      <c r="L11" s="297">
        <f t="shared" si="1"/>
        <v>2660</v>
      </c>
      <c r="M11" s="197"/>
      <c r="N11" s="197"/>
    </row>
    <row r="12" spans="1:15" ht="76.5" customHeight="1">
      <c r="A12" s="208">
        <v>8</v>
      </c>
      <c r="B12" s="235" t="s">
        <v>566</v>
      </c>
      <c r="C12" s="236">
        <v>3400</v>
      </c>
      <c r="D12" s="233" t="s">
        <v>226</v>
      </c>
      <c r="E12" s="237" t="s">
        <v>19</v>
      </c>
      <c r="F12" s="238" t="s">
        <v>1653</v>
      </c>
      <c r="G12" s="229" t="s">
        <v>1810</v>
      </c>
      <c r="H12" s="239" t="s">
        <v>1811</v>
      </c>
      <c r="I12" s="238" t="s">
        <v>84</v>
      </c>
      <c r="J12" s="238" t="s">
        <v>84</v>
      </c>
      <c r="K12" s="240" t="s">
        <v>417</v>
      </c>
      <c r="L12" s="298">
        <f t="shared" si="1"/>
        <v>3400</v>
      </c>
      <c r="M12" s="197"/>
      <c r="N12" s="197"/>
    </row>
    <row r="13" spans="1:15" ht="33.75" customHeight="1">
      <c r="A13" s="208">
        <v>9</v>
      </c>
      <c r="B13" s="241" t="s">
        <v>1036</v>
      </c>
      <c r="C13" s="242">
        <v>3200</v>
      </c>
      <c r="D13" s="233" t="s">
        <v>226</v>
      </c>
      <c r="E13" s="237" t="s">
        <v>19</v>
      </c>
      <c r="F13" s="243" t="s">
        <v>1653</v>
      </c>
      <c r="G13" s="244" t="s">
        <v>1809</v>
      </c>
      <c r="H13" s="245" t="s">
        <v>236</v>
      </c>
      <c r="I13" s="243" t="s">
        <v>43</v>
      </c>
      <c r="J13" s="243" t="s">
        <v>89</v>
      </c>
      <c r="K13" s="240" t="s">
        <v>417</v>
      </c>
      <c r="L13" s="298">
        <f t="shared" si="1"/>
        <v>3200</v>
      </c>
      <c r="M13" s="197"/>
      <c r="N13" s="197"/>
    </row>
    <row r="14" spans="1:15" ht="45.75" customHeight="1">
      <c r="A14" s="208">
        <v>10</v>
      </c>
      <c r="B14" s="241" t="s">
        <v>1812</v>
      </c>
      <c r="C14" s="242">
        <v>3150</v>
      </c>
      <c r="D14" s="243" t="s">
        <v>226</v>
      </c>
      <c r="E14" s="243" t="s">
        <v>19</v>
      </c>
      <c r="F14" s="243" t="s">
        <v>1653</v>
      </c>
      <c r="G14" s="244" t="s">
        <v>1809</v>
      </c>
      <c r="H14" s="244" t="s">
        <v>236</v>
      </c>
      <c r="I14" s="243" t="s">
        <v>89</v>
      </c>
      <c r="J14" s="243" t="s">
        <v>89</v>
      </c>
      <c r="K14" s="218" t="s">
        <v>417</v>
      </c>
      <c r="L14" s="298">
        <f t="shared" si="1"/>
        <v>3150</v>
      </c>
      <c r="M14" s="197"/>
      <c r="N14" s="197"/>
    </row>
    <row r="15" spans="1:15" ht="39" customHeight="1">
      <c r="A15" s="208">
        <v>11</v>
      </c>
      <c r="B15" s="231" t="s">
        <v>589</v>
      </c>
      <c r="C15" s="232">
        <v>4050</v>
      </c>
      <c r="D15" s="243" t="s">
        <v>226</v>
      </c>
      <c r="E15" s="228" t="s">
        <v>19</v>
      </c>
      <c r="F15" s="233" t="s">
        <v>1657</v>
      </c>
      <c r="G15" s="246" t="s">
        <v>1809</v>
      </c>
      <c r="H15" s="234" t="s">
        <v>236</v>
      </c>
      <c r="I15" s="233" t="s">
        <v>43</v>
      </c>
      <c r="J15" s="233" t="s">
        <v>483</v>
      </c>
      <c r="K15" s="198" t="s">
        <v>417</v>
      </c>
      <c r="L15" s="297">
        <f>C15</f>
        <v>4050</v>
      </c>
      <c r="M15" s="197"/>
      <c r="N15" s="197"/>
    </row>
    <row r="16" spans="1:15" ht="41.25" customHeight="1">
      <c r="A16" s="208">
        <v>12</v>
      </c>
      <c r="B16" s="247" t="s">
        <v>531</v>
      </c>
      <c r="C16" s="248">
        <v>2800</v>
      </c>
      <c r="D16" s="243" t="s">
        <v>226</v>
      </c>
      <c r="E16" s="237" t="s">
        <v>19</v>
      </c>
      <c r="F16" s="249" t="s">
        <v>1813</v>
      </c>
      <c r="G16" s="250" t="s">
        <v>1814</v>
      </c>
      <c r="H16" s="251" t="s">
        <v>236</v>
      </c>
      <c r="I16" s="249" t="s">
        <v>89</v>
      </c>
      <c r="J16" s="249" t="s">
        <v>89</v>
      </c>
      <c r="K16" s="240" t="s">
        <v>417</v>
      </c>
      <c r="L16" s="298">
        <f>C16</f>
        <v>2800</v>
      </c>
      <c r="M16" s="197"/>
      <c r="N16" s="197"/>
    </row>
    <row r="17" spans="1:14" ht="62.25" customHeight="1">
      <c r="A17" s="208">
        <v>13</v>
      </c>
      <c r="B17" s="241" t="s">
        <v>1656</v>
      </c>
      <c r="C17" s="242">
        <v>2850</v>
      </c>
      <c r="D17" s="243" t="s">
        <v>226</v>
      </c>
      <c r="E17" s="237" t="s">
        <v>19</v>
      </c>
      <c r="F17" s="249" t="s">
        <v>1657</v>
      </c>
      <c r="G17" s="252" t="s">
        <v>1815</v>
      </c>
      <c r="H17" s="244"/>
      <c r="I17" s="243" t="s">
        <v>84</v>
      </c>
      <c r="J17" s="243" t="s">
        <v>84</v>
      </c>
      <c r="K17" s="240" t="s">
        <v>417</v>
      </c>
      <c r="L17" s="298">
        <f t="shared" ref="L17:L56" si="2">C17</f>
        <v>2850</v>
      </c>
      <c r="M17" s="197"/>
      <c r="N17" s="197"/>
    </row>
    <row r="18" spans="1:14" ht="41.25" customHeight="1">
      <c r="A18" s="208">
        <v>14</v>
      </c>
      <c r="B18" s="241" t="s">
        <v>526</v>
      </c>
      <c r="C18" s="242">
        <v>3400</v>
      </c>
      <c r="D18" s="243" t="s">
        <v>226</v>
      </c>
      <c r="E18" s="237" t="s">
        <v>19</v>
      </c>
      <c r="F18" s="249" t="s">
        <v>1657</v>
      </c>
      <c r="G18" s="253" t="s">
        <v>1816</v>
      </c>
      <c r="H18" s="244"/>
      <c r="I18" s="243" t="s">
        <v>43</v>
      </c>
      <c r="J18" s="243" t="s">
        <v>483</v>
      </c>
      <c r="K18" s="240" t="s">
        <v>417</v>
      </c>
      <c r="L18" s="298">
        <f t="shared" si="2"/>
        <v>3400</v>
      </c>
      <c r="M18" s="197"/>
      <c r="N18" s="197"/>
    </row>
    <row r="19" spans="1:14" ht="63.75" customHeight="1">
      <c r="A19" s="208">
        <v>15</v>
      </c>
      <c r="B19" s="241" t="s">
        <v>1817</v>
      </c>
      <c r="C19" s="242">
        <v>2500</v>
      </c>
      <c r="D19" s="243" t="s">
        <v>226</v>
      </c>
      <c r="E19" s="237" t="s">
        <v>19</v>
      </c>
      <c r="F19" s="243" t="s">
        <v>1808</v>
      </c>
      <c r="G19" s="252" t="s">
        <v>1818</v>
      </c>
      <c r="H19" s="244"/>
      <c r="I19" s="243" t="s">
        <v>84</v>
      </c>
      <c r="J19" s="243" t="s">
        <v>84</v>
      </c>
      <c r="K19" s="240" t="s">
        <v>417</v>
      </c>
      <c r="L19" s="298">
        <f t="shared" si="2"/>
        <v>2500</v>
      </c>
      <c r="M19" s="197"/>
      <c r="N19" s="197"/>
    </row>
    <row r="20" spans="1:14" ht="38.25" customHeight="1">
      <c r="A20" s="208">
        <v>16</v>
      </c>
      <c r="B20" s="247" t="s">
        <v>1819</v>
      </c>
      <c r="C20" s="248">
        <v>3100</v>
      </c>
      <c r="D20" s="249" t="s">
        <v>226</v>
      </c>
      <c r="E20" s="221" t="s">
        <v>19</v>
      </c>
      <c r="F20" s="247" t="s">
        <v>467</v>
      </c>
      <c r="G20" s="250" t="s">
        <v>1820</v>
      </c>
      <c r="H20" s="254" t="s">
        <v>1821</v>
      </c>
      <c r="I20" s="249" t="s">
        <v>89</v>
      </c>
      <c r="J20" s="249" t="s">
        <v>89</v>
      </c>
      <c r="K20" s="240" t="s">
        <v>417</v>
      </c>
      <c r="L20" s="298">
        <f>C20</f>
        <v>3100</v>
      </c>
      <c r="M20" s="197"/>
      <c r="N20" s="197"/>
    </row>
    <row r="21" spans="1:14" ht="34.5" customHeight="1">
      <c r="A21" s="208">
        <v>17</v>
      </c>
      <c r="B21" s="247" t="s">
        <v>564</v>
      </c>
      <c r="C21" s="248">
        <v>3000</v>
      </c>
      <c r="D21" s="249" t="s">
        <v>226</v>
      </c>
      <c r="E21" s="221" t="s">
        <v>19</v>
      </c>
      <c r="F21" s="249" t="s">
        <v>1808</v>
      </c>
      <c r="G21" s="254" t="s">
        <v>1822</v>
      </c>
      <c r="H21" s="254"/>
      <c r="I21" s="249" t="s">
        <v>89</v>
      </c>
      <c r="J21" s="249" t="s">
        <v>89</v>
      </c>
      <c r="K21" s="215" t="s">
        <v>417</v>
      </c>
      <c r="L21" s="298">
        <f>C21</f>
        <v>3000</v>
      </c>
      <c r="M21" s="197"/>
      <c r="N21" s="197"/>
    </row>
    <row r="22" spans="1:14" ht="87" customHeight="1">
      <c r="A22" s="233">
        <v>18</v>
      </c>
      <c r="B22" s="247" t="s">
        <v>1823</v>
      </c>
      <c r="C22" s="248">
        <v>3000</v>
      </c>
      <c r="D22" s="249" t="s">
        <v>226</v>
      </c>
      <c r="E22" s="221" t="s">
        <v>19</v>
      </c>
      <c r="F22" s="249" t="s">
        <v>1696</v>
      </c>
      <c r="G22" s="255" t="s">
        <v>1824</v>
      </c>
      <c r="H22" s="255" t="s">
        <v>1825</v>
      </c>
      <c r="I22" s="249" t="s">
        <v>89</v>
      </c>
      <c r="J22" s="249" t="s">
        <v>89</v>
      </c>
      <c r="K22" s="215" t="s">
        <v>1528</v>
      </c>
      <c r="L22" s="299">
        <f>C22</f>
        <v>3000</v>
      </c>
      <c r="M22" s="197"/>
      <c r="N22" s="197"/>
    </row>
    <row r="23" spans="1:14" ht="42" customHeight="1">
      <c r="A23" s="233">
        <v>19</v>
      </c>
      <c r="B23" s="241" t="s">
        <v>1681</v>
      </c>
      <c r="C23" s="242">
        <v>3000</v>
      </c>
      <c r="D23" s="243" t="s">
        <v>226</v>
      </c>
      <c r="E23" s="221" t="s">
        <v>19</v>
      </c>
      <c r="F23" s="243" t="s">
        <v>74</v>
      </c>
      <c r="G23" s="252" t="s">
        <v>1826</v>
      </c>
      <c r="H23" s="252" t="s">
        <v>1827</v>
      </c>
      <c r="I23" s="243" t="s">
        <v>84</v>
      </c>
      <c r="J23" s="243" t="s">
        <v>84</v>
      </c>
      <c r="K23" s="218" t="s">
        <v>1523</v>
      </c>
      <c r="L23" s="300">
        <f>C23</f>
        <v>3000</v>
      </c>
      <c r="M23" s="197"/>
      <c r="N23" s="197"/>
    </row>
    <row r="24" spans="1:14" ht="55.5" customHeight="1">
      <c r="A24" s="233">
        <v>20</v>
      </c>
      <c r="B24" s="241" t="s">
        <v>540</v>
      </c>
      <c r="C24" s="242">
        <v>3500</v>
      </c>
      <c r="D24" s="243" t="s">
        <v>226</v>
      </c>
      <c r="E24" s="237" t="s">
        <v>19</v>
      </c>
      <c r="F24" s="243" t="s">
        <v>1657</v>
      </c>
      <c r="G24" s="252" t="s">
        <v>1828</v>
      </c>
      <c r="H24" s="252" t="s">
        <v>1829</v>
      </c>
      <c r="I24" s="243" t="s">
        <v>43</v>
      </c>
      <c r="J24" s="243" t="s">
        <v>16</v>
      </c>
      <c r="K24" s="240" t="s">
        <v>417</v>
      </c>
      <c r="L24" s="301">
        <f t="shared" si="2"/>
        <v>3500</v>
      </c>
      <c r="M24" s="197"/>
      <c r="N24" s="197"/>
    </row>
    <row r="25" spans="1:14" ht="64.5" customHeight="1">
      <c r="A25" s="243">
        <v>21</v>
      </c>
      <c r="B25" s="243" t="s">
        <v>638</v>
      </c>
      <c r="C25" s="242">
        <v>3800</v>
      </c>
      <c r="D25" s="243" t="s">
        <v>226</v>
      </c>
      <c r="E25" s="212" t="s">
        <v>19</v>
      </c>
      <c r="F25" s="243" t="s">
        <v>959</v>
      </c>
      <c r="G25" s="214" t="s">
        <v>1830</v>
      </c>
      <c r="H25" s="244" t="s">
        <v>1831</v>
      </c>
      <c r="I25" s="243" t="s">
        <v>84</v>
      </c>
      <c r="J25" s="243" t="s">
        <v>84</v>
      </c>
      <c r="K25" s="262" t="s">
        <v>1832</v>
      </c>
      <c r="L25" s="300">
        <f t="shared" ref="L25:L36" si="3">C25</f>
        <v>3800</v>
      </c>
      <c r="M25" s="197"/>
      <c r="N25" s="197"/>
    </row>
    <row r="26" spans="1:14" ht="43.5" customHeight="1">
      <c r="A26" s="256">
        <v>22</v>
      </c>
      <c r="B26" s="257" t="s">
        <v>1833</v>
      </c>
      <c r="C26" s="258">
        <v>2000</v>
      </c>
      <c r="D26" s="243" t="s">
        <v>226</v>
      </c>
      <c r="E26" s="259" t="s">
        <v>19</v>
      </c>
      <c r="F26" s="243" t="s">
        <v>1808</v>
      </c>
      <c r="G26" s="260" t="s">
        <v>1834</v>
      </c>
      <c r="H26" s="260" t="s">
        <v>1835</v>
      </c>
      <c r="I26" s="261" t="s">
        <v>89</v>
      </c>
      <c r="J26" s="261" t="s">
        <v>89</v>
      </c>
      <c r="K26" s="262" t="s">
        <v>417</v>
      </c>
      <c r="L26" s="300">
        <f t="shared" si="3"/>
        <v>2000</v>
      </c>
      <c r="M26" s="197"/>
      <c r="N26" s="197"/>
    </row>
    <row r="27" spans="1:14" ht="44.25" customHeight="1">
      <c r="A27" s="243">
        <v>23</v>
      </c>
      <c r="B27" s="243" t="s">
        <v>1565</v>
      </c>
      <c r="C27" s="242">
        <v>3050</v>
      </c>
      <c r="D27" s="243" t="s">
        <v>226</v>
      </c>
      <c r="E27" s="212" t="s">
        <v>19</v>
      </c>
      <c r="F27" s="243" t="s">
        <v>1813</v>
      </c>
      <c r="G27" s="274" t="s">
        <v>1836</v>
      </c>
      <c r="H27" s="244" t="s">
        <v>1837</v>
      </c>
      <c r="I27" s="243" t="s">
        <v>54</v>
      </c>
      <c r="J27" s="243" t="s">
        <v>483</v>
      </c>
      <c r="K27" s="218" t="s">
        <v>417</v>
      </c>
      <c r="L27" s="300">
        <f t="shared" si="3"/>
        <v>3050</v>
      </c>
      <c r="M27" s="197"/>
      <c r="N27" s="197"/>
    </row>
    <row r="28" spans="1:14" ht="41.25" customHeight="1">
      <c r="A28" s="243">
        <v>24</v>
      </c>
      <c r="B28" s="243" t="s">
        <v>974</v>
      </c>
      <c r="C28" s="242">
        <v>2300</v>
      </c>
      <c r="D28" s="243" t="s">
        <v>226</v>
      </c>
      <c r="E28" s="212" t="s">
        <v>19</v>
      </c>
      <c r="F28" s="243" t="s">
        <v>123</v>
      </c>
      <c r="G28" s="214" t="s">
        <v>1838</v>
      </c>
      <c r="H28" s="244"/>
      <c r="I28" s="243" t="s">
        <v>16</v>
      </c>
      <c r="J28" s="243" t="s">
        <v>16</v>
      </c>
      <c r="K28" s="218" t="s">
        <v>1528</v>
      </c>
      <c r="L28" s="300">
        <f t="shared" si="3"/>
        <v>2300</v>
      </c>
      <c r="M28" s="197"/>
      <c r="N28" s="197"/>
    </row>
    <row r="29" spans="1:14" ht="44.25" customHeight="1">
      <c r="A29" s="249">
        <v>25</v>
      </c>
      <c r="B29" s="249" t="s">
        <v>1839</v>
      </c>
      <c r="C29" s="248">
        <v>2600</v>
      </c>
      <c r="D29" s="249" t="s">
        <v>226</v>
      </c>
      <c r="E29" s="221" t="s">
        <v>19</v>
      </c>
      <c r="F29" s="249" t="s">
        <v>1126</v>
      </c>
      <c r="G29" s="250" t="s">
        <v>1840</v>
      </c>
      <c r="H29" s="263" t="s">
        <v>1841</v>
      </c>
      <c r="I29" s="249" t="s">
        <v>16</v>
      </c>
      <c r="J29" s="249" t="s">
        <v>16</v>
      </c>
      <c r="K29" s="218" t="s">
        <v>417</v>
      </c>
      <c r="L29" s="300">
        <f t="shared" si="3"/>
        <v>2600</v>
      </c>
      <c r="M29" s="197"/>
      <c r="N29" s="197"/>
    </row>
    <row r="30" spans="1:14" ht="62.25" customHeight="1">
      <c r="A30" s="243">
        <v>26</v>
      </c>
      <c r="B30" s="243" t="s">
        <v>581</v>
      </c>
      <c r="C30" s="242">
        <v>3600</v>
      </c>
      <c r="D30" s="249" t="s">
        <v>226</v>
      </c>
      <c r="E30" s="212" t="s">
        <v>19</v>
      </c>
      <c r="F30" s="243" t="s">
        <v>959</v>
      </c>
      <c r="G30" s="252" t="s">
        <v>1842</v>
      </c>
      <c r="H30" s="252"/>
      <c r="I30" s="243" t="s">
        <v>84</v>
      </c>
      <c r="J30" s="243" t="s">
        <v>84</v>
      </c>
      <c r="K30" s="241" t="s">
        <v>1523</v>
      </c>
      <c r="L30" s="300">
        <f t="shared" si="3"/>
        <v>3600</v>
      </c>
      <c r="M30" s="197"/>
      <c r="N30" s="197"/>
    </row>
    <row r="31" spans="1:14" ht="68.25" customHeight="1">
      <c r="A31" s="249">
        <v>27</v>
      </c>
      <c r="B31" s="249" t="s">
        <v>1666</v>
      </c>
      <c r="C31" s="248">
        <v>4000</v>
      </c>
      <c r="D31" s="249" t="s">
        <v>226</v>
      </c>
      <c r="E31" s="221" t="s">
        <v>19</v>
      </c>
      <c r="F31" s="249" t="s">
        <v>959</v>
      </c>
      <c r="G31" s="250" t="s">
        <v>1843</v>
      </c>
      <c r="H31" s="254" t="s">
        <v>1844</v>
      </c>
      <c r="I31" s="249" t="s">
        <v>84</v>
      </c>
      <c r="J31" s="249" t="s">
        <v>84</v>
      </c>
      <c r="K31" s="247" t="s">
        <v>1845</v>
      </c>
      <c r="L31" s="299">
        <f t="shared" si="3"/>
        <v>4000</v>
      </c>
      <c r="M31" s="197"/>
      <c r="N31" s="197"/>
    </row>
    <row r="32" spans="1:14" ht="42.75" customHeight="1">
      <c r="A32" s="243">
        <v>28</v>
      </c>
      <c r="B32" s="243" t="s">
        <v>1082</v>
      </c>
      <c r="C32" s="242">
        <v>4600</v>
      </c>
      <c r="D32" s="249" t="s">
        <v>226</v>
      </c>
      <c r="E32" s="212" t="s">
        <v>19</v>
      </c>
      <c r="F32" s="264" t="s">
        <v>1126</v>
      </c>
      <c r="G32" s="245" t="s">
        <v>1846</v>
      </c>
      <c r="H32" s="265" t="s">
        <v>1847</v>
      </c>
      <c r="I32" s="243" t="s">
        <v>84</v>
      </c>
      <c r="J32" s="243" t="s">
        <v>84</v>
      </c>
      <c r="K32" s="243" t="s">
        <v>1679</v>
      </c>
      <c r="L32" s="302">
        <f t="shared" si="3"/>
        <v>4600</v>
      </c>
      <c r="M32" s="197"/>
      <c r="N32" s="197"/>
    </row>
    <row r="33" spans="1:14" ht="72" customHeight="1">
      <c r="A33" s="243">
        <v>29</v>
      </c>
      <c r="B33" s="243" t="s">
        <v>1295</v>
      </c>
      <c r="C33" s="242">
        <v>3350</v>
      </c>
      <c r="D33" s="249" t="s">
        <v>226</v>
      </c>
      <c r="E33" s="212" t="s">
        <v>19</v>
      </c>
      <c r="F33" s="243" t="s">
        <v>1653</v>
      </c>
      <c r="G33" s="252" t="s">
        <v>1848</v>
      </c>
      <c r="H33" s="244"/>
      <c r="I33" s="243" t="s">
        <v>84</v>
      </c>
      <c r="J33" s="243" t="s">
        <v>84</v>
      </c>
      <c r="K33" s="243" t="s">
        <v>1523</v>
      </c>
      <c r="L33" s="302">
        <f t="shared" si="3"/>
        <v>3350</v>
      </c>
      <c r="M33" s="197"/>
      <c r="N33" s="197"/>
    </row>
    <row r="34" spans="1:14" ht="37.5" customHeight="1">
      <c r="A34" s="261">
        <v>30</v>
      </c>
      <c r="B34" s="261" t="s">
        <v>1849</v>
      </c>
      <c r="C34" s="258">
        <v>3950</v>
      </c>
      <c r="D34" s="249" t="s">
        <v>226</v>
      </c>
      <c r="E34" s="212" t="s">
        <v>19</v>
      </c>
      <c r="F34" s="243" t="s">
        <v>1126</v>
      </c>
      <c r="G34" s="260" t="s">
        <v>1850</v>
      </c>
      <c r="H34" s="267"/>
      <c r="I34" s="243" t="s">
        <v>84</v>
      </c>
      <c r="J34" s="261" t="s">
        <v>84</v>
      </c>
      <c r="K34" s="243" t="s">
        <v>1679</v>
      </c>
      <c r="L34" s="302">
        <f t="shared" si="3"/>
        <v>3950</v>
      </c>
      <c r="M34" s="197"/>
      <c r="N34" s="197"/>
    </row>
    <row r="35" spans="1:14" ht="63" customHeight="1">
      <c r="A35" s="243">
        <v>31</v>
      </c>
      <c r="B35" s="243" t="s">
        <v>1851</v>
      </c>
      <c r="C35" s="242">
        <v>4500</v>
      </c>
      <c r="D35" s="249" t="s">
        <v>226</v>
      </c>
      <c r="E35" s="212" t="s">
        <v>19</v>
      </c>
      <c r="F35" s="243" t="s">
        <v>20</v>
      </c>
      <c r="G35" s="260" t="s">
        <v>1852</v>
      </c>
      <c r="H35" s="266" t="s">
        <v>1853</v>
      </c>
      <c r="I35" s="243" t="s">
        <v>89</v>
      </c>
      <c r="J35" s="243" t="s">
        <v>89</v>
      </c>
      <c r="K35" s="243" t="s">
        <v>417</v>
      </c>
      <c r="L35" s="300">
        <f t="shared" si="3"/>
        <v>4500</v>
      </c>
      <c r="M35" s="197"/>
      <c r="N35" s="197"/>
    </row>
    <row r="36" spans="1:14" ht="39.75" customHeight="1">
      <c r="A36" s="268">
        <v>32</v>
      </c>
      <c r="B36" s="268" t="s">
        <v>1020</v>
      </c>
      <c r="C36" s="269">
        <v>3200</v>
      </c>
      <c r="D36" s="249" t="s">
        <v>226</v>
      </c>
      <c r="E36" s="221" t="s">
        <v>19</v>
      </c>
      <c r="F36" s="268" t="s">
        <v>1657</v>
      </c>
      <c r="G36" s="279" t="s">
        <v>1854</v>
      </c>
      <c r="H36" s="270"/>
      <c r="I36" s="268" t="s">
        <v>16</v>
      </c>
      <c r="J36" s="268" t="s">
        <v>16</v>
      </c>
      <c r="K36" s="249" t="s">
        <v>1679</v>
      </c>
      <c r="L36" s="299">
        <f t="shared" si="3"/>
        <v>3200</v>
      </c>
      <c r="M36" s="197"/>
      <c r="N36" s="197"/>
    </row>
    <row r="37" spans="1:14" ht="51.75" customHeight="1">
      <c r="A37" s="243">
        <v>33</v>
      </c>
      <c r="B37" s="243" t="s">
        <v>1524</v>
      </c>
      <c r="C37" s="242">
        <v>2000</v>
      </c>
      <c r="D37" s="243" t="s">
        <v>226</v>
      </c>
      <c r="E37" s="212" t="s">
        <v>19</v>
      </c>
      <c r="F37" s="243" t="s">
        <v>20</v>
      </c>
      <c r="G37" s="252" t="s">
        <v>1855</v>
      </c>
      <c r="H37" s="265" t="s">
        <v>1856</v>
      </c>
      <c r="I37" s="243" t="s">
        <v>43</v>
      </c>
      <c r="J37" s="243" t="s">
        <v>16</v>
      </c>
      <c r="K37" s="243" t="s">
        <v>1528</v>
      </c>
      <c r="L37" s="300">
        <f t="shared" si="2"/>
        <v>2000</v>
      </c>
      <c r="M37" s="197"/>
      <c r="N37" s="197"/>
    </row>
    <row r="38" spans="1:14" ht="43.5" customHeight="1">
      <c r="A38" s="243">
        <v>34</v>
      </c>
      <c r="B38" s="243" t="s">
        <v>785</v>
      </c>
      <c r="C38" s="242">
        <v>1830</v>
      </c>
      <c r="D38" s="243" t="s">
        <v>226</v>
      </c>
      <c r="E38" s="212" t="s">
        <v>19</v>
      </c>
      <c r="F38" s="243" t="s">
        <v>1813</v>
      </c>
      <c r="G38" s="252" t="s">
        <v>1857</v>
      </c>
      <c r="H38" s="244"/>
      <c r="I38" s="243" t="s">
        <v>54</v>
      </c>
      <c r="J38" s="243" t="s">
        <v>16</v>
      </c>
      <c r="K38" s="218" t="s">
        <v>417</v>
      </c>
      <c r="L38" s="300">
        <f t="shared" si="2"/>
        <v>1830</v>
      </c>
      <c r="M38" s="197"/>
      <c r="N38" s="197"/>
    </row>
    <row r="39" spans="1:14" ht="37.5" customHeight="1">
      <c r="A39" s="243">
        <v>35</v>
      </c>
      <c r="B39" s="87" t="s">
        <v>1858</v>
      </c>
      <c r="C39" s="242">
        <v>2878</v>
      </c>
      <c r="D39" s="243" t="s">
        <v>226</v>
      </c>
      <c r="E39" s="212" t="s">
        <v>19</v>
      </c>
      <c r="F39" s="243" t="s">
        <v>1859</v>
      </c>
      <c r="G39" s="252" t="s">
        <v>1860</v>
      </c>
      <c r="H39" s="254" t="s">
        <v>1861</v>
      </c>
      <c r="I39" s="243" t="s">
        <v>514</v>
      </c>
      <c r="J39" s="243" t="s">
        <v>16</v>
      </c>
      <c r="K39" s="243" t="s">
        <v>417</v>
      </c>
      <c r="L39" s="300">
        <f t="shared" si="2"/>
        <v>2878</v>
      </c>
      <c r="M39" s="197"/>
      <c r="N39" s="197"/>
    </row>
    <row r="40" spans="1:14" ht="63.75" customHeight="1">
      <c r="A40" s="243">
        <v>36</v>
      </c>
      <c r="B40" s="243" t="s">
        <v>1862</v>
      </c>
      <c r="C40" s="275">
        <v>4500</v>
      </c>
      <c r="D40" s="243" t="s">
        <v>226</v>
      </c>
      <c r="E40" s="212" t="s">
        <v>19</v>
      </c>
      <c r="F40" s="243" t="s">
        <v>63</v>
      </c>
      <c r="G40" s="276" t="s">
        <v>1863</v>
      </c>
      <c r="H40" s="277" t="s">
        <v>1864</v>
      </c>
      <c r="I40" s="243" t="s">
        <v>16</v>
      </c>
      <c r="J40" s="243" t="s">
        <v>16</v>
      </c>
      <c r="K40" s="249" t="s">
        <v>1737</v>
      </c>
      <c r="L40" s="300">
        <f t="shared" si="2"/>
        <v>4500</v>
      </c>
      <c r="M40" s="197"/>
      <c r="N40" s="197"/>
    </row>
    <row r="41" spans="1:14" ht="45" customHeight="1">
      <c r="A41" s="249">
        <v>37</v>
      </c>
      <c r="B41" s="249" t="s">
        <v>1583</v>
      </c>
      <c r="C41" s="248">
        <v>2450</v>
      </c>
      <c r="D41" s="243" t="s">
        <v>226</v>
      </c>
      <c r="E41" s="221" t="s">
        <v>19</v>
      </c>
      <c r="F41" s="249" t="s">
        <v>1865</v>
      </c>
      <c r="G41" s="254" t="s">
        <v>1857</v>
      </c>
      <c r="H41" s="254" t="s">
        <v>1861</v>
      </c>
      <c r="I41" s="249" t="s">
        <v>43</v>
      </c>
      <c r="J41" s="273" t="s">
        <v>483</v>
      </c>
      <c r="K41" s="243" t="s">
        <v>417</v>
      </c>
      <c r="L41" s="303">
        <f t="shared" si="2"/>
        <v>2450</v>
      </c>
      <c r="M41" s="197"/>
      <c r="N41" s="197"/>
    </row>
    <row r="42" spans="1:14" ht="59.25" customHeight="1">
      <c r="A42" s="249">
        <v>38</v>
      </c>
      <c r="B42" s="249" t="s">
        <v>1213</v>
      </c>
      <c r="C42" s="248">
        <v>4500</v>
      </c>
      <c r="D42" s="243" t="s">
        <v>226</v>
      </c>
      <c r="E42" s="221" t="s">
        <v>19</v>
      </c>
      <c r="F42" s="249" t="s">
        <v>1657</v>
      </c>
      <c r="G42" s="250" t="s">
        <v>1866</v>
      </c>
      <c r="H42" s="255" t="s">
        <v>1867</v>
      </c>
      <c r="I42" s="273" t="s">
        <v>89</v>
      </c>
      <c r="J42" s="273" t="s">
        <v>89</v>
      </c>
      <c r="K42" s="249" t="s">
        <v>417</v>
      </c>
      <c r="L42" s="303">
        <f t="shared" si="2"/>
        <v>4500</v>
      </c>
      <c r="M42" s="197"/>
      <c r="N42" s="197"/>
    </row>
    <row r="43" spans="1:14" ht="93.75" customHeight="1">
      <c r="A43" s="249">
        <v>39</v>
      </c>
      <c r="B43" s="249" t="s">
        <v>633</v>
      </c>
      <c r="C43" s="248">
        <v>4700</v>
      </c>
      <c r="D43" s="243" t="s">
        <v>226</v>
      </c>
      <c r="E43" s="221" t="s">
        <v>19</v>
      </c>
      <c r="F43" s="249" t="s">
        <v>1813</v>
      </c>
      <c r="G43" s="250" t="s">
        <v>1868</v>
      </c>
      <c r="H43" s="250"/>
      <c r="I43" s="273" t="s">
        <v>16</v>
      </c>
      <c r="J43" s="273" t="s">
        <v>16</v>
      </c>
      <c r="K43" s="249" t="s">
        <v>1869</v>
      </c>
      <c r="L43" s="303">
        <f t="shared" si="2"/>
        <v>4700</v>
      </c>
      <c r="M43" s="197"/>
      <c r="N43" s="197"/>
    </row>
    <row r="44" spans="1:14" ht="84" customHeight="1">
      <c r="A44" s="243">
        <v>40</v>
      </c>
      <c r="B44" s="243" t="s">
        <v>1379</v>
      </c>
      <c r="C44" s="242">
        <v>3150</v>
      </c>
      <c r="D44" s="243" t="s">
        <v>226</v>
      </c>
      <c r="E44" s="221" t="s">
        <v>19</v>
      </c>
      <c r="F44" s="241" t="s">
        <v>63</v>
      </c>
      <c r="G44" s="214" t="s">
        <v>1870</v>
      </c>
      <c r="H44" s="252" t="s">
        <v>1871</v>
      </c>
      <c r="I44" s="243" t="s">
        <v>16</v>
      </c>
      <c r="J44" s="243" t="s">
        <v>16</v>
      </c>
      <c r="K44" s="243" t="s">
        <v>1872</v>
      </c>
      <c r="L44" s="303">
        <f t="shared" si="2"/>
        <v>3150</v>
      </c>
      <c r="M44" s="197"/>
      <c r="N44" s="197"/>
    </row>
    <row r="45" spans="1:14" ht="84" customHeight="1">
      <c r="A45" s="243">
        <v>41</v>
      </c>
      <c r="B45" s="243" t="s">
        <v>1873</v>
      </c>
      <c r="C45" s="242">
        <v>3000</v>
      </c>
      <c r="D45" s="243" t="s">
        <v>226</v>
      </c>
      <c r="E45" s="221" t="s">
        <v>19</v>
      </c>
      <c r="F45" s="241" t="s">
        <v>74</v>
      </c>
      <c r="G45" s="214" t="s">
        <v>1874</v>
      </c>
      <c r="H45" s="252" t="s">
        <v>1875</v>
      </c>
      <c r="I45" s="243" t="s">
        <v>89</v>
      </c>
      <c r="J45" s="243" t="s">
        <v>89</v>
      </c>
      <c r="K45" s="243" t="s">
        <v>1528</v>
      </c>
      <c r="L45" s="303">
        <f>C45</f>
        <v>3000</v>
      </c>
      <c r="M45" s="197"/>
      <c r="N45" s="197"/>
    </row>
    <row r="46" spans="1:14" s="272" customFormat="1" ht="67.5" customHeight="1">
      <c r="A46" s="243">
        <v>42</v>
      </c>
      <c r="B46" s="243" t="s">
        <v>1694</v>
      </c>
      <c r="C46" s="243">
        <v>2950</v>
      </c>
      <c r="D46" s="243" t="s">
        <v>226</v>
      </c>
      <c r="E46" s="243" t="s">
        <v>19</v>
      </c>
      <c r="F46" s="243" t="s">
        <v>959</v>
      </c>
      <c r="G46" s="214" t="s">
        <v>1876</v>
      </c>
      <c r="H46" s="283"/>
      <c r="I46" s="243" t="s">
        <v>84</v>
      </c>
      <c r="J46" s="243" t="s">
        <v>84</v>
      </c>
      <c r="K46" s="243" t="s">
        <v>417</v>
      </c>
      <c r="L46" s="304">
        <f t="shared" si="2"/>
        <v>2950</v>
      </c>
    </row>
    <row r="47" spans="1:14" ht="84" customHeight="1">
      <c r="A47" s="243">
        <v>43</v>
      </c>
      <c r="B47" s="243" t="s">
        <v>1669</v>
      </c>
      <c r="C47" s="242">
        <v>3000</v>
      </c>
      <c r="D47" s="243" t="s">
        <v>226</v>
      </c>
      <c r="E47" s="221" t="s">
        <v>19</v>
      </c>
      <c r="F47" s="241" t="s">
        <v>253</v>
      </c>
      <c r="G47" s="214" t="s">
        <v>1877</v>
      </c>
      <c r="H47" s="252" t="s">
        <v>1878</v>
      </c>
      <c r="I47" s="243" t="s">
        <v>16</v>
      </c>
      <c r="J47" s="243" t="s">
        <v>16</v>
      </c>
      <c r="K47" s="288" t="s">
        <v>1528</v>
      </c>
      <c r="L47" s="300">
        <f t="shared" si="2"/>
        <v>3000</v>
      </c>
      <c r="M47" s="197"/>
      <c r="N47" s="197"/>
    </row>
    <row r="48" spans="1:14" ht="31.5" customHeight="1">
      <c r="A48" s="249">
        <v>44</v>
      </c>
      <c r="B48" s="249" t="s">
        <v>1777</v>
      </c>
      <c r="C48" s="248">
        <v>1800</v>
      </c>
      <c r="D48" s="273" t="s">
        <v>1879</v>
      </c>
      <c r="E48" s="221" t="s">
        <v>19</v>
      </c>
      <c r="F48" s="243" t="s">
        <v>74</v>
      </c>
      <c r="G48" s="319" t="s">
        <v>1874</v>
      </c>
      <c r="H48" s="263" t="s">
        <v>1880</v>
      </c>
      <c r="I48" s="249" t="s">
        <v>16</v>
      </c>
      <c r="J48" s="249" t="s">
        <v>16</v>
      </c>
      <c r="K48" s="273" t="s">
        <v>1528</v>
      </c>
      <c r="L48" s="300">
        <f t="shared" si="2"/>
        <v>1800</v>
      </c>
      <c r="M48" s="197"/>
      <c r="N48" s="197"/>
    </row>
    <row r="49" spans="1:12" ht="56.25" customHeight="1">
      <c r="A49" s="284">
        <v>45</v>
      </c>
      <c r="B49" s="91" t="s">
        <v>1881</v>
      </c>
      <c r="C49" s="120">
        <v>2300</v>
      </c>
      <c r="D49" s="115" t="s">
        <v>313</v>
      </c>
      <c r="E49" s="221" t="s">
        <v>19</v>
      </c>
      <c r="F49" s="249" t="s">
        <v>421</v>
      </c>
      <c r="G49" s="285" t="s">
        <v>1882</v>
      </c>
      <c r="H49" s="286" t="s">
        <v>1883</v>
      </c>
      <c r="I49" s="91" t="s">
        <v>16</v>
      </c>
      <c r="J49" s="91" t="s">
        <v>16</v>
      </c>
      <c r="K49" s="115" t="s">
        <v>1528</v>
      </c>
      <c r="L49" s="300">
        <f t="shared" si="2"/>
        <v>2300</v>
      </c>
    </row>
    <row r="50" spans="1:12" s="287" customFormat="1" ht="67.5" customHeight="1">
      <c r="A50" s="243">
        <v>46</v>
      </c>
      <c r="B50" s="243" t="s">
        <v>946</v>
      </c>
      <c r="C50" s="243">
        <v>3200</v>
      </c>
      <c r="D50" s="243" t="s">
        <v>226</v>
      </c>
      <c r="E50" s="243" t="s">
        <v>19</v>
      </c>
      <c r="F50" s="243" t="s">
        <v>1657</v>
      </c>
      <c r="G50" s="252" t="s">
        <v>1884</v>
      </c>
      <c r="H50" s="264"/>
      <c r="I50" s="243" t="s">
        <v>84</v>
      </c>
      <c r="J50" s="243" t="s">
        <v>84</v>
      </c>
      <c r="K50" s="288" t="s">
        <v>1737</v>
      </c>
      <c r="L50" s="305">
        <f t="shared" si="2"/>
        <v>3200</v>
      </c>
    </row>
    <row r="51" spans="1:12" ht="63.75" customHeight="1">
      <c r="A51" s="289">
        <v>47</v>
      </c>
      <c r="B51" s="87" t="s">
        <v>1036</v>
      </c>
      <c r="C51" s="94">
        <v>3200</v>
      </c>
      <c r="D51" s="243" t="s">
        <v>226</v>
      </c>
      <c r="E51" s="221" t="s">
        <v>19</v>
      </c>
      <c r="F51" s="87" t="s">
        <v>1657</v>
      </c>
      <c r="G51" s="146" t="s">
        <v>1885</v>
      </c>
      <c r="H51" s="290" t="s">
        <v>1886</v>
      </c>
      <c r="I51" s="154" t="s">
        <v>43</v>
      </c>
      <c r="J51" s="87" t="s">
        <v>483</v>
      </c>
      <c r="K51" s="87" t="s">
        <v>417</v>
      </c>
      <c r="L51" s="306">
        <f>C51</f>
        <v>3200</v>
      </c>
    </row>
    <row r="52" spans="1:12" ht="57.75" customHeight="1">
      <c r="A52" s="284">
        <v>48</v>
      </c>
      <c r="B52" s="91" t="s">
        <v>1887</v>
      </c>
      <c r="C52" s="120">
        <v>3500</v>
      </c>
      <c r="D52" s="243" t="s">
        <v>226</v>
      </c>
      <c r="E52" s="91" t="s">
        <v>19</v>
      </c>
      <c r="F52" s="91" t="s">
        <v>421</v>
      </c>
      <c r="G52" s="123" t="s">
        <v>1888</v>
      </c>
      <c r="H52" s="291" t="s">
        <v>1889</v>
      </c>
      <c r="I52" s="91" t="s">
        <v>54</v>
      </c>
      <c r="J52" s="91" t="s">
        <v>483</v>
      </c>
      <c r="K52" s="91" t="s">
        <v>1737</v>
      </c>
      <c r="L52" s="299">
        <f>C52</f>
        <v>3500</v>
      </c>
    </row>
    <row r="53" spans="1:12" s="287" customFormat="1" ht="67.5" customHeight="1">
      <c r="A53" s="243">
        <v>49</v>
      </c>
      <c r="B53" s="243" t="s">
        <v>1402</v>
      </c>
      <c r="C53" s="243">
        <v>3150</v>
      </c>
      <c r="D53" s="243" t="s">
        <v>226</v>
      </c>
      <c r="E53" s="243" t="s">
        <v>19</v>
      </c>
      <c r="F53" s="243" t="s">
        <v>63</v>
      </c>
      <c r="G53" s="252" t="s">
        <v>1882</v>
      </c>
      <c r="H53" s="264" t="s">
        <v>1890</v>
      </c>
      <c r="I53" s="243" t="s">
        <v>89</v>
      </c>
      <c r="J53" s="243" t="s">
        <v>89</v>
      </c>
      <c r="K53" s="288" t="s">
        <v>1737</v>
      </c>
      <c r="L53" s="305">
        <f t="shared" si="2"/>
        <v>3150</v>
      </c>
    </row>
    <row r="54" spans="1:12" ht="99" customHeight="1">
      <c r="A54" s="284">
        <v>50</v>
      </c>
      <c r="B54" s="91" t="s">
        <v>638</v>
      </c>
      <c r="C54" s="120">
        <v>3800</v>
      </c>
      <c r="D54" s="91" t="s">
        <v>226</v>
      </c>
      <c r="E54" s="91" t="s">
        <v>19</v>
      </c>
      <c r="F54" s="91" t="s">
        <v>172</v>
      </c>
      <c r="G54" s="184" t="s">
        <v>1891</v>
      </c>
      <c r="H54" s="184" t="s">
        <v>1892</v>
      </c>
      <c r="I54" s="180" t="s">
        <v>84</v>
      </c>
      <c r="J54" s="91" t="s">
        <v>84</v>
      </c>
      <c r="K54" s="91" t="s">
        <v>417</v>
      </c>
      <c r="L54" s="308">
        <f>C54</f>
        <v>3800</v>
      </c>
    </row>
    <row r="55" spans="1:12" ht="67.5" customHeight="1">
      <c r="A55" s="284">
        <v>51</v>
      </c>
      <c r="B55" s="91" t="s">
        <v>1516</v>
      </c>
      <c r="C55" s="120">
        <v>3000</v>
      </c>
      <c r="D55" s="91" t="s">
        <v>226</v>
      </c>
      <c r="E55" s="91" t="s">
        <v>19</v>
      </c>
      <c r="F55" s="91" t="s">
        <v>101</v>
      </c>
      <c r="G55" s="122" t="s">
        <v>1893</v>
      </c>
      <c r="H55" s="122"/>
      <c r="I55" s="91" t="s">
        <v>89</v>
      </c>
      <c r="J55" s="91" t="s">
        <v>89</v>
      </c>
      <c r="K55" s="91" t="s">
        <v>417</v>
      </c>
      <c r="L55" s="308">
        <f>C55</f>
        <v>3000</v>
      </c>
    </row>
    <row r="56" spans="1:12" ht="87" customHeight="1">
      <c r="A56" s="309">
        <v>52</v>
      </c>
      <c r="B56" s="310" t="s">
        <v>1894</v>
      </c>
      <c r="C56" s="311">
        <v>2100</v>
      </c>
      <c r="D56" s="310" t="s">
        <v>226</v>
      </c>
      <c r="E56" s="312" t="s">
        <v>19</v>
      </c>
      <c r="F56" s="310" t="s">
        <v>421</v>
      </c>
      <c r="G56" s="323" t="s">
        <v>1895</v>
      </c>
      <c r="H56" s="313" t="s">
        <v>1896</v>
      </c>
      <c r="I56" s="314" t="s">
        <v>16</v>
      </c>
      <c r="J56" s="310" t="s">
        <v>16</v>
      </c>
      <c r="K56" s="315" t="s">
        <v>1528</v>
      </c>
      <c r="L56" s="300">
        <f t="shared" si="2"/>
        <v>2100</v>
      </c>
    </row>
    <row r="57" spans="1:12" ht="18" customHeight="1">
      <c r="A57" s="162">
        <v>53</v>
      </c>
      <c r="G57" s="282"/>
      <c r="H57" s="282"/>
      <c r="I57" s="271"/>
    </row>
    <row r="58" spans="1:12" ht="18" customHeight="1">
      <c r="A58" s="162">
        <v>54</v>
      </c>
      <c r="D58" s="278"/>
      <c r="G58" s="79"/>
      <c r="H58" s="282"/>
    </row>
    <row r="59" spans="1:12" ht="18" customHeight="1">
      <c r="A59" s="162">
        <v>55</v>
      </c>
      <c r="F59" s="307"/>
      <c r="G59" s="282"/>
      <c r="H59" s="282"/>
    </row>
    <row r="60" spans="1:12" ht="18" customHeight="1">
      <c r="A60" s="162">
        <v>56</v>
      </c>
      <c r="G60" s="282"/>
      <c r="H60" s="282"/>
    </row>
    <row r="61" spans="1:12" ht="18" customHeight="1">
      <c r="A61" s="162">
        <v>57</v>
      </c>
      <c r="G61" s="3"/>
      <c r="H61" s="3"/>
    </row>
    <row r="62" spans="1:12" ht="18" customHeight="1">
      <c r="A62" s="162">
        <v>58</v>
      </c>
      <c r="G62" s="3"/>
      <c r="H62" s="3"/>
    </row>
    <row r="63" spans="1:12" ht="18" customHeight="1">
      <c r="A63" s="162">
        <v>59</v>
      </c>
      <c r="G63" s="3"/>
      <c r="H63" s="3"/>
    </row>
    <row r="64" spans="1:12" ht="18" customHeight="1">
      <c r="A64" s="162">
        <v>60</v>
      </c>
      <c r="G64" s="3"/>
      <c r="H64" s="3"/>
    </row>
    <row r="65" spans="1:8" ht="18" customHeight="1">
      <c r="A65" s="162">
        <v>61</v>
      </c>
      <c r="G65" s="3"/>
      <c r="H65" s="3"/>
    </row>
    <row r="66" spans="1:8">
      <c r="A66" s="162">
        <v>62</v>
      </c>
      <c r="G66" s="280"/>
      <c r="H66" s="3"/>
    </row>
    <row r="67" spans="1:8">
      <c r="A67" s="162">
        <v>63</v>
      </c>
      <c r="G67" s="280"/>
      <c r="H67" s="3"/>
    </row>
    <row r="68" spans="1:8">
      <c r="A68" s="162">
        <v>64</v>
      </c>
      <c r="G68" s="281"/>
      <c r="H68" s="3"/>
    </row>
    <row r="69" spans="1:8">
      <c r="A69" s="162">
        <v>65</v>
      </c>
      <c r="G69" s="280"/>
      <c r="H69" s="3"/>
    </row>
    <row r="70" spans="1:8" ht="18" customHeight="1">
      <c r="A70" s="162">
        <v>66</v>
      </c>
      <c r="G70" s="3"/>
      <c r="H70" s="3"/>
    </row>
    <row r="71" spans="1:8">
      <c r="A71" s="162">
        <v>67</v>
      </c>
    </row>
    <row r="72" spans="1:8">
      <c r="A72" s="1">
        <v>68</v>
      </c>
    </row>
    <row r="73" spans="1:8">
      <c r="A73" s="1">
        <v>69</v>
      </c>
    </row>
    <row r="74" spans="1:8">
      <c r="A74" s="1">
        <v>70</v>
      </c>
    </row>
  </sheetData>
  <autoFilter ref="A4:P13" xr:uid="{00000000-0009-0000-0000-00000B000000}"/>
  <mergeCells count="3">
    <mergeCell ref="C1:H1"/>
    <mergeCell ref="A2:H2"/>
    <mergeCell ref="H3:I3"/>
  </mergeCells>
  <conditionalFormatting sqref="A1:A4 A13:A14 A16:A24 A27:A42 A44 A48:A49 A51:A52 A56:A1048576">
    <cfRule type="duplicateValues" dxfId="665" priority="360"/>
  </conditionalFormatting>
  <conditionalFormatting sqref="A5:A10">
    <cfRule type="duplicateValues" dxfId="664" priority="348"/>
  </conditionalFormatting>
  <conditionalFormatting sqref="A25:A26">
    <cfRule type="duplicateValues" dxfId="663" priority="6"/>
  </conditionalFormatting>
  <conditionalFormatting sqref="A43">
    <cfRule type="duplicateValues" dxfId="662" priority="5"/>
  </conditionalFormatting>
  <conditionalFormatting sqref="A45">
    <cfRule type="duplicateValues" dxfId="661" priority="4"/>
  </conditionalFormatting>
  <conditionalFormatting sqref="A47">
    <cfRule type="duplicateValues" dxfId="660" priority="3"/>
  </conditionalFormatting>
  <conditionalFormatting sqref="A54:A55">
    <cfRule type="duplicateValues" dxfId="659" priority="1"/>
  </conditionalFormatting>
  <conditionalFormatting sqref="B3:B4">
    <cfRule type="duplicateValues" dxfId="658" priority="17"/>
    <cfRule type="duplicateValues" dxfId="657" priority="18"/>
    <cfRule type="duplicateValues" dxfId="656" priority="19"/>
  </conditionalFormatting>
  <pageMargins left="0.7" right="0.7" top="0.75" bottom="0.75" header="0.3" footer="0.3"/>
  <pageSetup paperSize="9" scale="36" orientation="landscape"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filterMode="1">
    <pageSetUpPr fitToPage="1"/>
  </sheetPr>
  <dimension ref="A1:O150"/>
  <sheetViews>
    <sheetView zoomScale="70" zoomScaleNormal="70" workbookViewId="0">
      <pane xSplit="3" ySplit="4" topLeftCell="D60" activePane="bottomRight" state="frozen"/>
      <selection pane="topRight" activeCell="H45" sqref="H45"/>
      <selection pane="bottomLeft" activeCell="H45" sqref="H45"/>
      <selection pane="bottomRight" activeCell="H45" sqref="H45"/>
    </sheetView>
  </sheetViews>
  <sheetFormatPr defaultColWidth="25.5703125" defaultRowHeight="18.75"/>
  <cols>
    <col min="1" max="1" width="7.28515625" style="1" customWidth="1"/>
    <col min="2" max="2" width="27.42578125" style="1" customWidth="1"/>
    <col min="3" max="3" width="18.42578125" style="2" customWidth="1"/>
    <col min="4" max="4" width="21.42578125" style="1" customWidth="1"/>
    <col min="5" max="5" width="16.28515625" style="1" customWidth="1"/>
    <col min="6" max="6" width="24.42578125" style="1" bestFit="1" customWidth="1"/>
    <col min="7" max="7" width="60.42578125" style="9" customWidth="1"/>
    <col min="8" max="8" width="55.42578125" style="9" customWidth="1"/>
    <col min="9" max="9" width="19" style="1" customWidth="1"/>
    <col min="10" max="10" width="19.28515625" style="1" bestFit="1" customWidth="1"/>
    <col min="11" max="11" width="26.140625" style="1" customWidth="1"/>
    <col min="12" max="12" width="37.28515625" style="2" bestFit="1" customWidth="1"/>
    <col min="13" max="13" width="25.28515625" style="3" customWidth="1"/>
    <col min="14" max="14" width="44" style="3" customWidth="1"/>
    <col min="15" max="15" width="34.5703125" style="3" customWidth="1"/>
    <col min="16" max="16384" width="25.5703125" style="3"/>
  </cols>
  <sheetData>
    <row r="1" spans="1:15" ht="36" customHeight="1">
      <c r="B1" s="10"/>
      <c r="C1" s="3657"/>
      <c r="D1" s="3657"/>
      <c r="E1" s="3657"/>
      <c r="F1" s="3657"/>
      <c r="G1" s="3657"/>
      <c r="H1" s="3657"/>
    </row>
    <row r="2" spans="1:15" ht="41.25" customHeight="1">
      <c r="A2" s="3672" t="s">
        <v>1897</v>
      </c>
      <c r="B2" s="3673"/>
      <c r="C2" s="3673"/>
      <c r="D2" s="3673"/>
      <c r="E2" s="3673"/>
      <c r="F2" s="3673"/>
      <c r="G2" s="3673"/>
      <c r="H2" s="3674"/>
      <c r="I2" s="46"/>
      <c r="J2" s="46"/>
      <c r="K2" s="47"/>
      <c r="L2" s="46"/>
      <c r="M2" s="4"/>
    </row>
    <row r="3" spans="1:15" ht="24" customHeight="1">
      <c r="A3" s="41"/>
      <c r="B3" s="48"/>
      <c r="C3" s="49">
        <f>SUBTOTAL(9,C5:C965)</f>
        <v>26160</v>
      </c>
      <c r="D3" s="50"/>
      <c r="E3" s="50"/>
      <c r="F3" s="48"/>
      <c r="G3" s="51"/>
      <c r="H3" s="3675">
        <f ca="1">TODAY()</f>
        <v>45960</v>
      </c>
      <c r="I3" s="3675"/>
      <c r="J3" s="1198"/>
      <c r="K3" s="1198"/>
      <c r="L3" s="52"/>
    </row>
    <row r="4" spans="1:15" s="7" customFormat="1" ht="56.25">
      <c r="A4" s="53" t="s">
        <v>1</v>
      </c>
      <c r="B4" s="53" t="s">
        <v>1384</v>
      </c>
      <c r="C4" s="54" t="s">
        <v>3</v>
      </c>
      <c r="D4" s="53" t="s">
        <v>4</v>
      </c>
      <c r="E4" s="53" t="s">
        <v>8</v>
      </c>
      <c r="F4" s="53" t="s">
        <v>9</v>
      </c>
      <c r="G4" s="55" t="s">
        <v>10</v>
      </c>
      <c r="H4" s="53" t="s">
        <v>11</v>
      </c>
      <c r="I4" s="53" t="s">
        <v>5</v>
      </c>
      <c r="J4" s="53" t="s">
        <v>1053</v>
      </c>
      <c r="K4" s="53" t="s">
        <v>1215</v>
      </c>
      <c r="L4" s="54" t="s">
        <v>1898</v>
      </c>
      <c r="M4" s="53" t="s">
        <v>341</v>
      </c>
    </row>
    <row r="5" spans="1:15" ht="56.25" hidden="1">
      <c r="A5" s="17">
        <v>1</v>
      </c>
      <c r="B5" s="14" t="s">
        <v>1899</v>
      </c>
      <c r="C5" s="15">
        <v>3600</v>
      </c>
      <c r="D5" s="13" t="s">
        <v>1900</v>
      </c>
      <c r="E5" s="17" t="s">
        <v>19</v>
      </c>
      <c r="F5" s="14" t="s">
        <v>172</v>
      </c>
      <c r="G5" s="19" t="s">
        <v>1901</v>
      </c>
      <c r="H5" s="16" t="s">
        <v>1902</v>
      </c>
      <c r="I5" s="14" t="s">
        <v>16</v>
      </c>
      <c r="J5" s="14" t="s">
        <v>16</v>
      </c>
      <c r="K5" s="17" t="s">
        <v>417</v>
      </c>
      <c r="L5" s="59">
        <f t="shared" ref="L5:L30" si="0">C5</f>
        <v>3600</v>
      </c>
      <c r="M5" s="41" t="s">
        <v>84</v>
      </c>
      <c r="N5" s="37">
        <f>SUMIF($I:$I,M5,L:L)</f>
        <v>62970</v>
      </c>
      <c r="O5" s="4"/>
    </row>
    <row r="6" spans="1:15" hidden="1">
      <c r="A6" s="17">
        <v>2</v>
      </c>
      <c r="B6" s="17" t="s">
        <v>942</v>
      </c>
      <c r="C6" s="24">
        <v>3650</v>
      </c>
      <c r="D6" s="13" t="s">
        <v>1900</v>
      </c>
      <c r="E6" s="17" t="s">
        <v>19</v>
      </c>
      <c r="F6" s="17" t="s">
        <v>172</v>
      </c>
      <c r="G6" s="21" t="s">
        <v>1903</v>
      </c>
      <c r="H6" s="56" t="s">
        <v>1904</v>
      </c>
      <c r="I6" s="17" t="s">
        <v>89</v>
      </c>
      <c r="J6" s="17" t="s">
        <v>89</v>
      </c>
      <c r="K6" s="17" t="s">
        <v>417</v>
      </c>
      <c r="L6" s="59">
        <f t="shared" si="0"/>
        <v>3650</v>
      </c>
      <c r="M6" s="41" t="s">
        <v>89</v>
      </c>
      <c r="N6" s="37">
        <f>SUMIF($I:$I,M6,L:L)</f>
        <v>52915</v>
      </c>
    </row>
    <row r="7" spans="1:15" ht="56.25">
      <c r="A7" s="17">
        <v>3</v>
      </c>
      <c r="B7" s="17" t="s">
        <v>1774</v>
      </c>
      <c r="C7" s="20">
        <v>2630</v>
      </c>
      <c r="D7" s="13" t="s">
        <v>1905</v>
      </c>
      <c r="E7" s="17" t="s">
        <v>19</v>
      </c>
      <c r="F7" s="17" t="s">
        <v>172</v>
      </c>
      <c r="G7" s="21" t="s">
        <v>1906</v>
      </c>
      <c r="H7" s="22"/>
      <c r="I7" s="17" t="s">
        <v>43</v>
      </c>
      <c r="J7" s="17" t="s">
        <v>483</v>
      </c>
      <c r="K7" s="23" t="s">
        <v>417</v>
      </c>
      <c r="L7" s="59">
        <f t="shared" si="0"/>
        <v>2630</v>
      </c>
      <c r="M7" s="38" t="s">
        <v>54</v>
      </c>
      <c r="N7" s="37">
        <f>SUMIF($I:$I,M7,L:L)</f>
        <v>23000</v>
      </c>
    </row>
    <row r="8" spans="1:15" ht="75" hidden="1">
      <c r="A8" s="17">
        <v>4</v>
      </c>
      <c r="B8" s="17" t="s">
        <v>1213</v>
      </c>
      <c r="C8" s="20">
        <v>4500</v>
      </c>
      <c r="D8" s="17" t="s">
        <v>1907</v>
      </c>
      <c r="E8" s="17" t="s">
        <v>19</v>
      </c>
      <c r="F8" s="17" t="s">
        <v>172</v>
      </c>
      <c r="G8" s="21" t="s">
        <v>1908</v>
      </c>
      <c r="H8" s="22"/>
      <c r="I8" s="17" t="s">
        <v>84</v>
      </c>
      <c r="J8" s="17" t="s">
        <v>84</v>
      </c>
      <c r="K8" s="23" t="s">
        <v>417</v>
      </c>
      <c r="L8" s="59">
        <f t="shared" si="0"/>
        <v>4500</v>
      </c>
      <c r="M8" s="41" t="s">
        <v>16</v>
      </c>
      <c r="N8" s="37">
        <f>SUMIF($I:$I,M8,L:L)</f>
        <v>50800</v>
      </c>
    </row>
    <row r="9" spans="1:15" hidden="1">
      <c r="A9" s="17">
        <v>5</v>
      </c>
      <c r="B9" s="17" t="s">
        <v>1909</v>
      </c>
      <c r="C9" s="20">
        <v>2000</v>
      </c>
      <c r="D9" s="17" t="s">
        <v>1900</v>
      </c>
      <c r="E9" s="17" t="s">
        <v>19</v>
      </c>
      <c r="F9" s="17" t="s">
        <v>172</v>
      </c>
      <c r="G9" s="21" t="s">
        <v>1910</v>
      </c>
      <c r="H9" s="22"/>
      <c r="I9" s="17" t="s">
        <v>89</v>
      </c>
      <c r="J9" s="17" t="s">
        <v>89</v>
      </c>
      <c r="K9" s="23" t="s">
        <v>417</v>
      </c>
      <c r="L9" s="59">
        <f t="shared" si="0"/>
        <v>2000</v>
      </c>
      <c r="M9" s="38" t="s">
        <v>43</v>
      </c>
      <c r="N9" s="37">
        <f>SUMIF($I:$I,M9,L:L)</f>
        <v>26160</v>
      </c>
    </row>
    <row r="10" spans="1:15" ht="93.75" hidden="1">
      <c r="A10" s="17">
        <v>6</v>
      </c>
      <c r="B10" s="17" t="s">
        <v>1911</v>
      </c>
      <c r="C10" s="24">
        <v>3900</v>
      </c>
      <c r="D10" s="17" t="s">
        <v>1907</v>
      </c>
      <c r="E10" s="17" t="s">
        <v>19</v>
      </c>
      <c r="F10" s="17" t="s">
        <v>172</v>
      </c>
      <c r="G10" s="25" t="s">
        <v>1912</v>
      </c>
      <c r="H10" s="21" t="s">
        <v>1913</v>
      </c>
      <c r="I10" s="20" t="s">
        <v>16</v>
      </c>
      <c r="J10" s="20" t="s">
        <v>16</v>
      </c>
      <c r="K10" s="23" t="s">
        <v>417</v>
      </c>
      <c r="L10" s="18">
        <f t="shared" si="0"/>
        <v>3900</v>
      </c>
    </row>
    <row r="11" spans="1:15" ht="37.5">
      <c r="A11" s="17">
        <v>7</v>
      </c>
      <c r="B11" s="17" t="s">
        <v>1583</v>
      </c>
      <c r="C11" s="24">
        <v>2450</v>
      </c>
      <c r="D11" s="17" t="s">
        <v>1914</v>
      </c>
      <c r="E11" s="17" t="s">
        <v>19</v>
      </c>
      <c r="F11" s="17" t="s">
        <v>172</v>
      </c>
      <c r="G11" s="25" t="s">
        <v>1915</v>
      </c>
      <c r="H11" s="21" t="s">
        <v>1916</v>
      </c>
      <c r="I11" s="20" t="s">
        <v>43</v>
      </c>
      <c r="J11" s="20" t="s">
        <v>483</v>
      </c>
      <c r="K11" s="23" t="s">
        <v>417</v>
      </c>
      <c r="L11" s="18">
        <f t="shared" si="0"/>
        <v>2450</v>
      </c>
    </row>
    <row r="12" spans="1:15" ht="93.75" hidden="1">
      <c r="A12" s="17">
        <v>8</v>
      </c>
      <c r="B12" s="17" t="s">
        <v>1917</v>
      </c>
      <c r="C12" s="24">
        <v>4000</v>
      </c>
      <c r="D12" s="17" t="s">
        <v>1914</v>
      </c>
      <c r="E12" s="17" t="s">
        <v>19</v>
      </c>
      <c r="F12" s="17" t="s">
        <v>172</v>
      </c>
      <c r="G12" s="25" t="s">
        <v>1918</v>
      </c>
      <c r="H12" s="21" t="s">
        <v>1919</v>
      </c>
      <c r="I12" s="20" t="s">
        <v>84</v>
      </c>
      <c r="J12" s="20" t="s">
        <v>84</v>
      </c>
      <c r="K12" s="23" t="s">
        <v>1920</v>
      </c>
      <c r="L12" s="18">
        <f t="shared" si="0"/>
        <v>4000</v>
      </c>
    </row>
    <row r="13" spans="1:15" ht="56.25" hidden="1">
      <c r="A13" s="17">
        <v>9</v>
      </c>
      <c r="B13" s="17" t="s">
        <v>633</v>
      </c>
      <c r="C13" s="24">
        <v>4800</v>
      </c>
      <c r="D13" s="17" t="s">
        <v>1921</v>
      </c>
      <c r="E13" s="17" t="s">
        <v>19</v>
      </c>
      <c r="F13" s="17" t="s">
        <v>172</v>
      </c>
      <c r="G13" s="25" t="s">
        <v>1922</v>
      </c>
      <c r="H13" s="21" t="s">
        <v>1923</v>
      </c>
      <c r="I13" s="20" t="s">
        <v>16</v>
      </c>
      <c r="J13" s="20" t="s">
        <v>16</v>
      </c>
      <c r="K13" s="23" t="s">
        <v>1920</v>
      </c>
      <c r="L13" s="18">
        <f t="shared" si="0"/>
        <v>4800</v>
      </c>
    </row>
    <row r="14" spans="1:15" hidden="1">
      <c r="A14" s="17">
        <v>10</v>
      </c>
      <c r="B14" s="17" t="s">
        <v>1379</v>
      </c>
      <c r="C14" s="24">
        <v>3200</v>
      </c>
      <c r="D14" s="17" t="s">
        <v>1924</v>
      </c>
      <c r="E14" s="17" t="s">
        <v>19</v>
      </c>
      <c r="F14" s="17" t="s">
        <v>172</v>
      </c>
      <c r="G14" s="25" t="s">
        <v>1925</v>
      </c>
      <c r="H14" s="22" t="s">
        <v>1926</v>
      </c>
      <c r="I14" s="20" t="s">
        <v>89</v>
      </c>
      <c r="J14" s="20" t="s">
        <v>89</v>
      </c>
      <c r="K14" s="23" t="s">
        <v>417</v>
      </c>
      <c r="L14" s="18">
        <f t="shared" si="0"/>
        <v>3200</v>
      </c>
    </row>
    <row r="15" spans="1:15" ht="45" hidden="1" customHeight="1">
      <c r="A15" s="17">
        <v>12</v>
      </c>
      <c r="B15" s="17" t="s">
        <v>1631</v>
      </c>
      <c r="C15" s="24">
        <v>4000</v>
      </c>
      <c r="D15" s="17" t="s">
        <v>1927</v>
      </c>
      <c r="E15" s="17" t="s">
        <v>19</v>
      </c>
      <c r="F15" s="17" t="s">
        <v>63</v>
      </c>
      <c r="G15" s="25" t="s">
        <v>1928</v>
      </c>
      <c r="H15" s="21" t="s">
        <v>1929</v>
      </c>
      <c r="I15" s="20" t="s">
        <v>89</v>
      </c>
      <c r="J15" s="20" t="s">
        <v>89</v>
      </c>
      <c r="K15" s="23" t="s">
        <v>417</v>
      </c>
      <c r="L15" s="18">
        <f t="shared" si="0"/>
        <v>4000</v>
      </c>
    </row>
    <row r="16" spans="1:15" ht="34.5" customHeight="1">
      <c r="A16" s="17">
        <v>13</v>
      </c>
      <c r="B16" s="17" t="s">
        <v>526</v>
      </c>
      <c r="C16" s="24">
        <v>3400</v>
      </c>
      <c r="D16" s="17" t="s">
        <v>1927</v>
      </c>
      <c r="E16" s="17" t="s">
        <v>19</v>
      </c>
      <c r="F16" s="17" t="s">
        <v>172</v>
      </c>
      <c r="G16" s="25" t="s">
        <v>1930</v>
      </c>
      <c r="H16" s="26" t="s">
        <v>1931</v>
      </c>
      <c r="I16" s="20" t="s">
        <v>43</v>
      </c>
      <c r="J16" s="20" t="s">
        <v>483</v>
      </c>
      <c r="K16" s="23" t="s">
        <v>417</v>
      </c>
      <c r="L16" s="18">
        <f t="shared" si="0"/>
        <v>3400</v>
      </c>
    </row>
    <row r="17" spans="1:15" ht="83.25" hidden="1" customHeight="1">
      <c r="A17" s="17">
        <v>14</v>
      </c>
      <c r="B17" s="17" t="s">
        <v>1932</v>
      </c>
      <c r="C17" s="24">
        <v>4200</v>
      </c>
      <c r="D17" s="23" t="s">
        <v>1933</v>
      </c>
      <c r="E17" s="17" t="s">
        <v>19</v>
      </c>
      <c r="F17" s="17" t="s">
        <v>172</v>
      </c>
      <c r="G17" s="25" t="s">
        <v>1934</v>
      </c>
      <c r="H17" s="22" t="s">
        <v>1935</v>
      </c>
      <c r="I17" s="20" t="s">
        <v>16</v>
      </c>
      <c r="J17" s="20" t="s">
        <v>16</v>
      </c>
      <c r="K17" s="23" t="s">
        <v>417</v>
      </c>
      <c r="L17" s="18">
        <f t="shared" si="0"/>
        <v>4200</v>
      </c>
    </row>
    <row r="18" spans="1:15" ht="37.5" hidden="1">
      <c r="A18" s="17">
        <v>15</v>
      </c>
      <c r="B18" s="17" t="s">
        <v>599</v>
      </c>
      <c r="C18" s="24">
        <v>3150</v>
      </c>
      <c r="D18" s="17" t="s">
        <v>1927</v>
      </c>
      <c r="E18" s="17" t="s">
        <v>19</v>
      </c>
      <c r="F18" s="17" t="s">
        <v>172</v>
      </c>
      <c r="G18" s="25" t="s">
        <v>1936</v>
      </c>
      <c r="H18" s="26" t="s">
        <v>1937</v>
      </c>
      <c r="I18" s="20" t="s">
        <v>89</v>
      </c>
      <c r="J18" s="20" t="s">
        <v>89</v>
      </c>
      <c r="K18" s="23" t="s">
        <v>417</v>
      </c>
      <c r="L18" s="18">
        <f t="shared" si="0"/>
        <v>3150</v>
      </c>
    </row>
    <row r="19" spans="1:15" ht="37.5" hidden="1">
      <c r="A19" s="17">
        <v>16</v>
      </c>
      <c r="B19" s="17" t="s">
        <v>638</v>
      </c>
      <c r="C19" s="24">
        <v>3800</v>
      </c>
      <c r="D19" s="23" t="s">
        <v>1938</v>
      </c>
      <c r="E19" s="17" t="s">
        <v>19</v>
      </c>
      <c r="F19" s="17" t="s">
        <v>172</v>
      </c>
      <c r="G19" s="25" t="s">
        <v>1939</v>
      </c>
      <c r="H19" s="22" t="s">
        <v>1940</v>
      </c>
      <c r="I19" s="20" t="s">
        <v>84</v>
      </c>
      <c r="J19" s="20" t="s">
        <v>84</v>
      </c>
      <c r="K19" s="23" t="s">
        <v>417</v>
      </c>
      <c r="L19" s="18">
        <f t="shared" si="0"/>
        <v>3800</v>
      </c>
    </row>
    <row r="20" spans="1:15" ht="37.5" hidden="1">
      <c r="A20" s="17">
        <v>17</v>
      </c>
      <c r="B20" s="17" t="s">
        <v>1681</v>
      </c>
      <c r="C20" s="24">
        <v>3650</v>
      </c>
      <c r="D20" s="23" t="s">
        <v>1938</v>
      </c>
      <c r="E20" s="17" t="s">
        <v>19</v>
      </c>
      <c r="F20" s="17" t="s">
        <v>101</v>
      </c>
      <c r="G20" s="25" t="s">
        <v>1941</v>
      </c>
      <c r="H20" s="21"/>
      <c r="I20" s="20" t="s">
        <v>84</v>
      </c>
      <c r="J20" s="20" t="s">
        <v>84</v>
      </c>
      <c r="K20" s="23" t="s">
        <v>417</v>
      </c>
      <c r="L20" s="18">
        <f t="shared" si="0"/>
        <v>3650</v>
      </c>
    </row>
    <row r="21" spans="1:15" ht="75" hidden="1">
      <c r="A21" s="17">
        <v>18</v>
      </c>
      <c r="B21" s="17" t="s">
        <v>1942</v>
      </c>
      <c r="C21" s="24">
        <v>4600</v>
      </c>
      <c r="D21" s="23" t="s">
        <v>1938</v>
      </c>
      <c r="E21" s="17" t="s">
        <v>19</v>
      </c>
      <c r="F21" s="17" t="s">
        <v>63</v>
      </c>
      <c r="G21" s="25" t="s">
        <v>1943</v>
      </c>
      <c r="H21" s="22" t="s">
        <v>1944</v>
      </c>
      <c r="I21" s="20" t="s">
        <v>16</v>
      </c>
      <c r="J21" s="20" t="s">
        <v>16</v>
      </c>
      <c r="K21" s="23" t="s">
        <v>1945</v>
      </c>
      <c r="L21" s="18">
        <f t="shared" si="0"/>
        <v>4600</v>
      </c>
    </row>
    <row r="22" spans="1:15" ht="37.5" hidden="1">
      <c r="A22" s="17">
        <v>19</v>
      </c>
      <c r="B22" s="17" t="s">
        <v>1946</v>
      </c>
      <c r="C22" s="24">
        <v>3100</v>
      </c>
      <c r="D22" s="23" t="s">
        <v>1947</v>
      </c>
      <c r="E22" s="17" t="s">
        <v>19</v>
      </c>
      <c r="F22" s="17" t="s">
        <v>101</v>
      </c>
      <c r="G22" s="25" t="s">
        <v>1948</v>
      </c>
      <c r="H22" s="22"/>
      <c r="I22" s="20" t="s">
        <v>54</v>
      </c>
      <c r="J22" s="20" t="s">
        <v>483</v>
      </c>
      <c r="K22" s="23" t="s">
        <v>417</v>
      </c>
      <c r="L22" s="18">
        <f t="shared" si="0"/>
        <v>3100</v>
      </c>
    </row>
    <row r="23" spans="1:15" ht="64.5" hidden="1" customHeight="1">
      <c r="A23" s="17">
        <v>20</v>
      </c>
      <c r="B23" s="17" t="s">
        <v>566</v>
      </c>
      <c r="C23" s="24">
        <v>3450</v>
      </c>
      <c r="D23" s="23" t="s">
        <v>1947</v>
      </c>
      <c r="E23" s="17" t="s">
        <v>19</v>
      </c>
      <c r="F23" s="17" t="s">
        <v>123</v>
      </c>
      <c r="G23" s="25" t="s">
        <v>1949</v>
      </c>
      <c r="H23" s="21" t="s">
        <v>1950</v>
      </c>
      <c r="I23" s="20" t="s">
        <v>84</v>
      </c>
      <c r="J23" s="20" t="s">
        <v>84</v>
      </c>
      <c r="K23" s="23" t="s">
        <v>1920</v>
      </c>
      <c r="L23" s="18">
        <f t="shared" si="0"/>
        <v>3450</v>
      </c>
    </row>
    <row r="24" spans="1:15" ht="61.5" hidden="1" customHeight="1">
      <c r="A24" s="17">
        <v>21</v>
      </c>
      <c r="B24" s="17" t="s">
        <v>1694</v>
      </c>
      <c r="C24" s="24">
        <v>2970</v>
      </c>
      <c r="D24" s="23" t="s">
        <v>1947</v>
      </c>
      <c r="E24" s="17" t="s">
        <v>19</v>
      </c>
      <c r="F24" s="17" t="s">
        <v>101</v>
      </c>
      <c r="G24" s="25" t="s">
        <v>1951</v>
      </c>
      <c r="H24" s="22"/>
      <c r="I24" s="20" t="s">
        <v>84</v>
      </c>
      <c r="J24" s="20" t="s">
        <v>84</v>
      </c>
      <c r="K24" s="23" t="s">
        <v>417</v>
      </c>
      <c r="L24" s="18">
        <f t="shared" si="0"/>
        <v>2970</v>
      </c>
    </row>
    <row r="25" spans="1:15" ht="36" hidden="1" customHeight="1">
      <c r="A25" s="17">
        <v>22</v>
      </c>
      <c r="B25" s="17" t="s">
        <v>1887</v>
      </c>
      <c r="C25" s="24">
        <v>3760</v>
      </c>
      <c r="D25" s="23" t="s">
        <v>1947</v>
      </c>
      <c r="E25" s="17" t="s">
        <v>19</v>
      </c>
      <c r="F25" s="17" t="s">
        <v>101</v>
      </c>
      <c r="G25" s="25" t="s">
        <v>1952</v>
      </c>
      <c r="H25" s="22"/>
      <c r="I25" s="20" t="s">
        <v>84</v>
      </c>
      <c r="J25" s="20" t="s">
        <v>16</v>
      </c>
      <c r="K25" s="23" t="s">
        <v>417</v>
      </c>
      <c r="L25" s="18">
        <f t="shared" si="0"/>
        <v>3760</v>
      </c>
    </row>
    <row r="26" spans="1:15" ht="45.75" hidden="1" customHeight="1">
      <c r="A26" s="17">
        <v>23</v>
      </c>
      <c r="B26" s="17" t="s">
        <v>1953</v>
      </c>
      <c r="C26" s="24">
        <v>2900</v>
      </c>
      <c r="D26" s="23" t="s">
        <v>1954</v>
      </c>
      <c r="E26" s="17" t="s">
        <v>19</v>
      </c>
      <c r="F26" s="17" t="s">
        <v>1808</v>
      </c>
      <c r="G26" s="25" t="s">
        <v>1955</v>
      </c>
      <c r="H26" s="22"/>
      <c r="I26" s="20" t="s">
        <v>84</v>
      </c>
      <c r="J26" s="20" t="s">
        <v>84</v>
      </c>
      <c r="K26" s="23" t="s">
        <v>417</v>
      </c>
      <c r="L26" s="18">
        <f t="shared" si="0"/>
        <v>2900</v>
      </c>
    </row>
    <row r="27" spans="1:15" ht="79.5" customHeight="1">
      <c r="A27" s="17">
        <v>24</v>
      </c>
      <c r="B27" s="17" t="s">
        <v>540</v>
      </c>
      <c r="C27" s="24">
        <v>3500</v>
      </c>
      <c r="D27" s="23" t="s">
        <v>1956</v>
      </c>
      <c r="E27" s="17" t="s">
        <v>19</v>
      </c>
      <c r="F27" s="17" t="s">
        <v>1957</v>
      </c>
      <c r="G27" s="25" t="s">
        <v>1958</v>
      </c>
      <c r="H27" s="22" t="s">
        <v>1959</v>
      </c>
      <c r="I27" s="20" t="s">
        <v>43</v>
      </c>
      <c r="J27" s="20" t="s">
        <v>483</v>
      </c>
      <c r="K27" s="23" t="s">
        <v>417</v>
      </c>
      <c r="L27" s="18">
        <f t="shared" si="0"/>
        <v>3500</v>
      </c>
    </row>
    <row r="28" spans="1:15" ht="56.25" hidden="1">
      <c r="A28" s="17">
        <v>25</v>
      </c>
      <c r="B28" s="17" t="s">
        <v>1960</v>
      </c>
      <c r="C28" s="24">
        <v>2450</v>
      </c>
      <c r="D28" s="23" t="s">
        <v>1954</v>
      </c>
      <c r="E28" s="17" t="s">
        <v>19</v>
      </c>
      <c r="F28" s="17" t="s">
        <v>253</v>
      </c>
      <c r="G28" s="25" t="s">
        <v>1961</v>
      </c>
      <c r="H28" s="22" t="s">
        <v>1962</v>
      </c>
      <c r="I28" s="20" t="s">
        <v>89</v>
      </c>
      <c r="J28" s="20" t="s">
        <v>89</v>
      </c>
      <c r="K28" s="23" t="s">
        <v>1528</v>
      </c>
      <c r="L28" s="18">
        <f t="shared" si="0"/>
        <v>2450</v>
      </c>
    </row>
    <row r="29" spans="1:15" ht="59.25" hidden="1">
      <c r="A29" s="17">
        <v>26</v>
      </c>
      <c r="B29" s="17" t="s">
        <v>549</v>
      </c>
      <c r="C29" s="24">
        <v>3450</v>
      </c>
      <c r="D29" s="23" t="s">
        <v>1954</v>
      </c>
      <c r="E29" s="17" t="s">
        <v>19</v>
      </c>
      <c r="F29" s="17" t="s">
        <v>1957</v>
      </c>
      <c r="G29" s="25" t="s">
        <v>1963</v>
      </c>
      <c r="H29" s="22" t="s">
        <v>1964</v>
      </c>
      <c r="I29" s="20" t="s">
        <v>54</v>
      </c>
      <c r="J29" s="20" t="s">
        <v>16</v>
      </c>
      <c r="K29" s="23" t="s">
        <v>417</v>
      </c>
      <c r="L29" s="18">
        <f t="shared" si="0"/>
        <v>3450</v>
      </c>
    </row>
    <row r="30" spans="1:15" ht="51" hidden="1" customHeight="1">
      <c r="A30" s="17">
        <v>28</v>
      </c>
      <c r="B30" s="17" t="s">
        <v>636</v>
      </c>
      <c r="C30" s="24">
        <v>2950</v>
      </c>
      <c r="D30" s="23" t="s">
        <v>1965</v>
      </c>
      <c r="E30" s="17" t="s">
        <v>19</v>
      </c>
      <c r="F30" s="17" t="s">
        <v>172</v>
      </c>
      <c r="G30" s="25" t="s">
        <v>1963</v>
      </c>
      <c r="H30" s="26" t="s">
        <v>1966</v>
      </c>
      <c r="I30" s="20" t="s">
        <v>84</v>
      </c>
      <c r="J30" s="20" t="s">
        <v>84</v>
      </c>
      <c r="K30" s="23" t="s">
        <v>417</v>
      </c>
      <c r="L30" s="18">
        <f t="shared" si="0"/>
        <v>2950</v>
      </c>
      <c r="O30" s="3">
        <f>2300+1900+317</f>
        <v>4517</v>
      </c>
    </row>
    <row r="31" spans="1:15" ht="79.5" hidden="1" customHeight="1">
      <c r="A31" s="17">
        <v>29</v>
      </c>
      <c r="B31" s="17" t="s">
        <v>1565</v>
      </c>
      <c r="C31" s="24">
        <v>3050</v>
      </c>
      <c r="D31" s="23" t="s">
        <v>1967</v>
      </c>
      <c r="E31" s="17" t="s">
        <v>19</v>
      </c>
      <c r="F31" s="17" t="s">
        <v>1194</v>
      </c>
      <c r="G31" s="25" t="s">
        <v>1968</v>
      </c>
      <c r="H31" s="22" t="s">
        <v>1969</v>
      </c>
      <c r="I31" s="20" t="s">
        <v>54</v>
      </c>
      <c r="J31" s="20" t="s">
        <v>483</v>
      </c>
      <c r="K31" s="23" t="s">
        <v>417</v>
      </c>
      <c r="L31" s="18">
        <f t="shared" ref="L31:L53" si="1">C31</f>
        <v>3050</v>
      </c>
    </row>
    <row r="32" spans="1:15" ht="99" hidden="1" customHeight="1">
      <c r="A32" s="17">
        <v>29</v>
      </c>
      <c r="B32" s="28" t="s">
        <v>274</v>
      </c>
      <c r="C32" s="24">
        <v>4010</v>
      </c>
      <c r="D32" s="23" t="s">
        <v>1967</v>
      </c>
      <c r="E32" s="17" t="s">
        <v>19</v>
      </c>
      <c r="F32" s="17" t="s">
        <v>1404</v>
      </c>
      <c r="G32" s="25" t="s">
        <v>1970</v>
      </c>
      <c r="H32" s="22" t="s">
        <v>1971</v>
      </c>
      <c r="I32" s="20" t="s">
        <v>84</v>
      </c>
      <c r="J32" s="20" t="s">
        <v>84</v>
      </c>
      <c r="K32" s="23" t="s">
        <v>1737</v>
      </c>
      <c r="L32" s="18">
        <f t="shared" si="1"/>
        <v>4010</v>
      </c>
    </row>
    <row r="33" spans="1:13" ht="58.15" hidden="1" customHeight="1">
      <c r="A33" s="17">
        <v>34</v>
      </c>
      <c r="B33" s="17" t="s">
        <v>496</v>
      </c>
      <c r="C33" s="24">
        <v>3280</v>
      </c>
      <c r="D33" s="23" t="s">
        <v>1967</v>
      </c>
      <c r="E33" s="17" t="s">
        <v>19</v>
      </c>
      <c r="F33" s="17" t="s">
        <v>1119</v>
      </c>
      <c r="G33" s="25" t="s">
        <v>1972</v>
      </c>
      <c r="H33" s="22"/>
      <c r="I33" s="20" t="s">
        <v>84</v>
      </c>
      <c r="J33" s="20" t="s">
        <v>84</v>
      </c>
      <c r="K33" s="23" t="s">
        <v>417</v>
      </c>
      <c r="L33" s="18">
        <f t="shared" ref="L33:L40" si="2">C33</f>
        <v>3280</v>
      </c>
    </row>
    <row r="34" spans="1:13" ht="56.65" hidden="1" customHeight="1">
      <c r="A34" s="17">
        <v>31</v>
      </c>
      <c r="B34" s="17" t="s">
        <v>519</v>
      </c>
      <c r="C34" s="24">
        <v>1150</v>
      </c>
      <c r="D34" s="23" t="s">
        <v>1965</v>
      </c>
      <c r="E34" s="17" t="s">
        <v>19</v>
      </c>
      <c r="F34" s="17" t="s">
        <v>172</v>
      </c>
      <c r="G34" s="25" t="s">
        <v>1973</v>
      </c>
      <c r="H34" s="22"/>
      <c r="I34" s="20" t="s">
        <v>54</v>
      </c>
      <c r="J34" s="20" t="s">
        <v>483</v>
      </c>
      <c r="K34" s="23" t="s">
        <v>417</v>
      </c>
      <c r="L34" s="18">
        <f t="shared" si="2"/>
        <v>1150</v>
      </c>
      <c r="M34" s="3">
        <v>1800</v>
      </c>
    </row>
    <row r="35" spans="1:13" ht="46.15" hidden="1" customHeight="1">
      <c r="A35" s="17">
        <v>32</v>
      </c>
      <c r="B35" s="17" t="s">
        <v>1960</v>
      </c>
      <c r="C35" s="24">
        <v>2450</v>
      </c>
      <c r="D35" s="23" t="s">
        <v>1967</v>
      </c>
      <c r="E35" s="17" t="s">
        <v>19</v>
      </c>
      <c r="F35" s="17" t="s">
        <v>253</v>
      </c>
      <c r="G35" s="25" t="s">
        <v>1961</v>
      </c>
      <c r="H35" s="22" t="s">
        <v>1974</v>
      </c>
      <c r="I35" s="20" t="s">
        <v>89</v>
      </c>
      <c r="J35" s="20" t="s">
        <v>89</v>
      </c>
      <c r="K35" s="23" t="s">
        <v>1528</v>
      </c>
      <c r="L35" s="18">
        <f t="shared" si="2"/>
        <v>2450</v>
      </c>
    </row>
    <row r="36" spans="1:13" ht="85.9" customHeight="1">
      <c r="A36" s="17">
        <v>33</v>
      </c>
      <c r="B36" s="17" t="s">
        <v>1774</v>
      </c>
      <c r="C36" s="24">
        <v>2630</v>
      </c>
      <c r="D36" s="23" t="s">
        <v>1967</v>
      </c>
      <c r="E36" s="17" t="s">
        <v>19</v>
      </c>
      <c r="F36" s="17" t="s">
        <v>1119</v>
      </c>
      <c r="G36" s="25" t="s">
        <v>1975</v>
      </c>
      <c r="H36" s="22"/>
      <c r="I36" s="20" t="s">
        <v>43</v>
      </c>
      <c r="J36" s="20" t="s">
        <v>16</v>
      </c>
      <c r="K36" s="23" t="s">
        <v>417</v>
      </c>
      <c r="L36" s="18">
        <f t="shared" si="2"/>
        <v>2630</v>
      </c>
    </row>
    <row r="37" spans="1:13" ht="48.4" hidden="1" customHeight="1">
      <c r="A37" s="17">
        <v>35</v>
      </c>
      <c r="B37" s="17" t="s">
        <v>1777</v>
      </c>
      <c r="C37" s="24">
        <v>1810</v>
      </c>
      <c r="D37" s="23" t="s">
        <v>1976</v>
      </c>
      <c r="E37" s="17" t="s">
        <v>19</v>
      </c>
      <c r="F37" s="17" t="s">
        <v>199</v>
      </c>
      <c r="G37" s="29" t="s">
        <v>1977</v>
      </c>
      <c r="H37" s="30" t="s">
        <v>1978</v>
      </c>
      <c r="I37" s="20" t="s">
        <v>16</v>
      </c>
      <c r="J37" s="20" t="s">
        <v>16</v>
      </c>
      <c r="K37" s="23" t="s">
        <v>1737</v>
      </c>
      <c r="L37" s="18">
        <f t="shared" si="2"/>
        <v>1810</v>
      </c>
    </row>
    <row r="38" spans="1:13" ht="99.4" hidden="1" customHeight="1">
      <c r="A38" s="17">
        <v>36</v>
      </c>
      <c r="B38" s="17" t="s">
        <v>1147</v>
      </c>
      <c r="C38" s="24">
        <v>5250</v>
      </c>
      <c r="D38" s="23" t="s">
        <v>1976</v>
      </c>
      <c r="E38" s="17" t="s">
        <v>19</v>
      </c>
      <c r="F38" s="17" t="s">
        <v>1957</v>
      </c>
      <c r="G38" s="25" t="s">
        <v>1979</v>
      </c>
      <c r="H38" s="31" t="s">
        <v>1980</v>
      </c>
      <c r="I38" s="20" t="s">
        <v>16</v>
      </c>
      <c r="J38" s="20" t="s">
        <v>16</v>
      </c>
      <c r="K38" s="23" t="s">
        <v>1679</v>
      </c>
      <c r="L38" s="18">
        <f t="shared" si="2"/>
        <v>5250</v>
      </c>
      <c r="M38" s="3">
        <v>1750</v>
      </c>
    </row>
    <row r="39" spans="1:13" ht="49.5" hidden="1" customHeight="1">
      <c r="A39" s="17">
        <v>37</v>
      </c>
      <c r="B39" s="17" t="s">
        <v>1981</v>
      </c>
      <c r="C39" s="24">
        <v>3800</v>
      </c>
      <c r="D39" s="23" t="s">
        <v>1976</v>
      </c>
      <c r="E39" s="17" t="s">
        <v>19</v>
      </c>
      <c r="F39" s="17" t="s">
        <v>1238</v>
      </c>
      <c r="G39" s="25" t="s">
        <v>1982</v>
      </c>
      <c r="H39" s="30" t="s">
        <v>1978</v>
      </c>
      <c r="I39" s="20" t="s">
        <v>89</v>
      </c>
      <c r="J39" s="20" t="s">
        <v>89</v>
      </c>
      <c r="K39" s="23" t="s">
        <v>1528</v>
      </c>
      <c r="L39" s="18">
        <f t="shared" si="2"/>
        <v>3800</v>
      </c>
    </row>
    <row r="40" spans="1:13" ht="56.25" hidden="1">
      <c r="A40" s="17">
        <v>38</v>
      </c>
      <c r="B40" s="17" t="s">
        <v>552</v>
      </c>
      <c r="C40" s="24">
        <v>3265</v>
      </c>
      <c r="D40" s="23" t="s">
        <v>1976</v>
      </c>
      <c r="E40" s="17" t="s">
        <v>19</v>
      </c>
      <c r="F40" s="17" t="s">
        <v>199</v>
      </c>
      <c r="G40" s="25" t="s">
        <v>1983</v>
      </c>
      <c r="H40" s="22" t="s">
        <v>1984</v>
      </c>
      <c r="I40" s="20" t="s">
        <v>89</v>
      </c>
      <c r="J40" s="20" t="s">
        <v>89</v>
      </c>
      <c r="K40" s="23" t="s">
        <v>1737</v>
      </c>
      <c r="L40" s="18">
        <f t="shared" si="2"/>
        <v>3265</v>
      </c>
    </row>
    <row r="41" spans="1:13" ht="45" hidden="1" customHeight="1">
      <c r="A41" s="17">
        <v>39</v>
      </c>
      <c r="B41" s="17" t="s">
        <v>1261</v>
      </c>
      <c r="C41" s="24">
        <v>4700</v>
      </c>
      <c r="D41" s="23" t="s">
        <v>1985</v>
      </c>
      <c r="E41" s="17" t="s">
        <v>19</v>
      </c>
      <c r="F41" s="17" t="s">
        <v>1238</v>
      </c>
      <c r="G41" s="22" t="s">
        <v>1986</v>
      </c>
      <c r="H41" s="22" t="s">
        <v>1987</v>
      </c>
      <c r="I41" s="20" t="s">
        <v>16</v>
      </c>
      <c r="J41" s="20" t="s">
        <v>16</v>
      </c>
      <c r="K41" s="23" t="s">
        <v>1737</v>
      </c>
      <c r="L41" s="18">
        <f t="shared" si="1"/>
        <v>4700</v>
      </c>
    </row>
    <row r="42" spans="1:13" ht="78.75" hidden="1" customHeight="1">
      <c r="A42" s="17">
        <v>40</v>
      </c>
      <c r="B42" s="17" t="s">
        <v>1196</v>
      </c>
      <c r="C42" s="24">
        <v>3150</v>
      </c>
      <c r="D42" s="23" t="s">
        <v>1988</v>
      </c>
      <c r="E42" s="17" t="s">
        <v>19</v>
      </c>
      <c r="F42" s="17" t="s">
        <v>1957</v>
      </c>
      <c r="G42" s="22" t="s">
        <v>1989</v>
      </c>
      <c r="H42" s="22" t="s">
        <v>1990</v>
      </c>
      <c r="I42" s="20" t="s">
        <v>16</v>
      </c>
      <c r="J42" s="20" t="s">
        <v>16</v>
      </c>
      <c r="K42" s="23" t="s">
        <v>1945</v>
      </c>
      <c r="L42" s="20">
        <f t="shared" si="1"/>
        <v>3150</v>
      </c>
    </row>
    <row r="43" spans="1:13" ht="83.25" customHeight="1">
      <c r="A43" s="17">
        <v>41</v>
      </c>
      <c r="B43" s="17" t="s">
        <v>1583</v>
      </c>
      <c r="C43" s="24">
        <v>2450</v>
      </c>
      <c r="D43" s="23" t="s">
        <v>1988</v>
      </c>
      <c r="E43" s="17" t="s">
        <v>19</v>
      </c>
      <c r="F43" s="17" t="s">
        <v>1957</v>
      </c>
      <c r="G43" s="22" t="s">
        <v>1991</v>
      </c>
      <c r="H43" s="22" t="s">
        <v>1992</v>
      </c>
      <c r="I43" s="20" t="s">
        <v>43</v>
      </c>
      <c r="J43" s="20" t="s">
        <v>483</v>
      </c>
      <c r="K43" s="23" t="s">
        <v>417</v>
      </c>
      <c r="L43" s="20">
        <f t="shared" si="1"/>
        <v>2450</v>
      </c>
    </row>
    <row r="44" spans="1:13" ht="93.75">
      <c r="A44" s="17">
        <v>42</v>
      </c>
      <c r="B44" s="17" t="s">
        <v>526</v>
      </c>
      <c r="C44" s="24">
        <v>3400</v>
      </c>
      <c r="D44" s="23" t="s">
        <v>1988</v>
      </c>
      <c r="E44" s="17" t="s">
        <v>19</v>
      </c>
      <c r="F44" s="17" t="s">
        <v>1993</v>
      </c>
      <c r="G44" s="22" t="s">
        <v>1994</v>
      </c>
      <c r="H44" s="22"/>
      <c r="I44" s="20" t="s">
        <v>43</v>
      </c>
      <c r="J44" s="20" t="s">
        <v>483</v>
      </c>
      <c r="K44" s="23" t="s">
        <v>417</v>
      </c>
      <c r="L44" s="20">
        <f t="shared" si="1"/>
        <v>3400</v>
      </c>
    </row>
    <row r="45" spans="1:13" ht="93.75" hidden="1">
      <c r="A45" s="17">
        <v>43</v>
      </c>
      <c r="B45" s="17" t="s">
        <v>1995</v>
      </c>
      <c r="C45" s="24">
        <v>4300</v>
      </c>
      <c r="D45" s="23" t="s">
        <v>1988</v>
      </c>
      <c r="E45" s="17" t="s">
        <v>19</v>
      </c>
      <c r="F45" s="17" t="s">
        <v>101</v>
      </c>
      <c r="G45" s="22" t="s">
        <v>1996</v>
      </c>
      <c r="H45" s="32" t="s">
        <v>1997</v>
      </c>
      <c r="I45" s="20" t="s">
        <v>89</v>
      </c>
      <c r="J45" s="20" t="s">
        <v>89</v>
      </c>
      <c r="K45" s="23" t="s">
        <v>1998</v>
      </c>
      <c r="L45" s="20">
        <f t="shared" si="1"/>
        <v>4300</v>
      </c>
    </row>
    <row r="46" spans="1:13" ht="37.5" hidden="1">
      <c r="A46" s="17">
        <v>44</v>
      </c>
      <c r="B46" s="17" t="s">
        <v>1999</v>
      </c>
      <c r="C46" s="24">
        <v>2950</v>
      </c>
      <c r="D46" s="23" t="s">
        <v>1988</v>
      </c>
      <c r="E46" s="17" t="s">
        <v>19</v>
      </c>
      <c r="F46" s="17" t="s">
        <v>1808</v>
      </c>
      <c r="G46" s="22" t="s">
        <v>2000</v>
      </c>
      <c r="H46" s="22"/>
      <c r="I46" s="20" t="s">
        <v>84</v>
      </c>
      <c r="J46" s="20" t="s">
        <v>84</v>
      </c>
      <c r="K46" s="23" t="s">
        <v>1998</v>
      </c>
      <c r="L46" s="20">
        <f t="shared" si="1"/>
        <v>2950</v>
      </c>
    </row>
    <row r="47" spans="1:13" ht="37.5" hidden="1">
      <c r="A47" s="17">
        <v>45</v>
      </c>
      <c r="B47" s="17" t="s">
        <v>2001</v>
      </c>
      <c r="C47" s="24">
        <v>4000</v>
      </c>
      <c r="D47" s="23" t="s">
        <v>2002</v>
      </c>
      <c r="E47" s="17" t="s">
        <v>19</v>
      </c>
      <c r="F47" s="17" t="s">
        <v>1957</v>
      </c>
      <c r="G47" s="22" t="s">
        <v>2003</v>
      </c>
      <c r="H47" s="22" t="s">
        <v>2004</v>
      </c>
      <c r="I47" s="20" t="s">
        <v>54</v>
      </c>
      <c r="J47" s="33" t="s">
        <v>483</v>
      </c>
      <c r="K47" s="23" t="s">
        <v>417</v>
      </c>
      <c r="L47" s="27">
        <f t="shared" si="1"/>
        <v>4000</v>
      </c>
    </row>
    <row r="48" spans="1:13" ht="112.5">
      <c r="A48" s="17">
        <v>46</v>
      </c>
      <c r="B48" s="17" t="s">
        <v>2005</v>
      </c>
      <c r="C48" s="24">
        <v>3250</v>
      </c>
      <c r="D48" s="23" t="s">
        <v>2006</v>
      </c>
      <c r="E48" s="17" t="s">
        <v>19</v>
      </c>
      <c r="F48" s="17" t="s">
        <v>467</v>
      </c>
      <c r="G48" s="25" t="s">
        <v>2007</v>
      </c>
      <c r="H48" s="22" t="s">
        <v>2008</v>
      </c>
      <c r="I48" s="20" t="s">
        <v>43</v>
      </c>
      <c r="J48" s="20" t="s">
        <v>483</v>
      </c>
      <c r="K48" s="23" t="s">
        <v>1679</v>
      </c>
      <c r="L48" s="27">
        <f>C48</f>
        <v>3250</v>
      </c>
    </row>
    <row r="49" spans="1:12" ht="48.75" hidden="1" customHeight="1">
      <c r="A49" s="17">
        <v>47</v>
      </c>
      <c r="B49" s="17" t="s">
        <v>293</v>
      </c>
      <c r="C49" s="24">
        <v>4700</v>
      </c>
      <c r="D49" s="23" t="s">
        <v>2006</v>
      </c>
      <c r="E49" s="17" t="s">
        <v>19</v>
      </c>
      <c r="F49" s="17" t="s">
        <v>1993</v>
      </c>
      <c r="G49" s="22" t="s">
        <v>2009</v>
      </c>
      <c r="H49" s="22"/>
      <c r="I49" s="20" t="s">
        <v>89</v>
      </c>
      <c r="J49" s="33" t="s">
        <v>89</v>
      </c>
      <c r="K49" s="23" t="s">
        <v>417</v>
      </c>
      <c r="L49" s="18">
        <f t="shared" si="1"/>
        <v>4700</v>
      </c>
    </row>
    <row r="50" spans="1:12" ht="37.5" hidden="1">
      <c r="A50" s="17">
        <v>48</v>
      </c>
      <c r="B50" s="17" t="s">
        <v>2010</v>
      </c>
      <c r="C50" s="24">
        <v>3140</v>
      </c>
      <c r="D50" s="23" t="s">
        <v>2006</v>
      </c>
      <c r="E50" s="17" t="s">
        <v>19</v>
      </c>
      <c r="F50" s="17" t="s">
        <v>1653</v>
      </c>
      <c r="G50" s="22" t="s">
        <v>2011</v>
      </c>
      <c r="H50" s="22" t="s">
        <v>1821</v>
      </c>
      <c r="I50" s="20" t="s">
        <v>16</v>
      </c>
      <c r="J50" s="33" t="s">
        <v>16</v>
      </c>
      <c r="K50" s="23" t="s">
        <v>417</v>
      </c>
      <c r="L50" s="18">
        <f t="shared" si="1"/>
        <v>3140</v>
      </c>
    </row>
    <row r="51" spans="1:12" ht="37.5" hidden="1">
      <c r="A51" s="17">
        <v>49</v>
      </c>
      <c r="B51" s="17" t="s">
        <v>2012</v>
      </c>
      <c r="C51" s="24">
        <v>2900</v>
      </c>
      <c r="D51" s="23" t="s">
        <v>2013</v>
      </c>
      <c r="E51" s="17" t="s">
        <v>19</v>
      </c>
      <c r="F51" s="17" t="s">
        <v>1993</v>
      </c>
      <c r="G51" s="34" t="s">
        <v>2014</v>
      </c>
      <c r="H51" s="22"/>
      <c r="I51" s="20" t="s">
        <v>54</v>
      </c>
      <c r="J51" s="20" t="s">
        <v>483</v>
      </c>
      <c r="K51" s="23" t="s">
        <v>1528</v>
      </c>
      <c r="L51" s="18">
        <f>C51</f>
        <v>2900</v>
      </c>
    </row>
    <row r="52" spans="1:12" hidden="1">
      <c r="A52" s="17">
        <v>50</v>
      </c>
      <c r="B52" s="17" t="s">
        <v>2015</v>
      </c>
      <c r="C52" s="24">
        <v>1900</v>
      </c>
      <c r="D52" s="23" t="s">
        <v>2016</v>
      </c>
      <c r="E52" s="17" t="s">
        <v>19</v>
      </c>
      <c r="F52" s="17" t="s">
        <v>2017</v>
      </c>
      <c r="G52" s="25" t="s">
        <v>2018</v>
      </c>
      <c r="H52" s="26"/>
      <c r="I52" s="20" t="s">
        <v>89</v>
      </c>
      <c r="J52" s="20" t="s">
        <v>89</v>
      </c>
      <c r="K52" s="23" t="s">
        <v>2019</v>
      </c>
      <c r="L52" s="18">
        <f>C52</f>
        <v>1900</v>
      </c>
    </row>
    <row r="53" spans="1:12" hidden="1">
      <c r="A53" s="17">
        <v>51</v>
      </c>
      <c r="B53" s="17" t="s">
        <v>2020</v>
      </c>
      <c r="C53" s="24">
        <v>5100</v>
      </c>
      <c r="D53" s="23" t="s">
        <v>2016</v>
      </c>
      <c r="E53" s="17" t="s">
        <v>19</v>
      </c>
      <c r="F53" s="17" t="s">
        <v>1993</v>
      </c>
      <c r="G53" s="22" t="s">
        <v>2009</v>
      </c>
      <c r="H53" s="22"/>
      <c r="I53" s="20" t="s">
        <v>84</v>
      </c>
      <c r="J53" s="33" t="s">
        <v>84</v>
      </c>
      <c r="K53" s="23" t="s">
        <v>417</v>
      </c>
      <c r="L53" s="18">
        <f t="shared" si="1"/>
        <v>5100</v>
      </c>
    </row>
    <row r="54" spans="1:12" ht="63.75" hidden="1" customHeight="1">
      <c r="A54" s="17">
        <v>52</v>
      </c>
      <c r="B54" s="17" t="s">
        <v>2021</v>
      </c>
      <c r="C54" s="24">
        <v>3700</v>
      </c>
      <c r="D54" s="23" t="s">
        <v>2022</v>
      </c>
      <c r="E54" s="17" t="s">
        <v>19</v>
      </c>
      <c r="F54" s="17" t="s">
        <v>1653</v>
      </c>
      <c r="G54" s="25" t="s">
        <v>2023</v>
      </c>
      <c r="H54" s="22" t="s">
        <v>2024</v>
      </c>
      <c r="I54" s="20" t="s">
        <v>16</v>
      </c>
      <c r="J54" s="20" t="s">
        <v>16</v>
      </c>
      <c r="K54" s="23" t="s">
        <v>2025</v>
      </c>
      <c r="L54" s="18">
        <f t="shared" ref="L54:L63" si="3">C54</f>
        <v>3700</v>
      </c>
    </row>
    <row r="55" spans="1:12" ht="90.75" hidden="1" customHeight="1">
      <c r="A55" s="17">
        <v>53</v>
      </c>
      <c r="B55" s="17" t="s">
        <v>638</v>
      </c>
      <c r="C55" s="24">
        <v>3800</v>
      </c>
      <c r="D55" s="23" t="s">
        <v>2022</v>
      </c>
      <c r="E55" s="17" t="s">
        <v>19</v>
      </c>
      <c r="F55" s="17" t="s">
        <v>1808</v>
      </c>
      <c r="G55" s="25" t="s">
        <v>2026</v>
      </c>
      <c r="H55" s="22" t="s">
        <v>2027</v>
      </c>
      <c r="I55" s="20" t="s">
        <v>84</v>
      </c>
      <c r="J55" s="20" t="s">
        <v>84</v>
      </c>
      <c r="K55" s="23" t="s">
        <v>417</v>
      </c>
      <c r="L55" s="18">
        <f t="shared" si="3"/>
        <v>3800</v>
      </c>
    </row>
    <row r="56" spans="1:12" ht="45" hidden="1" customHeight="1">
      <c r="A56" s="17">
        <v>54</v>
      </c>
      <c r="B56" s="17" t="s">
        <v>2028</v>
      </c>
      <c r="C56" s="24">
        <v>4250</v>
      </c>
      <c r="D56" s="23" t="s">
        <v>2029</v>
      </c>
      <c r="E56" s="17" t="s">
        <v>19</v>
      </c>
      <c r="F56" s="17" t="s">
        <v>1957</v>
      </c>
      <c r="G56" s="25" t="s">
        <v>2030</v>
      </c>
      <c r="H56" s="22"/>
      <c r="I56" s="20" t="s">
        <v>89</v>
      </c>
      <c r="J56" s="20" t="s">
        <v>89</v>
      </c>
      <c r="K56" s="23" t="s">
        <v>2025</v>
      </c>
      <c r="L56" s="20">
        <f t="shared" si="3"/>
        <v>4250</v>
      </c>
    </row>
    <row r="57" spans="1:12" ht="79.5" hidden="1" customHeight="1">
      <c r="A57" s="17">
        <v>55</v>
      </c>
      <c r="B57" s="17" t="s">
        <v>1728</v>
      </c>
      <c r="C57" s="24">
        <v>3150</v>
      </c>
      <c r="D57" s="23" t="s">
        <v>2029</v>
      </c>
      <c r="E57" s="17" t="s">
        <v>19</v>
      </c>
      <c r="F57" s="17" t="s">
        <v>172</v>
      </c>
      <c r="G57" s="25" t="s">
        <v>2031</v>
      </c>
      <c r="H57" s="22" t="s">
        <v>2032</v>
      </c>
      <c r="I57" s="20" t="s">
        <v>16</v>
      </c>
      <c r="J57" s="20" t="s">
        <v>16</v>
      </c>
      <c r="K57" s="23" t="s">
        <v>417</v>
      </c>
      <c r="L57" s="20">
        <f t="shared" si="3"/>
        <v>3150</v>
      </c>
    </row>
    <row r="58" spans="1:12" ht="42.75" hidden="1" customHeight="1">
      <c r="A58" s="17">
        <v>56</v>
      </c>
      <c r="B58" s="17" t="s">
        <v>2033</v>
      </c>
      <c r="C58" s="24">
        <v>5000</v>
      </c>
      <c r="D58" s="23" t="s">
        <v>2034</v>
      </c>
      <c r="E58" s="17" t="s">
        <v>19</v>
      </c>
      <c r="F58" s="17" t="s">
        <v>172</v>
      </c>
      <c r="G58" s="25" t="s">
        <v>2035</v>
      </c>
      <c r="H58" s="22" t="s">
        <v>2036</v>
      </c>
      <c r="I58" s="20" t="s">
        <v>84</v>
      </c>
      <c r="J58" s="20" t="s">
        <v>84</v>
      </c>
      <c r="K58" s="23" t="s">
        <v>417</v>
      </c>
      <c r="L58" s="20">
        <f t="shared" si="3"/>
        <v>5000</v>
      </c>
    </row>
    <row r="59" spans="1:12" ht="56.25" hidden="1">
      <c r="A59" s="17">
        <v>57</v>
      </c>
      <c r="B59" s="17" t="s">
        <v>599</v>
      </c>
      <c r="C59" s="24">
        <v>3150</v>
      </c>
      <c r="D59" s="23" t="s">
        <v>2034</v>
      </c>
      <c r="E59" s="17" t="s">
        <v>19</v>
      </c>
      <c r="F59" s="17" t="s">
        <v>172</v>
      </c>
      <c r="G59" s="25" t="s">
        <v>2037</v>
      </c>
      <c r="H59" s="22"/>
      <c r="I59" s="20" t="s">
        <v>89</v>
      </c>
      <c r="J59" s="20" t="s">
        <v>89</v>
      </c>
      <c r="K59" s="23" t="s">
        <v>417</v>
      </c>
      <c r="L59" s="20">
        <f t="shared" si="3"/>
        <v>3150</v>
      </c>
    </row>
    <row r="60" spans="1:12" ht="93.75" hidden="1">
      <c r="A60" s="17">
        <v>58</v>
      </c>
      <c r="B60" s="17" t="s">
        <v>2038</v>
      </c>
      <c r="C60" s="24">
        <v>3000</v>
      </c>
      <c r="D60" s="23" t="s">
        <v>2034</v>
      </c>
      <c r="E60" s="17" t="s">
        <v>19</v>
      </c>
      <c r="F60" s="17" t="s">
        <v>172</v>
      </c>
      <c r="G60" s="25" t="s">
        <v>2039</v>
      </c>
      <c r="H60" s="22"/>
      <c r="I60" s="20" t="s">
        <v>89</v>
      </c>
      <c r="J60" s="20" t="s">
        <v>89</v>
      </c>
      <c r="K60" s="23" t="s">
        <v>417</v>
      </c>
      <c r="L60" s="20">
        <f t="shared" si="3"/>
        <v>3000</v>
      </c>
    </row>
    <row r="61" spans="1:12" ht="37.5" hidden="1">
      <c r="A61" s="17">
        <v>59</v>
      </c>
      <c r="B61" s="17" t="s">
        <v>914</v>
      </c>
      <c r="C61" s="24">
        <v>3500</v>
      </c>
      <c r="D61" s="23" t="s">
        <v>2040</v>
      </c>
      <c r="E61" s="17" t="s">
        <v>19</v>
      </c>
      <c r="F61" s="17" t="s">
        <v>172</v>
      </c>
      <c r="G61" s="25" t="s">
        <v>2041</v>
      </c>
      <c r="H61" s="22"/>
      <c r="I61" s="20" t="s">
        <v>84</v>
      </c>
      <c r="J61" s="20" t="s">
        <v>84</v>
      </c>
      <c r="K61" s="23" t="s">
        <v>417</v>
      </c>
      <c r="L61" s="18">
        <f>C61</f>
        <v>3500</v>
      </c>
    </row>
    <row r="62" spans="1:12" hidden="1">
      <c r="A62" s="17">
        <v>60</v>
      </c>
      <c r="B62" s="17" t="s">
        <v>633</v>
      </c>
      <c r="C62" s="24">
        <v>4800</v>
      </c>
      <c r="D62" s="23" t="s">
        <v>2040</v>
      </c>
      <c r="E62" s="17" t="s">
        <v>19</v>
      </c>
      <c r="F62" s="17" t="s">
        <v>172</v>
      </c>
      <c r="G62" s="25" t="s">
        <v>2042</v>
      </c>
      <c r="H62" s="22" t="s">
        <v>2043</v>
      </c>
      <c r="I62" s="20" t="s">
        <v>16</v>
      </c>
      <c r="J62" s="20" t="s">
        <v>16</v>
      </c>
      <c r="K62" s="23" t="s">
        <v>417</v>
      </c>
      <c r="L62" s="18">
        <f t="shared" si="3"/>
        <v>4800</v>
      </c>
    </row>
    <row r="63" spans="1:12">
      <c r="A63" s="17">
        <v>61</v>
      </c>
      <c r="B63" s="17" t="s">
        <v>1583</v>
      </c>
      <c r="C63" s="24">
        <v>2450</v>
      </c>
      <c r="D63" s="23" t="s">
        <v>2040</v>
      </c>
      <c r="E63" s="17" t="s">
        <v>19</v>
      </c>
      <c r="F63" s="17" t="s">
        <v>172</v>
      </c>
      <c r="G63" s="25" t="s">
        <v>2044</v>
      </c>
      <c r="H63" s="22"/>
      <c r="I63" s="20" t="s">
        <v>43</v>
      </c>
      <c r="J63" s="20" t="s">
        <v>89</v>
      </c>
      <c r="K63" s="23" t="s">
        <v>417</v>
      </c>
      <c r="L63" s="18">
        <f t="shared" si="3"/>
        <v>2450</v>
      </c>
    </row>
    <row r="64" spans="1:12" ht="75" hidden="1">
      <c r="A64" s="17">
        <v>62</v>
      </c>
      <c r="B64" s="17" t="s">
        <v>566</v>
      </c>
      <c r="C64" s="24">
        <v>3350</v>
      </c>
      <c r="D64" s="23" t="s">
        <v>2040</v>
      </c>
      <c r="E64" s="17" t="s">
        <v>19</v>
      </c>
      <c r="F64" s="17" t="s">
        <v>1119</v>
      </c>
      <c r="G64" s="34" t="s">
        <v>2045</v>
      </c>
      <c r="H64" s="22"/>
      <c r="I64" s="20" t="s">
        <v>84</v>
      </c>
      <c r="J64" s="20" t="s">
        <v>84</v>
      </c>
      <c r="K64" s="23" t="s">
        <v>417</v>
      </c>
      <c r="L64" s="18">
        <f>C64</f>
        <v>3350</v>
      </c>
    </row>
    <row r="65" spans="1:12" ht="150" hidden="1">
      <c r="A65" s="17">
        <v>63</v>
      </c>
      <c r="B65" s="17" t="s">
        <v>942</v>
      </c>
      <c r="C65" s="24">
        <v>3650</v>
      </c>
      <c r="D65" s="23" t="s">
        <v>2040</v>
      </c>
      <c r="E65" s="17" t="s">
        <v>19</v>
      </c>
      <c r="F65" s="17" t="s">
        <v>1119</v>
      </c>
      <c r="G65" s="34" t="s">
        <v>2046</v>
      </c>
      <c r="H65" s="22"/>
      <c r="I65" s="20" t="s">
        <v>89</v>
      </c>
      <c r="J65" s="20" t="s">
        <v>89</v>
      </c>
      <c r="K65" s="23" t="s">
        <v>417</v>
      </c>
      <c r="L65" s="18">
        <f>C65</f>
        <v>3650</v>
      </c>
    </row>
    <row r="66" spans="1:12" ht="37.5" hidden="1">
      <c r="A66" s="17">
        <v>64</v>
      </c>
      <c r="B66" s="17" t="s">
        <v>2047</v>
      </c>
      <c r="C66" s="24">
        <v>3150</v>
      </c>
      <c r="D66" s="23" t="s">
        <v>2040</v>
      </c>
      <c r="E66" s="17" t="s">
        <v>19</v>
      </c>
      <c r="F66" s="17" t="s">
        <v>1957</v>
      </c>
      <c r="G66" s="34" t="s">
        <v>2048</v>
      </c>
      <c r="H66" s="22"/>
      <c r="I66" s="20" t="s">
        <v>54</v>
      </c>
      <c r="J66" s="20" t="s">
        <v>16</v>
      </c>
      <c r="K66" s="23" t="s">
        <v>417</v>
      </c>
      <c r="L66" s="18">
        <f>C66</f>
        <v>3150</v>
      </c>
    </row>
    <row r="67" spans="1:12" ht="42" hidden="1" customHeight="1">
      <c r="A67" s="17">
        <v>65</v>
      </c>
      <c r="B67" s="17" t="s">
        <v>1224</v>
      </c>
      <c r="C67" s="24">
        <v>2200</v>
      </c>
      <c r="D67" s="23" t="s">
        <v>2049</v>
      </c>
      <c r="E67" s="17" t="s">
        <v>19</v>
      </c>
      <c r="F67" s="17" t="s">
        <v>172</v>
      </c>
      <c r="G67" s="34" t="s">
        <v>2050</v>
      </c>
      <c r="H67" s="22"/>
      <c r="I67" s="20" t="s">
        <v>54</v>
      </c>
      <c r="J67" s="20" t="s">
        <v>16</v>
      </c>
      <c r="K67" s="23" t="s">
        <v>417</v>
      </c>
      <c r="L67" s="18">
        <f>C67</f>
        <v>2200</v>
      </c>
    </row>
    <row r="68" spans="1:12" ht="36.75" hidden="1" customHeight="1">
      <c r="L68" s="18"/>
    </row>
    <row r="69" spans="1:12" ht="31.5" hidden="1" customHeight="1">
      <c r="L69" s="35"/>
    </row>
    <row r="70" spans="1:12" ht="31.5" hidden="1" customHeight="1">
      <c r="L70" s="18">
        <f t="shared" ref="L70:L78" si="4">C70</f>
        <v>0</v>
      </c>
    </row>
    <row r="71" spans="1:12" hidden="1">
      <c r="L71" s="18">
        <f t="shared" si="4"/>
        <v>0</v>
      </c>
    </row>
    <row r="72" spans="1:12" hidden="1">
      <c r="L72" s="18">
        <f t="shared" si="4"/>
        <v>0</v>
      </c>
    </row>
    <row r="73" spans="1:12" hidden="1">
      <c r="L73" s="18">
        <f t="shared" si="4"/>
        <v>0</v>
      </c>
    </row>
    <row r="74" spans="1:12" hidden="1">
      <c r="L74" s="18">
        <f t="shared" si="4"/>
        <v>0</v>
      </c>
    </row>
    <row r="75" spans="1:12" hidden="1">
      <c r="L75" s="18">
        <f t="shared" si="4"/>
        <v>0</v>
      </c>
    </row>
    <row r="76" spans="1:12" hidden="1">
      <c r="L76" s="18">
        <f t="shared" si="4"/>
        <v>0</v>
      </c>
    </row>
    <row r="77" spans="1:12" hidden="1">
      <c r="L77" s="18">
        <f t="shared" si="4"/>
        <v>0</v>
      </c>
    </row>
    <row r="78" spans="1:12" hidden="1">
      <c r="L78" s="18">
        <f t="shared" si="4"/>
        <v>0</v>
      </c>
    </row>
    <row r="150" spans="10:10">
      <c r="J150" s="1" t="s">
        <v>2051</v>
      </c>
    </row>
  </sheetData>
  <autoFilter ref="A4:P83" xr:uid="{00000000-0009-0000-0000-00000C000000}">
    <filterColumn colId="8">
      <filters>
        <filter val="Mạnh Thắng"/>
      </filters>
    </filterColumn>
  </autoFilter>
  <mergeCells count="3">
    <mergeCell ref="C1:H1"/>
    <mergeCell ref="A2:H2"/>
    <mergeCell ref="H3:I3"/>
  </mergeCells>
  <conditionalFormatting sqref="A51:A67">
    <cfRule type="duplicateValues" dxfId="655" priority="309"/>
    <cfRule type="duplicateValues" dxfId="654" priority="310"/>
    <cfRule type="duplicateValues" dxfId="653" priority="311"/>
  </conditionalFormatting>
  <conditionalFormatting sqref="B3:B4 B10 B70:B1048576">
    <cfRule type="duplicateValues" dxfId="652" priority="65"/>
    <cfRule type="duplicateValues" dxfId="651" priority="66"/>
    <cfRule type="duplicateValues" dxfId="650" priority="67"/>
  </conditionalFormatting>
  <conditionalFormatting sqref="B11">
    <cfRule type="duplicateValues" dxfId="649" priority="58"/>
    <cfRule type="duplicateValues" dxfId="648" priority="59"/>
    <cfRule type="duplicateValues" dxfId="647" priority="60"/>
  </conditionalFormatting>
  <conditionalFormatting sqref="B12">
    <cfRule type="duplicateValues" dxfId="646" priority="55"/>
    <cfRule type="duplicateValues" dxfId="645" priority="56"/>
    <cfRule type="duplicateValues" dxfId="644" priority="57"/>
  </conditionalFormatting>
  <conditionalFormatting sqref="B13 B15 B23">
    <cfRule type="duplicateValues" dxfId="643" priority="43"/>
    <cfRule type="duplicateValues" dxfId="642" priority="44"/>
    <cfRule type="duplicateValues" dxfId="641" priority="45"/>
  </conditionalFormatting>
  <conditionalFormatting sqref="B14">
    <cfRule type="duplicateValues" dxfId="640" priority="40"/>
    <cfRule type="duplicateValues" dxfId="639" priority="41"/>
    <cfRule type="duplicateValues" dxfId="638" priority="42"/>
  </conditionalFormatting>
  <conditionalFormatting sqref="B16:B20">
    <cfRule type="duplicateValues" dxfId="637" priority="34"/>
    <cfRule type="duplicateValues" dxfId="636" priority="35"/>
    <cfRule type="duplicateValues" dxfId="635" priority="36"/>
  </conditionalFormatting>
  <conditionalFormatting sqref="B21:B22 B24:B29 B32:B33 B35:B36">
    <cfRule type="duplicateValues" dxfId="634" priority="229"/>
    <cfRule type="duplicateValues" dxfId="633" priority="230"/>
    <cfRule type="duplicateValues" dxfId="632" priority="235"/>
  </conditionalFormatting>
  <conditionalFormatting sqref="B30">
    <cfRule type="duplicateValues" dxfId="631" priority="13"/>
    <cfRule type="duplicateValues" dxfId="630" priority="14"/>
    <cfRule type="duplicateValues" dxfId="629" priority="15"/>
  </conditionalFormatting>
  <conditionalFormatting sqref="B31">
    <cfRule type="duplicateValues" dxfId="628" priority="16"/>
    <cfRule type="duplicateValues" dxfId="627" priority="17"/>
    <cfRule type="duplicateValues" dxfId="626" priority="18"/>
  </conditionalFormatting>
  <conditionalFormatting sqref="B34 B38">
    <cfRule type="duplicateValues" dxfId="625" priority="19"/>
    <cfRule type="duplicateValues" dxfId="624" priority="20"/>
    <cfRule type="duplicateValues" dxfId="623" priority="21"/>
  </conditionalFormatting>
  <conditionalFormatting sqref="B37 B39:B40">
    <cfRule type="duplicateValues" dxfId="622" priority="31"/>
    <cfRule type="duplicateValues" dxfId="621" priority="32"/>
    <cfRule type="duplicateValues" dxfId="620" priority="33"/>
  </conditionalFormatting>
  <conditionalFormatting sqref="B41:B47 B49:B50 B53">
    <cfRule type="duplicateValues" dxfId="619" priority="10"/>
    <cfRule type="duplicateValues" dxfId="618" priority="11"/>
    <cfRule type="duplicateValues" dxfId="617" priority="12"/>
  </conditionalFormatting>
  <conditionalFormatting sqref="B48 B51 B54:B56">
    <cfRule type="duplicateValues" dxfId="616" priority="289"/>
    <cfRule type="duplicateValues" dxfId="615" priority="290"/>
    <cfRule type="duplicateValues" dxfId="614" priority="295"/>
  </conditionalFormatting>
  <conditionalFormatting sqref="B52">
    <cfRule type="duplicateValues" dxfId="613" priority="22"/>
    <cfRule type="duplicateValues" dxfId="612" priority="23"/>
    <cfRule type="duplicateValues" dxfId="611" priority="24"/>
  </conditionalFormatting>
  <conditionalFormatting sqref="B57:B63">
    <cfRule type="duplicateValues" dxfId="610" priority="4"/>
    <cfRule type="duplicateValues" dxfId="609" priority="5"/>
    <cfRule type="duplicateValues" dxfId="608" priority="6"/>
  </conditionalFormatting>
  <conditionalFormatting sqref="B64:B66">
    <cfRule type="duplicateValues" dxfId="607" priority="25"/>
    <cfRule type="duplicateValues" dxfId="606" priority="26"/>
    <cfRule type="duplicateValues" dxfId="605" priority="27"/>
  </conditionalFormatting>
  <conditionalFormatting sqref="B67">
    <cfRule type="duplicateValues" dxfId="604" priority="1"/>
    <cfRule type="duplicateValues" dxfId="603" priority="2"/>
    <cfRule type="duplicateValues" dxfId="602" priority="3"/>
  </conditionalFormatting>
  <pageMargins left="0.7" right="0.7" top="0.75" bottom="0.75" header="0.3" footer="0.3"/>
  <pageSetup paperSize="9" scale="30" orientation="landscape"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pageSetUpPr fitToPage="1"/>
  </sheetPr>
  <dimension ref="A1:O51"/>
  <sheetViews>
    <sheetView zoomScale="70" zoomScaleNormal="70" workbookViewId="0">
      <pane xSplit="3" ySplit="4" topLeftCell="D44" activePane="bottomRight" state="frozen"/>
      <selection pane="topRight" activeCell="H45" sqref="H45"/>
      <selection pane="bottomLeft" activeCell="H45" sqref="H45"/>
      <selection pane="bottomRight" activeCell="H45" sqref="H45"/>
    </sheetView>
  </sheetViews>
  <sheetFormatPr defaultColWidth="25.5703125" defaultRowHeight="18.75"/>
  <cols>
    <col min="1" max="1" width="7.28515625" style="1" customWidth="1"/>
    <col min="2" max="2" width="27.42578125" style="1" customWidth="1"/>
    <col min="3" max="3" width="18.42578125" style="2" customWidth="1"/>
    <col min="4" max="4" width="21.42578125" style="1" customWidth="1"/>
    <col min="5" max="5" width="16.28515625" style="1" customWidth="1"/>
    <col min="6" max="6" width="24.42578125" style="1" bestFit="1" customWidth="1"/>
    <col min="7" max="7" width="48.140625" style="9" customWidth="1"/>
    <col min="8" max="8" width="46" style="9" customWidth="1"/>
    <col min="9" max="9" width="19" style="1" customWidth="1"/>
    <col min="10" max="10" width="19.28515625" style="1" bestFit="1" customWidth="1"/>
    <col min="11" max="11" width="26.140625" style="1" customWidth="1"/>
    <col min="12" max="12" width="38.42578125" style="2" hidden="1" customWidth="1"/>
    <col min="13" max="13" width="25.28515625" style="3" customWidth="1"/>
    <col min="14" max="14" width="44" style="3" customWidth="1"/>
    <col min="15" max="15" width="34.5703125" style="3" customWidth="1"/>
    <col min="16" max="16384" width="25.5703125" style="3"/>
  </cols>
  <sheetData>
    <row r="1" spans="1:15" ht="36" customHeight="1">
      <c r="B1" s="10"/>
      <c r="C1" s="3657"/>
      <c r="D1" s="3657"/>
      <c r="E1" s="3657"/>
      <c r="F1" s="3657"/>
      <c r="G1" s="3657"/>
      <c r="H1" s="3657"/>
    </row>
    <row r="2" spans="1:15" ht="41.25" customHeight="1">
      <c r="A2" s="3672" t="s">
        <v>2052</v>
      </c>
      <c r="B2" s="3673"/>
      <c r="C2" s="3673"/>
      <c r="D2" s="3673"/>
      <c r="E2" s="3673"/>
      <c r="F2" s="3673"/>
      <c r="G2" s="3673"/>
      <c r="H2" s="3674"/>
      <c r="I2" s="46"/>
      <c r="J2" s="46"/>
      <c r="K2" s="47"/>
      <c r="L2" s="46"/>
      <c r="M2" s="4"/>
    </row>
    <row r="3" spans="1:15" ht="24" customHeight="1">
      <c r="A3" s="41"/>
      <c r="B3" s="48"/>
      <c r="C3" s="49">
        <f>SUBTOTAL(9,C5:C10015)</f>
        <v>160818</v>
      </c>
      <c r="D3" s="50"/>
      <c r="E3" s="50"/>
      <c r="F3" s="48"/>
      <c r="G3" s="51"/>
      <c r="H3" s="3675">
        <f ca="1">TODAY()</f>
        <v>45960</v>
      </c>
      <c r="I3" s="3675"/>
      <c r="J3" s="1198"/>
      <c r="K3" s="1198"/>
      <c r="L3" s="52"/>
    </row>
    <row r="4" spans="1:15" s="7" customFormat="1" ht="56.25">
      <c r="A4" s="53" t="s">
        <v>1</v>
      </c>
      <c r="B4" s="53" t="s">
        <v>1384</v>
      </c>
      <c r="C4" s="54" t="s">
        <v>3</v>
      </c>
      <c r="D4" s="53" t="s">
        <v>4</v>
      </c>
      <c r="E4" s="53" t="s">
        <v>8</v>
      </c>
      <c r="F4" s="53" t="s">
        <v>9</v>
      </c>
      <c r="G4" s="55" t="s">
        <v>10</v>
      </c>
      <c r="H4" s="53" t="s">
        <v>11</v>
      </c>
      <c r="I4" s="53" t="s">
        <v>5</v>
      </c>
      <c r="J4" s="53" t="s">
        <v>1053</v>
      </c>
      <c r="K4" s="53" t="s">
        <v>1215</v>
      </c>
      <c r="L4" s="54" t="s">
        <v>1898</v>
      </c>
      <c r="M4" s="53" t="s">
        <v>341</v>
      </c>
      <c r="N4" s="40">
        <f>SUM(N5:N9)</f>
        <v>160818</v>
      </c>
    </row>
    <row r="5" spans="1:15" ht="37.5">
      <c r="A5" s="17">
        <v>1</v>
      </c>
      <c r="B5" s="17" t="s">
        <v>1036</v>
      </c>
      <c r="C5" s="24">
        <v>3250</v>
      </c>
      <c r="D5" s="23" t="s">
        <v>2049</v>
      </c>
      <c r="E5" s="17" t="s">
        <v>19</v>
      </c>
      <c r="F5" s="17" t="s">
        <v>172</v>
      </c>
      <c r="G5" s="34" t="s">
        <v>2053</v>
      </c>
      <c r="H5" s="22"/>
      <c r="I5" s="20" t="s">
        <v>43</v>
      </c>
      <c r="J5" s="20" t="s">
        <v>89</v>
      </c>
      <c r="K5" s="23" t="s">
        <v>417</v>
      </c>
      <c r="L5" s="37">
        <f t="shared" ref="L5:L44" si="0">C5</f>
        <v>3250</v>
      </c>
      <c r="M5" s="41" t="s">
        <v>84</v>
      </c>
      <c r="N5" s="37">
        <f>SUMIF($I:$I,M5,L:L)</f>
        <v>44280</v>
      </c>
      <c r="O5" s="4"/>
    </row>
    <row r="6" spans="1:15" ht="75">
      <c r="A6" s="17">
        <v>2</v>
      </c>
      <c r="B6" s="17" t="s">
        <v>2054</v>
      </c>
      <c r="C6" s="24">
        <v>4300</v>
      </c>
      <c r="D6" s="23" t="s">
        <v>2049</v>
      </c>
      <c r="E6" s="17" t="s">
        <v>19</v>
      </c>
      <c r="F6" s="17" t="s">
        <v>172</v>
      </c>
      <c r="G6" s="34" t="s">
        <v>2055</v>
      </c>
      <c r="H6" s="22"/>
      <c r="I6" s="20" t="s">
        <v>89</v>
      </c>
      <c r="J6" s="20" t="s">
        <v>89</v>
      </c>
      <c r="K6" s="23" t="s">
        <v>417</v>
      </c>
      <c r="L6" s="37">
        <f t="shared" si="0"/>
        <v>4300</v>
      </c>
      <c r="M6" s="41" t="s">
        <v>89</v>
      </c>
      <c r="N6" s="37">
        <f>SUMIF($I:$I,M6,L:L)</f>
        <v>33665</v>
      </c>
    </row>
    <row r="7" spans="1:15" ht="75">
      <c r="A7" s="17">
        <v>3</v>
      </c>
      <c r="B7" s="17" t="s">
        <v>1681</v>
      </c>
      <c r="C7" s="24">
        <v>3650</v>
      </c>
      <c r="D7" s="23" t="s">
        <v>2049</v>
      </c>
      <c r="E7" s="17" t="s">
        <v>19</v>
      </c>
      <c r="F7" s="17" t="s">
        <v>123</v>
      </c>
      <c r="G7" s="34" t="s">
        <v>2056</v>
      </c>
      <c r="H7" s="22"/>
      <c r="I7" s="20" t="s">
        <v>84</v>
      </c>
      <c r="J7" s="20" t="s">
        <v>84</v>
      </c>
      <c r="K7" s="23" t="s">
        <v>417</v>
      </c>
      <c r="L7" s="37">
        <f t="shared" si="0"/>
        <v>3650</v>
      </c>
      <c r="M7" s="38" t="s">
        <v>54</v>
      </c>
      <c r="N7" s="37">
        <f>SUMIF($I:$I,M7,L:L)</f>
        <v>16470</v>
      </c>
    </row>
    <row r="8" spans="1:15" ht="37.5">
      <c r="A8" s="17">
        <v>4</v>
      </c>
      <c r="B8" s="17" t="s">
        <v>552</v>
      </c>
      <c r="C8" s="24">
        <v>3265</v>
      </c>
      <c r="D8" s="23" t="s">
        <v>2057</v>
      </c>
      <c r="E8" s="17" t="s">
        <v>19</v>
      </c>
      <c r="F8" s="17" t="s">
        <v>123</v>
      </c>
      <c r="G8" s="34" t="s">
        <v>2058</v>
      </c>
      <c r="H8" s="36"/>
      <c r="I8" s="17" t="s">
        <v>89</v>
      </c>
      <c r="J8" s="17" t="s">
        <v>89</v>
      </c>
      <c r="K8" s="23" t="s">
        <v>417</v>
      </c>
      <c r="L8" s="37">
        <f t="shared" si="0"/>
        <v>3265</v>
      </c>
      <c r="M8" s="41" t="s">
        <v>16</v>
      </c>
      <c r="N8" s="37">
        <f>SUMIF($I:$I,M8,L:L)</f>
        <v>35613</v>
      </c>
    </row>
    <row r="9" spans="1:15" ht="75">
      <c r="A9" s="17">
        <v>5</v>
      </c>
      <c r="B9" s="17" t="s">
        <v>1007</v>
      </c>
      <c r="C9" s="20">
        <v>3550</v>
      </c>
      <c r="D9" s="23" t="s">
        <v>2059</v>
      </c>
      <c r="E9" s="17" t="s">
        <v>19</v>
      </c>
      <c r="F9" s="17" t="s">
        <v>1119</v>
      </c>
      <c r="G9" s="21" t="s">
        <v>2060</v>
      </c>
      <c r="H9" s="22"/>
      <c r="I9" s="17" t="s">
        <v>43</v>
      </c>
      <c r="J9" s="17" t="s">
        <v>483</v>
      </c>
      <c r="K9" s="23" t="s">
        <v>417</v>
      </c>
      <c r="L9" s="37">
        <f t="shared" si="0"/>
        <v>3550</v>
      </c>
      <c r="M9" s="38" t="s">
        <v>43</v>
      </c>
      <c r="N9" s="37">
        <f>SUMIF($I:$I,M9,L:L)</f>
        <v>30790</v>
      </c>
    </row>
    <row r="10" spans="1:15" ht="37.5">
      <c r="A10" s="17">
        <v>6</v>
      </c>
      <c r="B10" s="17" t="s">
        <v>2061</v>
      </c>
      <c r="C10" s="20">
        <v>1950</v>
      </c>
      <c r="D10" s="17" t="s">
        <v>2062</v>
      </c>
      <c r="E10" s="17" t="s">
        <v>19</v>
      </c>
      <c r="F10" s="17" t="s">
        <v>172</v>
      </c>
      <c r="G10" s="21" t="s">
        <v>2063</v>
      </c>
      <c r="H10" s="22" t="s">
        <v>2064</v>
      </c>
      <c r="I10" s="17" t="s">
        <v>16</v>
      </c>
      <c r="J10" s="17" t="s">
        <v>16</v>
      </c>
      <c r="K10" s="23" t="s">
        <v>417</v>
      </c>
      <c r="L10" s="37">
        <f t="shared" si="0"/>
        <v>1950</v>
      </c>
      <c r="M10" s="38"/>
      <c r="N10" s="37"/>
    </row>
    <row r="11" spans="1:15" ht="37.5">
      <c r="A11" s="17">
        <v>7</v>
      </c>
      <c r="B11" s="17" t="s">
        <v>2065</v>
      </c>
      <c r="C11" s="20">
        <v>1860</v>
      </c>
      <c r="D11" s="17" t="s">
        <v>2062</v>
      </c>
      <c r="E11" s="17" t="s">
        <v>19</v>
      </c>
      <c r="F11" s="17" t="s">
        <v>172</v>
      </c>
      <c r="G11" s="21" t="s">
        <v>2066</v>
      </c>
      <c r="H11" s="22" t="s">
        <v>2067</v>
      </c>
      <c r="I11" s="60" t="s">
        <v>54</v>
      </c>
      <c r="J11" s="17" t="s">
        <v>483</v>
      </c>
      <c r="K11" s="23" t="s">
        <v>417</v>
      </c>
      <c r="L11" s="37">
        <f t="shared" si="0"/>
        <v>1860</v>
      </c>
      <c r="M11" s="38"/>
      <c r="N11" s="37"/>
    </row>
    <row r="12" spans="1:15">
      <c r="A12" s="17">
        <v>8</v>
      </c>
      <c r="B12" s="17" t="s">
        <v>803</v>
      </c>
      <c r="C12" s="20">
        <v>3000</v>
      </c>
      <c r="D12" s="17" t="s">
        <v>2068</v>
      </c>
      <c r="E12" s="17" t="s">
        <v>19</v>
      </c>
      <c r="F12" s="17" t="s">
        <v>172</v>
      </c>
      <c r="G12" s="21" t="s">
        <v>2069</v>
      </c>
      <c r="H12" s="22" t="s">
        <v>2064</v>
      </c>
      <c r="I12" s="17" t="s">
        <v>89</v>
      </c>
      <c r="J12" s="17" t="s">
        <v>89</v>
      </c>
      <c r="K12" s="23" t="s">
        <v>417</v>
      </c>
      <c r="L12" s="37">
        <f t="shared" si="0"/>
        <v>3000</v>
      </c>
      <c r="M12" s="38"/>
      <c r="N12" s="37"/>
    </row>
    <row r="13" spans="1:15" ht="37.5">
      <c r="A13" s="17">
        <v>9</v>
      </c>
      <c r="B13" s="17" t="s">
        <v>1774</v>
      </c>
      <c r="C13" s="20">
        <v>2630</v>
      </c>
      <c r="D13" s="17" t="s">
        <v>2068</v>
      </c>
      <c r="E13" s="17" t="s">
        <v>19</v>
      </c>
      <c r="F13" s="17" t="s">
        <v>172</v>
      </c>
      <c r="G13" s="21" t="s">
        <v>2070</v>
      </c>
      <c r="H13" s="22" t="s">
        <v>2071</v>
      </c>
      <c r="I13" s="17" t="s">
        <v>43</v>
      </c>
      <c r="J13" s="17" t="s">
        <v>89</v>
      </c>
      <c r="K13" s="23" t="s">
        <v>417</v>
      </c>
      <c r="L13" s="37">
        <f t="shared" si="0"/>
        <v>2630</v>
      </c>
      <c r="M13" s="38"/>
      <c r="N13" s="37"/>
    </row>
    <row r="14" spans="1:15" ht="131.25">
      <c r="A14" s="17">
        <v>10</v>
      </c>
      <c r="B14" s="17" t="s">
        <v>1917</v>
      </c>
      <c r="C14" s="20">
        <v>4000</v>
      </c>
      <c r="D14" s="17" t="s">
        <v>2072</v>
      </c>
      <c r="E14" s="17" t="s">
        <v>19</v>
      </c>
      <c r="F14" s="17" t="s">
        <v>172</v>
      </c>
      <c r="G14" s="21" t="s">
        <v>2073</v>
      </c>
      <c r="H14" s="22" t="s">
        <v>2074</v>
      </c>
      <c r="I14" s="17" t="s">
        <v>84</v>
      </c>
      <c r="J14" s="17" t="s">
        <v>84</v>
      </c>
      <c r="K14" s="23" t="s">
        <v>417</v>
      </c>
      <c r="L14" s="37">
        <f t="shared" si="0"/>
        <v>4000</v>
      </c>
      <c r="M14" s="38"/>
      <c r="N14" s="37"/>
    </row>
    <row r="15" spans="1:15" ht="93.75">
      <c r="A15" s="17">
        <v>11</v>
      </c>
      <c r="B15" s="17" t="s">
        <v>2075</v>
      </c>
      <c r="C15" s="24">
        <v>2970</v>
      </c>
      <c r="D15" s="17" t="s">
        <v>2072</v>
      </c>
      <c r="E15" s="17" t="s">
        <v>19</v>
      </c>
      <c r="F15" s="17" t="s">
        <v>172</v>
      </c>
      <c r="G15" s="21" t="s">
        <v>2076</v>
      </c>
      <c r="H15" s="21" t="s">
        <v>2077</v>
      </c>
      <c r="I15" s="17" t="s">
        <v>84</v>
      </c>
      <c r="J15" s="17" t="s">
        <v>84</v>
      </c>
      <c r="K15" s="17" t="s">
        <v>417</v>
      </c>
      <c r="L15" s="37">
        <f t="shared" si="0"/>
        <v>2970</v>
      </c>
      <c r="M15" s="39"/>
      <c r="N15" s="39"/>
    </row>
    <row r="16" spans="1:15" ht="150">
      <c r="A16" s="17">
        <v>12</v>
      </c>
      <c r="B16" s="17" t="s">
        <v>1558</v>
      </c>
      <c r="C16" s="24">
        <v>3650</v>
      </c>
      <c r="D16" s="17" t="s">
        <v>2072</v>
      </c>
      <c r="E16" s="17" t="s">
        <v>19</v>
      </c>
      <c r="F16" s="17" t="s">
        <v>172</v>
      </c>
      <c r="G16" s="21" t="s">
        <v>2078</v>
      </c>
      <c r="H16" s="21" t="s">
        <v>2079</v>
      </c>
      <c r="I16" s="17" t="s">
        <v>89</v>
      </c>
      <c r="J16" s="17" t="s">
        <v>89</v>
      </c>
      <c r="K16" s="17" t="s">
        <v>417</v>
      </c>
      <c r="L16" s="37">
        <f t="shared" si="0"/>
        <v>3650</v>
      </c>
      <c r="M16" s="39"/>
      <c r="N16" s="39"/>
    </row>
    <row r="17" spans="1:14">
      <c r="A17" s="17">
        <v>13</v>
      </c>
      <c r="B17" s="17" t="s">
        <v>1583</v>
      </c>
      <c r="C17" s="24">
        <v>2450</v>
      </c>
      <c r="D17" s="17" t="s">
        <v>2080</v>
      </c>
      <c r="E17" s="17" t="s">
        <v>19</v>
      </c>
      <c r="F17" s="17" t="s">
        <v>172</v>
      </c>
      <c r="G17" s="36" t="s">
        <v>2081</v>
      </c>
      <c r="H17" s="36"/>
      <c r="I17" s="17" t="s">
        <v>43</v>
      </c>
      <c r="J17" s="17" t="s">
        <v>483</v>
      </c>
      <c r="K17" s="17" t="s">
        <v>417</v>
      </c>
      <c r="L17" s="37">
        <f t="shared" si="0"/>
        <v>2450</v>
      </c>
      <c r="M17" s="39"/>
      <c r="N17" s="39"/>
    </row>
    <row r="18" spans="1:14" ht="112.5">
      <c r="A18" s="17">
        <v>14</v>
      </c>
      <c r="B18" s="17" t="s">
        <v>2082</v>
      </c>
      <c r="C18" s="24">
        <v>3350</v>
      </c>
      <c r="D18" s="17" t="s">
        <v>2080</v>
      </c>
      <c r="E18" s="17" t="s">
        <v>19</v>
      </c>
      <c r="F18" s="17" t="s">
        <v>101</v>
      </c>
      <c r="G18" s="21" t="s">
        <v>2083</v>
      </c>
      <c r="H18" s="21" t="s">
        <v>2084</v>
      </c>
      <c r="I18" s="17" t="s">
        <v>43</v>
      </c>
      <c r="J18" s="17" t="s">
        <v>483</v>
      </c>
      <c r="K18" s="17" t="s">
        <v>417</v>
      </c>
      <c r="L18" s="37">
        <f t="shared" si="0"/>
        <v>3350</v>
      </c>
      <c r="M18" s="39"/>
      <c r="N18" s="39"/>
    </row>
    <row r="19" spans="1:14" ht="37.5">
      <c r="A19" s="17">
        <v>15</v>
      </c>
      <c r="B19" s="17" t="s">
        <v>543</v>
      </c>
      <c r="C19" s="24">
        <v>3000</v>
      </c>
      <c r="D19" s="17" t="s">
        <v>2085</v>
      </c>
      <c r="E19" s="17" t="s">
        <v>19</v>
      </c>
      <c r="F19" s="17" t="s">
        <v>253</v>
      </c>
      <c r="G19" s="36" t="s">
        <v>2086</v>
      </c>
      <c r="H19" s="21" t="s">
        <v>2087</v>
      </c>
      <c r="I19" s="17" t="s">
        <v>84</v>
      </c>
      <c r="J19" s="17" t="s">
        <v>84</v>
      </c>
      <c r="K19" s="17" t="s">
        <v>1528</v>
      </c>
      <c r="L19" s="37">
        <f t="shared" si="0"/>
        <v>3000</v>
      </c>
      <c r="M19" s="39"/>
      <c r="N19" s="39"/>
    </row>
    <row r="20" spans="1:14">
      <c r="A20" s="17">
        <v>16</v>
      </c>
      <c r="B20" s="17" t="s">
        <v>1953</v>
      </c>
      <c r="C20" s="24">
        <v>2900</v>
      </c>
      <c r="D20" s="17" t="s">
        <v>2085</v>
      </c>
      <c r="E20" s="17" t="s">
        <v>19</v>
      </c>
      <c r="F20" s="17" t="s">
        <v>172</v>
      </c>
      <c r="G20" s="21" t="s">
        <v>2088</v>
      </c>
      <c r="H20" s="36"/>
      <c r="I20" s="17" t="s">
        <v>84</v>
      </c>
      <c r="J20" s="17" t="s">
        <v>84</v>
      </c>
      <c r="K20" s="17" t="s">
        <v>417</v>
      </c>
      <c r="L20" s="37">
        <f t="shared" si="0"/>
        <v>2900</v>
      </c>
      <c r="M20" s="39"/>
      <c r="N20" s="39"/>
    </row>
    <row r="21" spans="1:14" ht="75">
      <c r="A21" s="17">
        <v>17</v>
      </c>
      <c r="B21" s="17" t="s">
        <v>914</v>
      </c>
      <c r="C21" s="24">
        <v>3550</v>
      </c>
      <c r="D21" s="17" t="s">
        <v>2085</v>
      </c>
      <c r="E21" s="17" t="s">
        <v>19</v>
      </c>
      <c r="F21" s="17" t="s">
        <v>172</v>
      </c>
      <c r="G21" s="21" t="s">
        <v>2089</v>
      </c>
      <c r="H21" s="36"/>
      <c r="I21" s="17" t="s">
        <v>54</v>
      </c>
      <c r="J21" s="17" t="s">
        <v>16</v>
      </c>
      <c r="K21" s="17" t="s">
        <v>417</v>
      </c>
      <c r="L21" s="37">
        <f t="shared" si="0"/>
        <v>3550</v>
      </c>
      <c r="M21" s="39"/>
      <c r="N21" s="39"/>
    </row>
    <row r="22" spans="1:14" ht="150">
      <c r="A22" s="17">
        <v>18</v>
      </c>
      <c r="B22" s="17" t="s">
        <v>2090</v>
      </c>
      <c r="C22" s="24">
        <v>5543</v>
      </c>
      <c r="D22" s="17" t="s">
        <v>2091</v>
      </c>
      <c r="E22" s="17" t="s">
        <v>19</v>
      </c>
      <c r="F22" s="17" t="s">
        <v>172</v>
      </c>
      <c r="G22" s="21" t="s">
        <v>2092</v>
      </c>
      <c r="H22" s="26" t="s">
        <v>2093</v>
      </c>
      <c r="I22" s="17" t="s">
        <v>16</v>
      </c>
      <c r="J22" s="17" t="s">
        <v>16</v>
      </c>
      <c r="K22" s="17" t="s">
        <v>417</v>
      </c>
      <c r="L22" s="37">
        <f t="shared" si="0"/>
        <v>5543</v>
      </c>
      <c r="M22" s="39"/>
      <c r="N22" s="39"/>
    </row>
    <row r="23" spans="1:14" ht="56.25">
      <c r="A23" s="17">
        <v>19</v>
      </c>
      <c r="B23" s="17" t="s">
        <v>270</v>
      </c>
      <c r="C23" s="24">
        <v>3950</v>
      </c>
      <c r="D23" s="17" t="s">
        <v>2094</v>
      </c>
      <c r="E23" s="17" t="s">
        <v>19</v>
      </c>
      <c r="F23" s="17" t="s">
        <v>2095</v>
      </c>
      <c r="G23" s="21" t="s">
        <v>2096</v>
      </c>
      <c r="H23" s="21" t="s">
        <v>2097</v>
      </c>
      <c r="I23" s="17" t="s">
        <v>84</v>
      </c>
      <c r="J23" s="17" t="s">
        <v>84</v>
      </c>
      <c r="K23" s="17" t="s">
        <v>2098</v>
      </c>
      <c r="L23" s="37">
        <f t="shared" si="0"/>
        <v>3950</v>
      </c>
      <c r="M23" s="39"/>
      <c r="N23" s="39"/>
    </row>
    <row r="24" spans="1:14" ht="37.5">
      <c r="A24" s="17">
        <v>20</v>
      </c>
      <c r="B24" s="17" t="s">
        <v>2099</v>
      </c>
      <c r="C24" s="24">
        <v>3060</v>
      </c>
      <c r="D24" s="17" t="s">
        <v>2100</v>
      </c>
      <c r="E24" s="17" t="s">
        <v>19</v>
      </c>
      <c r="F24" s="17" t="s">
        <v>421</v>
      </c>
      <c r="G24" s="21" t="s">
        <v>2101</v>
      </c>
      <c r="H24" s="21" t="s">
        <v>2102</v>
      </c>
      <c r="I24" s="17" t="s">
        <v>84</v>
      </c>
      <c r="J24" s="17" t="s">
        <v>84</v>
      </c>
      <c r="K24" s="17" t="s">
        <v>2019</v>
      </c>
      <c r="L24" s="37">
        <f t="shared" si="0"/>
        <v>3060</v>
      </c>
      <c r="M24" s="39"/>
      <c r="N24" s="39"/>
    </row>
    <row r="25" spans="1:14">
      <c r="A25" s="17">
        <v>21</v>
      </c>
      <c r="B25" s="17" t="s">
        <v>775</v>
      </c>
      <c r="C25" s="24">
        <v>2950</v>
      </c>
      <c r="D25" s="17" t="s">
        <v>2100</v>
      </c>
      <c r="E25" s="17" t="s">
        <v>19</v>
      </c>
      <c r="F25" s="17" t="s">
        <v>421</v>
      </c>
      <c r="G25" s="36" t="s">
        <v>2103</v>
      </c>
      <c r="H25" s="36"/>
      <c r="I25" s="17" t="s">
        <v>54</v>
      </c>
      <c r="J25" s="17" t="s">
        <v>89</v>
      </c>
      <c r="K25" s="17" t="s">
        <v>2019</v>
      </c>
      <c r="L25" s="37">
        <f t="shared" si="0"/>
        <v>2950</v>
      </c>
      <c r="M25" s="39"/>
      <c r="N25" s="39"/>
    </row>
    <row r="26" spans="1:14" ht="37.5">
      <c r="A26" s="17">
        <v>22</v>
      </c>
      <c r="B26" s="17" t="s">
        <v>1777</v>
      </c>
      <c r="C26" s="24">
        <v>1800</v>
      </c>
      <c r="D26" s="17" t="s">
        <v>2104</v>
      </c>
      <c r="E26" s="17" t="s">
        <v>19</v>
      </c>
      <c r="F26" s="17" t="s">
        <v>421</v>
      </c>
      <c r="G26" s="21" t="s">
        <v>2105</v>
      </c>
      <c r="H26" s="21" t="s">
        <v>2106</v>
      </c>
      <c r="I26" s="17" t="s">
        <v>16</v>
      </c>
      <c r="J26" s="17" t="s">
        <v>16</v>
      </c>
      <c r="K26" s="17" t="s">
        <v>2019</v>
      </c>
      <c r="L26" s="37">
        <f t="shared" si="0"/>
        <v>1800</v>
      </c>
    </row>
    <row r="27" spans="1:14" ht="56.25">
      <c r="A27" s="17">
        <v>23</v>
      </c>
      <c r="B27" s="17" t="s">
        <v>2107</v>
      </c>
      <c r="C27" s="24">
        <v>3700</v>
      </c>
      <c r="D27" s="17" t="s">
        <v>2100</v>
      </c>
      <c r="E27" s="17" t="s">
        <v>19</v>
      </c>
      <c r="F27" s="17" t="s">
        <v>172</v>
      </c>
      <c r="G27" s="21" t="s">
        <v>2108</v>
      </c>
      <c r="H27" s="26" t="s">
        <v>2109</v>
      </c>
      <c r="I27" s="17" t="s">
        <v>43</v>
      </c>
      <c r="J27" s="17" t="s">
        <v>483</v>
      </c>
      <c r="K27" s="17" t="s">
        <v>2098</v>
      </c>
      <c r="L27" s="37">
        <f t="shared" si="0"/>
        <v>3700</v>
      </c>
    </row>
    <row r="28" spans="1:14" ht="112.5">
      <c r="A28" s="17">
        <v>24</v>
      </c>
      <c r="B28" s="17" t="s">
        <v>2110</v>
      </c>
      <c r="C28" s="24">
        <v>4250</v>
      </c>
      <c r="D28" s="17" t="s">
        <v>2104</v>
      </c>
      <c r="E28" s="17" t="s">
        <v>19</v>
      </c>
      <c r="F28" s="17" t="s">
        <v>172</v>
      </c>
      <c r="G28" s="21" t="s">
        <v>2111</v>
      </c>
      <c r="H28" s="21" t="s">
        <v>2112</v>
      </c>
      <c r="I28" s="17" t="s">
        <v>89</v>
      </c>
      <c r="J28" s="17" t="s">
        <v>89</v>
      </c>
      <c r="K28" s="17" t="s">
        <v>2113</v>
      </c>
      <c r="L28" s="37">
        <f t="shared" si="0"/>
        <v>4250</v>
      </c>
    </row>
    <row r="29" spans="1:14" ht="56.25">
      <c r="A29" s="17">
        <v>25</v>
      </c>
      <c r="B29" s="17" t="s">
        <v>636</v>
      </c>
      <c r="C29" s="24">
        <v>3000</v>
      </c>
      <c r="D29" s="17" t="s">
        <v>2100</v>
      </c>
      <c r="E29" s="17" t="s">
        <v>19</v>
      </c>
      <c r="F29" s="17" t="s">
        <v>172</v>
      </c>
      <c r="G29" s="21" t="s">
        <v>2114</v>
      </c>
      <c r="H29" s="21" t="s">
        <v>2115</v>
      </c>
      <c r="I29" s="17" t="s">
        <v>84</v>
      </c>
      <c r="J29" s="17" t="s">
        <v>84</v>
      </c>
      <c r="K29" s="17" t="s">
        <v>2116</v>
      </c>
      <c r="L29" s="37">
        <f t="shared" si="0"/>
        <v>3000</v>
      </c>
    </row>
    <row r="30" spans="1:14" ht="93.75">
      <c r="A30" s="17">
        <v>26</v>
      </c>
      <c r="B30" s="17" t="s">
        <v>1150</v>
      </c>
      <c r="C30" s="24">
        <v>5050</v>
      </c>
      <c r="D30" s="17" t="s">
        <v>2104</v>
      </c>
      <c r="E30" s="17" t="s">
        <v>19</v>
      </c>
      <c r="F30" s="17" t="s">
        <v>172</v>
      </c>
      <c r="G30" s="21" t="s">
        <v>2117</v>
      </c>
      <c r="H30" s="22" t="s">
        <v>2118</v>
      </c>
      <c r="I30" s="17" t="s">
        <v>16</v>
      </c>
      <c r="J30" s="17" t="s">
        <v>16</v>
      </c>
      <c r="K30" s="17" t="s">
        <v>2113</v>
      </c>
      <c r="L30" s="37">
        <f t="shared" si="0"/>
        <v>5050</v>
      </c>
    </row>
    <row r="31" spans="1:14">
      <c r="A31" s="17">
        <v>27</v>
      </c>
      <c r="B31" s="17" t="s">
        <v>543</v>
      </c>
      <c r="C31" s="24">
        <v>2960</v>
      </c>
      <c r="D31" s="17" t="s">
        <v>2119</v>
      </c>
      <c r="E31" s="17" t="s">
        <v>19</v>
      </c>
      <c r="F31" s="17" t="s">
        <v>172</v>
      </c>
      <c r="G31" s="21" t="s">
        <v>2120</v>
      </c>
      <c r="H31" s="3676" t="s">
        <v>2121</v>
      </c>
      <c r="I31" s="17" t="s">
        <v>54</v>
      </c>
      <c r="J31" s="17" t="s">
        <v>483</v>
      </c>
      <c r="K31" s="17" t="s">
        <v>417</v>
      </c>
      <c r="L31" s="37">
        <f t="shared" si="0"/>
        <v>2960</v>
      </c>
    </row>
    <row r="32" spans="1:14">
      <c r="A32" s="17">
        <v>28</v>
      </c>
      <c r="B32" s="17" t="s">
        <v>2122</v>
      </c>
      <c r="C32" s="24">
        <v>2450</v>
      </c>
      <c r="D32" s="17" t="s">
        <v>2119</v>
      </c>
      <c r="E32" s="17" t="s">
        <v>19</v>
      </c>
      <c r="F32" s="17" t="s">
        <v>172</v>
      </c>
      <c r="G32" s="21" t="s">
        <v>2123</v>
      </c>
      <c r="H32" s="3677"/>
      <c r="I32" s="17" t="s">
        <v>43</v>
      </c>
      <c r="J32" s="17" t="s">
        <v>483</v>
      </c>
      <c r="K32" s="17" t="s">
        <v>417</v>
      </c>
      <c r="L32" s="37">
        <f t="shared" si="0"/>
        <v>2450</v>
      </c>
    </row>
    <row r="33" spans="1:12" ht="131.25">
      <c r="A33" s="17">
        <v>29</v>
      </c>
      <c r="B33" s="17" t="s">
        <v>537</v>
      </c>
      <c r="C33" s="24">
        <v>4300</v>
      </c>
      <c r="D33" s="17" t="s">
        <v>2124</v>
      </c>
      <c r="E33" s="17" t="s">
        <v>19</v>
      </c>
      <c r="F33" s="17" t="s">
        <v>1194</v>
      </c>
      <c r="G33" s="21" t="s">
        <v>2125</v>
      </c>
      <c r="H33" s="42"/>
      <c r="I33" s="17" t="s">
        <v>16</v>
      </c>
      <c r="J33" s="17" t="s">
        <v>16</v>
      </c>
      <c r="K33" s="17" t="s">
        <v>417</v>
      </c>
      <c r="L33" s="37">
        <f t="shared" si="0"/>
        <v>4300</v>
      </c>
    </row>
    <row r="34" spans="1:12" ht="93.75">
      <c r="A34" s="17">
        <v>30</v>
      </c>
      <c r="B34" s="17" t="s">
        <v>1072</v>
      </c>
      <c r="C34" s="24">
        <v>4000</v>
      </c>
      <c r="D34" s="17" t="s">
        <v>2124</v>
      </c>
      <c r="E34" s="17" t="s">
        <v>19</v>
      </c>
      <c r="F34" s="17" t="s">
        <v>172</v>
      </c>
      <c r="G34" s="21" t="s">
        <v>2126</v>
      </c>
      <c r="H34" s="42"/>
      <c r="I34" s="17" t="s">
        <v>89</v>
      </c>
      <c r="J34" s="17" t="s">
        <v>89</v>
      </c>
      <c r="K34" s="17" t="s">
        <v>417</v>
      </c>
      <c r="L34" s="37">
        <f t="shared" si="0"/>
        <v>4000</v>
      </c>
    </row>
    <row r="35" spans="1:12" ht="56.25">
      <c r="A35" s="17">
        <v>31</v>
      </c>
      <c r="B35" s="17" t="s">
        <v>1196</v>
      </c>
      <c r="C35" s="24">
        <v>3120</v>
      </c>
      <c r="D35" s="17" t="s">
        <v>2127</v>
      </c>
      <c r="E35" s="17" t="s">
        <v>19</v>
      </c>
      <c r="F35" s="17" t="s">
        <v>172</v>
      </c>
      <c r="G35" s="21" t="s">
        <v>2128</v>
      </c>
      <c r="H35" s="36"/>
      <c r="I35" s="17" t="s">
        <v>16</v>
      </c>
      <c r="J35" s="17" t="s">
        <v>16</v>
      </c>
      <c r="K35" s="17" t="s">
        <v>417</v>
      </c>
      <c r="L35" s="37">
        <f t="shared" si="0"/>
        <v>3120</v>
      </c>
    </row>
    <row r="36" spans="1:12" ht="93.75">
      <c r="A36" s="17">
        <v>32</v>
      </c>
      <c r="B36" s="17" t="s">
        <v>2129</v>
      </c>
      <c r="C36" s="24">
        <v>3550</v>
      </c>
      <c r="D36" s="17" t="s">
        <v>2130</v>
      </c>
      <c r="E36" s="17" t="s">
        <v>19</v>
      </c>
      <c r="F36" s="17" t="s">
        <v>172</v>
      </c>
      <c r="G36" s="43" t="s">
        <v>2131</v>
      </c>
      <c r="H36" s="21" t="s">
        <v>2132</v>
      </c>
      <c r="I36" s="17" t="s">
        <v>84</v>
      </c>
      <c r="J36" s="17" t="s">
        <v>84</v>
      </c>
      <c r="K36" s="17" t="s">
        <v>2133</v>
      </c>
      <c r="L36" s="37">
        <f t="shared" si="0"/>
        <v>3550</v>
      </c>
    </row>
    <row r="37" spans="1:12" ht="37.5">
      <c r="A37" s="17">
        <v>33</v>
      </c>
      <c r="B37" s="17" t="s">
        <v>1224</v>
      </c>
      <c r="C37" s="24">
        <v>2200</v>
      </c>
      <c r="D37" s="17" t="s">
        <v>2134</v>
      </c>
      <c r="E37" s="17" t="s">
        <v>19</v>
      </c>
      <c r="F37" s="17" t="s">
        <v>172</v>
      </c>
      <c r="G37" s="21" t="s">
        <v>2135</v>
      </c>
      <c r="H37" s="21" t="s">
        <v>2136</v>
      </c>
      <c r="I37" s="17" t="s">
        <v>225</v>
      </c>
      <c r="J37" s="17" t="s">
        <v>483</v>
      </c>
      <c r="K37" s="17" t="s">
        <v>2137</v>
      </c>
      <c r="L37" s="37">
        <f t="shared" si="0"/>
        <v>2200</v>
      </c>
    </row>
    <row r="38" spans="1:12" ht="75">
      <c r="A38" s="17">
        <v>34</v>
      </c>
      <c r="B38" s="17" t="s">
        <v>1774</v>
      </c>
      <c r="C38" s="24">
        <v>2630</v>
      </c>
      <c r="D38" s="17" t="s">
        <v>2134</v>
      </c>
      <c r="E38" s="17" t="s">
        <v>19</v>
      </c>
      <c r="F38" s="17" t="s">
        <v>172</v>
      </c>
      <c r="G38" s="21" t="s">
        <v>2135</v>
      </c>
      <c r="H38" s="21" t="s">
        <v>2138</v>
      </c>
      <c r="I38" s="17" t="s">
        <v>1625</v>
      </c>
      <c r="J38" s="17" t="s">
        <v>483</v>
      </c>
      <c r="K38" s="17" t="s">
        <v>2137</v>
      </c>
      <c r="L38" s="37">
        <f t="shared" si="0"/>
        <v>2630</v>
      </c>
    </row>
    <row r="39" spans="1:12" ht="56.25">
      <c r="A39" s="72">
        <v>35</v>
      </c>
      <c r="B39" s="72" t="s">
        <v>2139</v>
      </c>
      <c r="C39" s="73">
        <v>3350</v>
      </c>
      <c r="D39" s="72" t="s">
        <v>2140</v>
      </c>
      <c r="E39" s="72" t="s">
        <v>19</v>
      </c>
      <c r="F39" s="72" t="s">
        <v>172</v>
      </c>
      <c r="G39" s="74" t="s">
        <v>2141</v>
      </c>
      <c r="H39" s="74" t="s">
        <v>2142</v>
      </c>
      <c r="I39" s="72" t="s">
        <v>84</v>
      </c>
      <c r="J39" s="72" t="s">
        <v>84</v>
      </c>
      <c r="K39" s="72" t="s">
        <v>2137</v>
      </c>
      <c r="L39" s="37">
        <f t="shared" si="0"/>
        <v>3350</v>
      </c>
    </row>
    <row r="40" spans="1:12" ht="37.5">
      <c r="A40" s="72">
        <v>36</v>
      </c>
      <c r="B40" s="72" t="s">
        <v>2143</v>
      </c>
      <c r="C40" s="73">
        <v>2900</v>
      </c>
      <c r="D40" s="72" t="s">
        <v>226</v>
      </c>
      <c r="E40" s="72" t="s">
        <v>19</v>
      </c>
      <c r="F40" s="72" t="s">
        <v>172</v>
      </c>
      <c r="G40" s="74" t="s">
        <v>2144</v>
      </c>
      <c r="H40" s="74" t="s">
        <v>2145</v>
      </c>
      <c r="I40" s="72" t="s">
        <v>89</v>
      </c>
      <c r="J40" s="72" t="s">
        <v>89</v>
      </c>
      <c r="K40" s="72" t="s">
        <v>1528</v>
      </c>
      <c r="L40" s="37">
        <f t="shared" si="0"/>
        <v>2900</v>
      </c>
    </row>
    <row r="41" spans="1:12" ht="56.25">
      <c r="A41" s="72">
        <v>37</v>
      </c>
      <c r="B41" s="72" t="s">
        <v>2146</v>
      </c>
      <c r="C41" s="73">
        <v>3430</v>
      </c>
      <c r="D41" s="76" t="s">
        <v>226</v>
      </c>
      <c r="E41" s="72" t="s">
        <v>19</v>
      </c>
      <c r="F41" s="72" t="s">
        <v>172</v>
      </c>
      <c r="G41" s="74" t="s">
        <v>2147</v>
      </c>
      <c r="H41" s="74" t="s">
        <v>2148</v>
      </c>
      <c r="I41" s="72" t="s">
        <v>43</v>
      </c>
      <c r="J41" s="72" t="s">
        <v>89</v>
      </c>
      <c r="K41" s="72" t="s">
        <v>1528</v>
      </c>
      <c r="L41" s="37">
        <f t="shared" si="0"/>
        <v>3430</v>
      </c>
    </row>
    <row r="42" spans="1:12" ht="37.5">
      <c r="A42" s="72">
        <v>38</v>
      </c>
      <c r="B42" s="72" t="s">
        <v>2149</v>
      </c>
      <c r="C42" s="77">
        <v>3900</v>
      </c>
      <c r="D42" s="76" t="s">
        <v>226</v>
      </c>
      <c r="E42" s="78" t="s">
        <v>19</v>
      </c>
      <c r="F42" s="72" t="s">
        <v>199</v>
      </c>
      <c r="G42" s="74" t="s">
        <v>2150</v>
      </c>
      <c r="H42" s="74" t="s">
        <v>2151</v>
      </c>
      <c r="I42" s="72" t="s">
        <v>16</v>
      </c>
      <c r="J42" s="72" t="s">
        <v>16</v>
      </c>
      <c r="K42" s="72" t="s">
        <v>2152</v>
      </c>
      <c r="L42" s="37">
        <f t="shared" si="0"/>
        <v>3900</v>
      </c>
    </row>
    <row r="43" spans="1:12" ht="45.95" customHeight="1">
      <c r="A43" s="72">
        <v>39</v>
      </c>
      <c r="B43" s="72" t="s">
        <v>2153</v>
      </c>
      <c r="C43" s="77">
        <v>2950</v>
      </c>
      <c r="D43" s="76" t="s">
        <v>226</v>
      </c>
      <c r="E43" s="78" t="s">
        <v>19</v>
      </c>
      <c r="F43" s="72" t="s">
        <v>123</v>
      </c>
      <c r="G43" s="74" t="s">
        <v>2154</v>
      </c>
      <c r="H43" s="81" t="s">
        <v>2155</v>
      </c>
      <c r="I43" s="72" t="s">
        <v>54</v>
      </c>
      <c r="J43" s="72" t="s">
        <v>16</v>
      </c>
      <c r="K43" s="72" t="s">
        <v>1528</v>
      </c>
      <c r="L43" s="37">
        <f t="shared" si="0"/>
        <v>2950</v>
      </c>
    </row>
    <row r="44" spans="1:12" ht="45.95" customHeight="1">
      <c r="A44" s="72">
        <v>40</v>
      </c>
      <c r="B44" s="72" t="s">
        <v>1147</v>
      </c>
      <c r="C44" s="77">
        <v>5250</v>
      </c>
      <c r="D44" s="76" t="s">
        <v>226</v>
      </c>
      <c r="E44" s="78" t="s">
        <v>19</v>
      </c>
      <c r="F44" s="72" t="s">
        <v>172</v>
      </c>
      <c r="G44" s="74" t="s">
        <v>2156</v>
      </c>
      <c r="H44" s="81" t="s">
        <v>2157</v>
      </c>
      <c r="I44" s="72" t="s">
        <v>16</v>
      </c>
      <c r="J44" s="72" t="s">
        <v>16</v>
      </c>
      <c r="K44" s="76" t="s">
        <v>417</v>
      </c>
      <c r="L44" s="75">
        <f t="shared" si="0"/>
        <v>5250</v>
      </c>
    </row>
    <row r="45" spans="1:12" ht="63.75" customHeight="1">
      <c r="A45" s="76">
        <v>41</v>
      </c>
      <c r="B45" s="76" t="s">
        <v>1694</v>
      </c>
      <c r="C45" s="82">
        <v>2900</v>
      </c>
      <c r="D45" s="76" t="s">
        <v>226</v>
      </c>
      <c r="E45" s="83" t="s">
        <v>19</v>
      </c>
      <c r="F45" s="76" t="s">
        <v>172</v>
      </c>
      <c r="G45" s="84" t="s">
        <v>2158</v>
      </c>
      <c r="H45" s="85" t="s">
        <v>2159</v>
      </c>
      <c r="I45" s="76" t="s">
        <v>84</v>
      </c>
      <c r="J45" s="86" t="s">
        <v>84</v>
      </c>
      <c r="K45" s="87" t="s">
        <v>417</v>
      </c>
      <c r="L45" s="80">
        <f t="shared" ref="L45:L50" si="1">C45</f>
        <v>2900</v>
      </c>
    </row>
    <row r="46" spans="1:12" ht="56.25">
      <c r="A46" s="87">
        <v>42</v>
      </c>
      <c r="B46" s="87" t="s">
        <v>1221</v>
      </c>
      <c r="C46" s="88">
        <v>4700</v>
      </c>
      <c r="D46" s="87" t="s">
        <v>226</v>
      </c>
      <c r="E46" s="83" t="s">
        <v>19</v>
      </c>
      <c r="F46" s="76" t="s">
        <v>172</v>
      </c>
      <c r="G46" s="74" t="s">
        <v>2160</v>
      </c>
      <c r="H46" s="85" t="s">
        <v>2161</v>
      </c>
      <c r="I46" s="87" t="s">
        <v>16</v>
      </c>
      <c r="J46" s="89" t="s">
        <v>16</v>
      </c>
      <c r="K46" s="87" t="s">
        <v>417</v>
      </c>
      <c r="L46" s="80">
        <f t="shared" si="1"/>
        <v>4700</v>
      </c>
    </row>
    <row r="47" spans="1:12" ht="97.5" customHeight="1">
      <c r="A47" s="76">
        <v>45</v>
      </c>
      <c r="B47" s="76" t="s">
        <v>2005</v>
      </c>
      <c r="C47" s="96">
        <v>3350</v>
      </c>
      <c r="D47" s="91" t="s">
        <v>226</v>
      </c>
      <c r="E47" s="76" t="s">
        <v>19</v>
      </c>
      <c r="F47" s="76" t="s">
        <v>172</v>
      </c>
      <c r="G47" s="84" t="s">
        <v>2162</v>
      </c>
      <c r="H47" s="84" t="s">
        <v>2163</v>
      </c>
      <c r="I47" s="76" t="s">
        <v>43</v>
      </c>
      <c r="J47" s="76" t="s">
        <v>483</v>
      </c>
      <c r="K47" s="76" t="s">
        <v>2137</v>
      </c>
      <c r="L47" s="37">
        <f>C47</f>
        <v>3350</v>
      </c>
    </row>
    <row r="48" spans="1:12" ht="79.5" customHeight="1">
      <c r="A48" s="87">
        <v>44</v>
      </c>
      <c r="B48" s="87" t="s">
        <v>2164</v>
      </c>
      <c r="C48" s="94">
        <v>4800</v>
      </c>
      <c r="D48" s="87" t="s">
        <v>226</v>
      </c>
      <c r="E48" s="87" t="s">
        <v>19</v>
      </c>
      <c r="F48" s="87" t="s">
        <v>172</v>
      </c>
      <c r="G48" s="93" t="s">
        <v>2165</v>
      </c>
      <c r="H48" s="93" t="s">
        <v>2166</v>
      </c>
      <c r="I48" s="87" t="s">
        <v>84</v>
      </c>
      <c r="J48" s="87" t="s">
        <v>84</v>
      </c>
      <c r="K48" s="87" t="s">
        <v>417</v>
      </c>
      <c r="L48" s="80">
        <f t="shared" si="1"/>
        <v>4800</v>
      </c>
    </row>
    <row r="49" spans="1:12" ht="97.5" customHeight="1">
      <c r="A49" s="87">
        <v>46</v>
      </c>
      <c r="B49" s="87" t="s">
        <v>626</v>
      </c>
      <c r="C49" s="94">
        <v>3150</v>
      </c>
      <c r="D49" s="87" t="s">
        <v>226</v>
      </c>
      <c r="E49" s="87" t="s">
        <v>19</v>
      </c>
      <c r="F49" s="87" t="s">
        <v>623</v>
      </c>
      <c r="G49" s="93" t="s">
        <v>2167</v>
      </c>
      <c r="H49" s="93" t="s">
        <v>2168</v>
      </c>
      <c r="I49" s="87" t="s">
        <v>84</v>
      </c>
      <c r="J49" s="87" t="s">
        <v>84</v>
      </c>
      <c r="K49" s="87" t="s">
        <v>2169</v>
      </c>
      <c r="L49" s="95">
        <f t="shared" si="1"/>
        <v>3150</v>
      </c>
    </row>
    <row r="50" spans="1:12" ht="39" customHeight="1">
      <c r="A50" s="87">
        <v>47</v>
      </c>
      <c r="B50" s="87" t="s">
        <v>2170</v>
      </c>
      <c r="C50" s="94">
        <v>5100</v>
      </c>
      <c r="D50" s="87" t="s">
        <v>226</v>
      </c>
      <c r="E50" s="87" t="s">
        <v>19</v>
      </c>
      <c r="F50" s="87" t="s">
        <v>20</v>
      </c>
      <c r="G50" s="93" t="s">
        <v>2171</v>
      </c>
      <c r="H50" s="93" t="s">
        <v>1821</v>
      </c>
      <c r="I50" s="87" t="s">
        <v>89</v>
      </c>
      <c r="J50" s="87" t="s">
        <v>89</v>
      </c>
      <c r="K50" s="87" t="s">
        <v>2019</v>
      </c>
      <c r="L50" s="95">
        <f t="shared" si="1"/>
        <v>5100</v>
      </c>
    </row>
    <row r="51" spans="1:12" ht="48.75" customHeight="1">
      <c r="A51" s="87">
        <v>43</v>
      </c>
      <c r="B51" s="87" t="s">
        <v>2172</v>
      </c>
      <c r="C51" s="94">
        <v>3200</v>
      </c>
      <c r="D51" s="87" t="s">
        <v>226</v>
      </c>
      <c r="E51" s="87" t="s">
        <v>19</v>
      </c>
      <c r="F51" s="87" t="s">
        <v>1126</v>
      </c>
      <c r="G51" s="92" t="s">
        <v>2173</v>
      </c>
      <c r="H51" s="93" t="s">
        <v>2174</v>
      </c>
      <c r="I51" s="87" t="s">
        <v>89</v>
      </c>
      <c r="J51" s="87" t="s">
        <v>89</v>
      </c>
      <c r="K51" s="87" t="s">
        <v>1528</v>
      </c>
      <c r="L51" s="80">
        <f>C51</f>
        <v>3200</v>
      </c>
    </row>
  </sheetData>
  <autoFilter ref="A4:P51" xr:uid="{00000000-0009-0000-0000-00000D000000}"/>
  <mergeCells count="4">
    <mergeCell ref="C1:H1"/>
    <mergeCell ref="A2:H2"/>
    <mergeCell ref="H3:I3"/>
    <mergeCell ref="H31:H32"/>
  </mergeCells>
  <conditionalFormatting sqref="A1:A18 A31:A36 A40:A41 A43:A44 A46 A51 A53:A1048576">
    <cfRule type="duplicateValues" dxfId="601" priority="319"/>
  </conditionalFormatting>
  <conditionalFormatting sqref="A5:A6">
    <cfRule type="duplicateValues" dxfId="600" priority="13"/>
    <cfRule type="duplicateValues" dxfId="599" priority="14"/>
    <cfRule type="duplicateValues" dxfId="598" priority="15"/>
  </conditionalFormatting>
  <conditionalFormatting sqref="A19">
    <cfRule type="duplicateValues" dxfId="597" priority="8"/>
  </conditionalFormatting>
  <conditionalFormatting sqref="A20 A22:A23 A25:A26 A28:A30">
    <cfRule type="duplicateValues" dxfId="596" priority="7"/>
  </conditionalFormatting>
  <conditionalFormatting sqref="A21 A24 A27">
    <cfRule type="duplicateValues" dxfId="595" priority="321"/>
  </conditionalFormatting>
  <conditionalFormatting sqref="A37:A39">
    <cfRule type="duplicateValues" dxfId="594" priority="4"/>
  </conditionalFormatting>
  <conditionalFormatting sqref="A42">
    <cfRule type="duplicateValues" dxfId="593" priority="2"/>
  </conditionalFormatting>
  <conditionalFormatting sqref="A45">
    <cfRule type="duplicateValues" dxfId="592" priority="3"/>
  </conditionalFormatting>
  <conditionalFormatting sqref="A47:A50">
    <cfRule type="duplicateValues" dxfId="591" priority="1"/>
  </conditionalFormatting>
  <conditionalFormatting sqref="B3:B4">
    <cfRule type="duplicateValues" dxfId="590" priority="289"/>
    <cfRule type="duplicateValues" dxfId="589" priority="290"/>
    <cfRule type="duplicateValues" dxfId="588" priority="291"/>
  </conditionalFormatting>
  <conditionalFormatting sqref="B5:B6">
    <cfRule type="duplicateValues" dxfId="587" priority="10"/>
    <cfRule type="duplicateValues" dxfId="586" priority="11"/>
    <cfRule type="duplicateValues" dxfId="585" priority="12"/>
  </conditionalFormatting>
  <conditionalFormatting sqref="B7">
    <cfRule type="duplicateValues" dxfId="584" priority="16"/>
    <cfRule type="duplicateValues" dxfId="583" priority="17"/>
    <cfRule type="duplicateValues" dxfId="582" priority="18"/>
  </conditionalFormatting>
  <conditionalFormatting sqref="B8">
    <cfRule type="duplicateValues" dxfId="581" priority="19"/>
    <cfRule type="duplicateValues" dxfId="580" priority="20"/>
    <cfRule type="duplicateValues" dxfId="579" priority="21"/>
  </conditionalFormatting>
  <pageMargins left="0.7" right="0.7" top="0.75" bottom="0.75" header="0.3" footer="0.3"/>
  <pageSetup paperSize="9" scale="34" orientation="landscape"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pageSetUpPr fitToPage="1"/>
  </sheetPr>
  <dimension ref="A1:O66"/>
  <sheetViews>
    <sheetView zoomScale="55" zoomScaleNormal="55" workbookViewId="0">
      <pane xSplit="3" ySplit="4" topLeftCell="D46" activePane="bottomRight" state="frozen"/>
      <selection pane="topRight" activeCell="H45" sqref="H45"/>
      <selection pane="bottomLeft" activeCell="H45" sqref="H45"/>
      <selection pane="bottomRight" activeCell="H45" sqref="H45"/>
    </sheetView>
  </sheetViews>
  <sheetFormatPr defaultColWidth="25.5703125" defaultRowHeight="18.75"/>
  <cols>
    <col min="1" max="1" width="7.28515625" style="1" customWidth="1"/>
    <col min="2" max="2" width="27.42578125" style="1" customWidth="1"/>
    <col min="3" max="3" width="18.42578125" style="2" customWidth="1"/>
    <col min="4" max="4" width="21.42578125" style="1" customWidth="1"/>
    <col min="5" max="5" width="16.28515625" style="1" customWidth="1"/>
    <col min="6" max="6" width="26.7109375" style="1" customWidth="1"/>
    <col min="7" max="7" width="58.42578125" style="9" customWidth="1"/>
    <col min="8" max="8" width="45.5703125" style="9" customWidth="1"/>
    <col min="9" max="9" width="19" style="1" customWidth="1"/>
    <col min="10" max="10" width="19.28515625" style="1" bestFit="1" customWidth="1"/>
    <col min="11" max="11" width="15.85546875" style="1" customWidth="1"/>
    <col min="12" max="12" width="38.42578125" style="2" customWidth="1"/>
    <col min="13" max="13" width="25.28515625" style="3" customWidth="1"/>
    <col min="14" max="14" width="44" style="3" customWidth="1"/>
    <col min="15" max="15" width="34.5703125" style="3" customWidth="1"/>
    <col min="16" max="16384" width="25.5703125" style="3"/>
  </cols>
  <sheetData>
    <row r="1" spans="1:15" ht="36" customHeight="1">
      <c r="B1" s="10"/>
      <c r="C1" s="3657"/>
      <c r="D1" s="3657"/>
      <c r="E1" s="3657"/>
      <c r="F1" s="3657"/>
      <c r="G1" s="3657"/>
      <c r="H1" s="3657"/>
    </row>
    <row r="2" spans="1:15" ht="41.25" customHeight="1">
      <c r="A2" s="3672" t="s">
        <v>2175</v>
      </c>
      <c r="B2" s="3673"/>
      <c r="C2" s="3673"/>
      <c r="D2" s="3673"/>
      <c r="E2" s="3673"/>
      <c r="F2" s="3673"/>
      <c r="G2" s="3673"/>
      <c r="H2" s="3674"/>
      <c r="I2" s="46"/>
      <c r="J2" s="46"/>
      <c r="K2" s="47"/>
      <c r="L2" s="46"/>
      <c r="M2" s="4"/>
    </row>
    <row r="3" spans="1:15" ht="24" customHeight="1">
      <c r="A3" s="41"/>
      <c r="B3" s="48"/>
      <c r="C3" s="49">
        <f>SUBTOTAL(9,C5:C10007)</f>
        <v>203370</v>
      </c>
      <c r="D3" s="50"/>
      <c r="E3" s="50"/>
      <c r="F3" s="48"/>
      <c r="G3" s="51"/>
      <c r="H3" s="3675">
        <f ca="1">TODAY()</f>
        <v>45960</v>
      </c>
      <c r="I3" s="3675"/>
      <c r="J3" s="1198"/>
      <c r="K3" s="1198"/>
      <c r="L3" s="52"/>
    </row>
    <row r="4" spans="1:15" s="7" customFormat="1" ht="56.25">
      <c r="A4" s="53" t="s">
        <v>1</v>
      </c>
      <c r="B4" s="53" t="s">
        <v>1384</v>
      </c>
      <c r="C4" s="54" t="s">
        <v>3</v>
      </c>
      <c r="D4" s="53" t="s">
        <v>4</v>
      </c>
      <c r="E4" s="53" t="s">
        <v>8</v>
      </c>
      <c r="F4" s="53" t="s">
        <v>9</v>
      </c>
      <c r="G4" s="55" t="s">
        <v>10</v>
      </c>
      <c r="H4" s="53" t="s">
        <v>11</v>
      </c>
      <c r="I4" s="53" t="s">
        <v>5</v>
      </c>
      <c r="J4" s="53" t="s">
        <v>1053</v>
      </c>
      <c r="K4" s="53" t="s">
        <v>1215</v>
      </c>
      <c r="L4" s="54" t="s">
        <v>1898</v>
      </c>
      <c r="M4" s="53" t="s">
        <v>341</v>
      </c>
      <c r="N4" s="40">
        <f>SUM(N5:N9)</f>
        <v>193370</v>
      </c>
    </row>
    <row r="5" spans="1:15" ht="26.25" customHeight="1">
      <c r="A5" s="72">
        <v>1</v>
      </c>
      <c r="B5" s="72" t="s">
        <v>2176</v>
      </c>
      <c r="C5" s="73">
        <v>2750</v>
      </c>
      <c r="D5" s="97" t="s">
        <v>226</v>
      </c>
      <c r="E5" s="72" t="s">
        <v>19</v>
      </c>
      <c r="F5" s="72" t="s">
        <v>172</v>
      </c>
      <c r="G5" s="98" t="s">
        <v>2177</v>
      </c>
      <c r="H5" s="99"/>
      <c r="I5" s="72" t="s">
        <v>16</v>
      </c>
      <c r="J5" s="100" t="s">
        <v>16</v>
      </c>
      <c r="K5" s="90" t="s">
        <v>417</v>
      </c>
      <c r="L5" s="37">
        <f t="shared" ref="L5:L32" si="0">C5</f>
        <v>2750</v>
      </c>
      <c r="M5" s="41" t="s">
        <v>84</v>
      </c>
      <c r="N5" s="37">
        <f>SUMIF($I:$I,M5,L:L)</f>
        <v>52600</v>
      </c>
      <c r="O5" s="4"/>
    </row>
    <row r="6" spans="1:15" ht="27" customHeight="1">
      <c r="A6" s="72">
        <v>2</v>
      </c>
      <c r="B6" s="72" t="s">
        <v>2178</v>
      </c>
      <c r="C6" s="73">
        <v>3500</v>
      </c>
      <c r="D6" s="97" t="s">
        <v>226</v>
      </c>
      <c r="E6" s="72" t="s">
        <v>19</v>
      </c>
      <c r="F6" s="72" t="s">
        <v>172</v>
      </c>
      <c r="G6" s="98" t="s">
        <v>2177</v>
      </c>
      <c r="H6" s="99"/>
      <c r="I6" s="101" t="s">
        <v>43</v>
      </c>
      <c r="J6" s="100" t="s">
        <v>483</v>
      </c>
      <c r="K6" s="90" t="s">
        <v>417</v>
      </c>
      <c r="L6" s="37">
        <f t="shared" si="0"/>
        <v>3500</v>
      </c>
      <c r="M6" s="41" t="s">
        <v>89</v>
      </c>
      <c r="N6" s="37">
        <f>SUMIF($I:$I,M6,L:L)</f>
        <v>42060</v>
      </c>
    </row>
    <row r="7" spans="1:15" s="1" customFormat="1" ht="27.75" customHeight="1">
      <c r="A7" s="163">
        <v>3</v>
      </c>
      <c r="B7" s="164" t="s">
        <v>1242</v>
      </c>
      <c r="C7" s="73">
        <v>3150</v>
      </c>
      <c r="D7" s="97" t="s">
        <v>226</v>
      </c>
      <c r="E7" s="164" t="s">
        <v>19</v>
      </c>
      <c r="F7" s="164" t="s">
        <v>172</v>
      </c>
      <c r="G7" s="165" t="s">
        <v>2179</v>
      </c>
      <c r="H7" s="166"/>
      <c r="I7" s="72" t="s">
        <v>89</v>
      </c>
      <c r="J7" s="164" t="s">
        <v>89</v>
      </c>
      <c r="K7" s="167" t="s">
        <v>417</v>
      </c>
      <c r="L7" s="18">
        <f t="shared" si="0"/>
        <v>3150</v>
      </c>
      <c r="M7" s="38" t="s">
        <v>54</v>
      </c>
      <c r="N7" s="18">
        <f>SUMIF($I:$I,M7,L:L)</f>
        <v>21900</v>
      </c>
    </row>
    <row r="8" spans="1:15" s="1" customFormat="1" ht="39" customHeight="1">
      <c r="A8" s="168">
        <v>4</v>
      </c>
      <c r="B8" s="169" t="s">
        <v>636</v>
      </c>
      <c r="C8" s="73">
        <v>2950</v>
      </c>
      <c r="D8" s="170" t="s">
        <v>226</v>
      </c>
      <c r="E8" s="171" t="s">
        <v>19</v>
      </c>
      <c r="F8" s="171" t="s">
        <v>1126</v>
      </c>
      <c r="G8" s="172" t="s">
        <v>2177</v>
      </c>
      <c r="H8" s="169" t="s">
        <v>2180</v>
      </c>
      <c r="I8" s="72" t="s">
        <v>16</v>
      </c>
      <c r="J8" s="169" t="s">
        <v>16</v>
      </c>
      <c r="K8" s="173" t="s">
        <v>417</v>
      </c>
      <c r="L8" s="18">
        <f t="shared" si="0"/>
        <v>2950</v>
      </c>
      <c r="M8" s="41" t="s">
        <v>16</v>
      </c>
      <c r="N8" s="18">
        <f>SUMIF($I:$I,M8,L:L)</f>
        <v>35150</v>
      </c>
    </row>
    <row r="9" spans="1:15" s="1" customFormat="1" ht="56.25">
      <c r="A9" s="174">
        <v>5</v>
      </c>
      <c r="B9" s="175" t="s">
        <v>2181</v>
      </c>
      <c r="C9" s="176">
        <v>5600</v>
      </c>
      <c r="D9" s="170" t="s">
        <v>226</v>
      </c>
      <c r="E9" s="177" t="s">
        <v>19</v>
      </c>
      <c r="F9" s="177" t="s">
        <v>172</v>
      </c>
      <c r="G9" s="178" t="s">
        <v>2182</v>
      </c>
      <c r="H9" s="178" t="s">
        <v>2183</v>
      </c>
      <c r="I9" s="175" t="s">
        <v>84</v>
      </c>
      <c r="J9" s="175" t="s">
        <v>84</v>
      </c>
      <c r="K9" s="179" t="s">
        <v>417</v>
      </c>
      <c r="L9" s="105">
        <f t="shared" si="0"/>
        <v>5600</v>
      </c>
      <c r="M9" s="38" t="s">
        <v>43</v>
      </c>
      <c r="N9" s="18">
        <f>SUMIF($I:$I,M9,L:L)</f>
        <v>41660</v>
      </c>
    </row>
    <row r="10" spans="1:15" ht="56.25">
      <c r="A10" s="87">
        <v>6</v>
      </c>
      <c r="B10" s="87" t="s">
        <v>1295</v>
      </c>
      <c r="C10" s="94">
        <v>3350</v>
      </c>
      <c r="D10" s="89" t="s">
        <v>226</v>
      </c>
      <c r="E10" s="177" t="s">
        <v>19</v>
      </c>
      <c r="F10" s="177" t="s">
        <v>1138</v>
      </c>
      <c r="G10" s="107" t="s">
        <v>2184</v>
      </c>
      <c r="H10" s="108"/>
      <c r="I10" s="87" t="s">
        <v>84</v>
      </c>
      <c r="J10" s="87" t="s">
        <v>84</v>
      </c>
      <c r="K10" s="103" t="s">
        <v>1528</v>
      </c>
      <c r="L10" s="104">
        <f>C10</f>
        <v>3350</v>
      </c>
    </row>
    <row r="11" spans="1:15" ht="56.25">
      <c r="A11" s="87">
        <v>7</v>
      </c>
      <c r="B11" s="87" t="s">
        <v>526</v>
      </c>
      <c r="C11" s="94">
        <v>3400</v>
      </c>
      <c r="D11" s="89" t="s">
        <v>226</v>
      </c>
      <c r="E11" s="177" t="s">
        <v>19</v>
      </c>
      <c r="F11" s="177" t="s">
        <v>1808</v>
      </c>
      <c r="G11" s="93" t="s">
        <v>2185</v>
      </c>
      <c r="H11" s="93" t="s">
        <v>2186</v>
      </c>
      <c r="I11" s="87" t="s">
        <v>43</v>
      </c>
      <c r="J11" s="87" t="s">
        <v>483</v>
      </c>
      <c r="K11" s="106" t="s">
        <v>1845</v>
      </c>
      <c r="L11" s="104">
        <f t="shared" si="0"/>
        <v>3400</v>
      </c>
    </row>
    <row r="12" spans="1:15" ht="81.75" customHeight="1">
      <c r="A12" s="87">
        <v>8</v>
      </c>
      <c r="B12" s="87" t="s">
        <v>2187</v>
      </c>
      <c r="C12" s="94">
        <v>4250</v>
      </c>
      <c r="D12" s="89" t="s">
        <v>226</v>
      </c>
      <c r="E12" s="87" t="s">
        <v>19</v>
      </c>
      <c r="F12" s="87" t="s">
        <v>1119</v>
      </c>
      <c r="G12" s="93" t="s">
        <v>2188</v>
      </c>
      <c r="H12" s="108" t="s">
        <v>2189</v>
      </c>
      <c r="I12" s="87" t="s">
        <v>89</v>
      </c>
      <c r="J12" s="87" t="s">
        <v>89</v>
      </c>
      <c r="K12" s="103" t="s">
        <v>417</v>
      </c>
      <c r="L12" s="104">
        <f t="shared" si="0"/>
        <v>4250</v>
      </c>
    </row>
    <row r="13" spans="1:15" ht="41.25" customHeight="1">
      <c r="A13" s="87">
        <v>9</v>
      </c>
      <c r="B13" s="87" t="s">
        <v>914</v>
      </c>
      <c r="C13" s="94">
        <v>3550</v>
      </c>
      <c r="D13" s="89" t="s">
        <v>226</v>
      </c>
      <c r="E13" s="177" t="s">
        <v>19</v>
      </c>
      <c r="F13" s="177" t="s">
        <v>2190</v>
      </c>
      <c r="G13" s="93" t="s">
        <v>2191</v>
      </c>
      <c r="H13" s="93" t="s">
        <v>2192</v>
      </c>
      <c r="I13" s="87" t="s">
        <v>84</v>
      </c>
      <c r="J13" s="87" t="s">
        <v>84</v>
      </c>
      <c r="K13" s="106" t="s">
        <v>417</v>
      </c>
      <c r="L13" s="104">
        <f t="shared" si="0"/>
        <v>3550</v>
      </c>
    </row>
    <row r="14" spans="1:15" ht="54" customHeight="1">
      <c r="A14" s="87">
        <v>10</v>
      </c>
      <c r="B14" s="87" t="s">
        <v>2193</v>
      </c>
      <c r="C14" s="94">
        <v>3200</v>
      </c>
      <c r="D14" s="89" t="s">
        <v>226</v>
      </c>
      <c r="E14" s="177" t="s">
        <v>19</v>
      </c>
      <c r="F14" s="177" t="s">
        <v>2194</v>
      </c>
      <c r="G14" s="93" t="s">
        <v>2195</v>
      </c>
      <c r="H14" s="93" t="s">
        <v>2192</v>
      </c>
      <c r="I14" s="87" t="s">
        <v>89</v>
      </c>
      <c r="J14" s="87" t="s">
        <v>89</v>
      </c>
      <c r="K14" s="106" t="s">
        <v>417</v>
      </c>
      <c r="L14" s="104">
        <f t="shared" si="0"/>
        <v>3200</v>
      </c>
    </row>
    <row r="15" spans="1:15" ht="54" customHeight="1">
      <c r="A15" s="91">
        <v>11</v>
      </c>
      <c r="B15" s="91" t="s">
        <v>2196</v>
      </c>
      <c r="C15" s="120">
        <v>3100</v>
      </c>
      <c r="D15" s="115" t="s">
        <v>226</v>
      </c>
      <c r="E15" s="180" t="s">
        <v>19</v>
      </c>
      <c r="F15" s="180" t="s">
        <v>2190</v>
      </c>
      <c r="G15" s="119" t="s">
        <v>2197</v>
      </c>
      <c r="H15" s="119" t="s">
        <v>2159</v>
      </c>
      <c r="I15" s="91" t="s">
        <v>16</v>
      </c>
      <c r="J15" s="91" t="s">
        <v>16</v>
      </c>
      <c r="K15" s="110" t="s">
        <v>417</v>
      </c>
      <c r="L15" s="104">
        <f t="shared" si="0"/>
        <v>3100</v>
      </c>
    </row>
    <row r="16" spans="1:15" ht="42.75" customHeight="1">
      <c r="A16" s="87">
        <v>12</v>
      </c>
      <c r="B16" s="87" t="s">
        <v>1007</v>
      </c>
      <c r="C16" s="118">
        <v>3550</v>
      </c>
      <c r="D16" s="115" t="s">
        <v>226</v>
      </c>
      <c r="E16" s="177" t="s">
        <v>19</v>
      </c>
      <c r="F16" s="177" t="s">
        <v>63</v>
      </c>
      <c r="G16" s="93" t="s">
        <v>2198</v>
      </c>
      <c r="H16" s="119" t="s">
        <v>2159</v>
      </c>
      <c r="I16" s="87" t="s">
        <v>43</v>
      </c>
      <c r="J16" s="87" t="s">
        <v>483</v>
      </c>
      <c r="K16" s="109" t="s">
        <v>417</v>
      </c>
      <c r="L16" s="104">
        <f t="shared" si="0"/>
        <v>3550</v>
      </c>
    </row>
    <row r="17" spans="1:12" ht="42.75" customHeight="1">
      <c r="A17" s="91">
        <v>13</v>
      </c>
      <c r="B17" s="91" t="s">
        <v>2199</v>
      </c>
      <c r="C17" s="120" t="s">
        <v>675</v>
      </c>
      <c r="D17" s="121" t="s">
        <v>675</v>
      </c>
      <c r="E17" s="180" t="s">
        <v>19</v>
      </c>
      <c r="F17" s="180" t="s">
        <v>1795</v>
      </c>
      <c r="G17" s="122"/>
      <c r="H17" s="123"/>
      <c r="I17" s="91" t="s">
        <v>84</v>
      </c>
      <c r="J17" s="91" t="s">
        <v>84</v>
      </c>
      <c r="K17" s="111" t="s">
        <v>417</v>
      </c>
      <c r="L17" s="104" t="str">
        <f t="shared" si="0"/>
        <v>HỦY</v>
      </c>
    </row>
    <row r="18" spans="1:12" ht="42.75" customHeight="1">
      <c r="A18" s="87">
        <v>14</v>
      </c>
      <c r="B18" s="87" t="s">
        <v>2200</v>
      </c>
      <c r="C18" s="94">
        <v>3150</v>
      </c>
      <c r="D18" s="115" t="s">
        <v>226</v>
      </c>
      <c r="E18" s="180" t="s">
        <v>19</v>
      </c>
      <c r="F18" s="180" t="s">
        <v>1795</v>
      </c>
      <c r="G18" s="93" t="s">
        <v>2201</v>
      </c>
      <c r="H18" s="93" t="s">
        <v>2202</v>
      </c>
      <c r="I18" s="87" t="s">
        <v>89</v>
      </c>
      <c r="J18" s="87" t="s">
        <v>89</v>
      </c>
      <c r="K18" s="111" t="s">
        <v>417</v>
      </c>
      <c r="L18" s="104">
        <f t="shared" si="0"/>
        <v>3150</v>
      </c>
    </row>
    <row r="19" spans="1:12" ht="42.75" customHeight="1">
      <c r="A19" s="91">
        <v>15</v>
      </c>
      <c r="B19" s="113" t="s">
        <v>1953</v>
      </c>
      <c r="C19" s="114">
        <v>2900</v>
      </c>
      <c r="D19" s="115" t="s">
        <v>226</v>
      </c>
      <c r="E19" s="177" t="s">
        <v>19</v>
      </c>
      <c r="F19" s="181" t="s">
        <v>2194</v>
      </c>
      <c r="G19" s="124" t="s">
        <v>2203</v>
      </c>
      <c r="H19" s="116"/>
      <c r="I19" s="113" t="s">
        <v>54</v>
      </c>
      <c r="J19" s="117" t="s">
        <v>483</v>
      </c>
      <c r="K19" s="109" t="s">
        <v>417</v>
      </c>
      <c r="L19" s="104">
        <f t="shared" si="0"/>
        <v>2900</v>
      </c>
    </row>
    <row r="20" spans="1:12" ht="42.75" customHeight="1">
      <c r="A20" s="87">
        <v>16</v>
      </c>
      <c r="B20" s="113" t="s">
        <v>1253</v>
      </c>
      <c r="C20" s="114">
        <v>3000</v>
      </c>
      <c r="D20" s="115" t="s">
        <v>226</v>
      </c>
      <c r="E20" s="177" t="s">
        <v>19</v>
      </c>
      <c r="F20" s="181" t="s">
        <v>2194</v>
      </c>
      <c r="G20" s="124" t="s">
        <v>2204</v>
      </c>
      <c r="H20" s="116"/>
      <c r="I20" s="113" t="s">
        <v>84</v>
      </c>
      <c r="J20" s="117" t="s">
        <v>84</v>
      </c>
      <c r="K20" s="109" t="s">
        <v>417</v>
      </c>
      <c r="L20" s="104">
        <f t="shared" si="0"/>
        <v>3000</v>
      </c>
    </row>
    <row r="21" spans="1:12" ht="42.75" customHeight="1">
      <c r="A21" s="91">
        <v>17</v>
      </c>
      <c r="B21" s="87" t="s">
        <v>2205</v>
      </c>
      <c r="C21" s="94">
        <v>2500</v>
      </c>
      <c r="D21" s="87" t="s">
        <v>226</v>
      </c>
      <c r="E21" s="177" t="s">
        <v>19</v>
      </c>
      <c r="F21" s="177" t="s">
        <v>1808</v>
      </c>
      <c r="G21" s="108" t="s">
        <v>2206</v>
      </c>
      <c r="H21" s="108"/>
      <c r="I21" s="87" t="s">
        <v>16</v>
      </c>
      <c r="J21" s="87" t="s">
        <v>16</v>
      </c>
      <c r="K21" s="102" t="s">
        <v>417</v>
      </c>
      <c r="L21" s="104">
        <f t="shared" si="0"/>
        <v>2500</v>
      </c>
    </row>
    <row r="22" spans="1:12" ht="42.75" customHeight="1">
      <c r="A22" s="87">
        <v>18</v>
      </c>
      <c r="B22" s="87" t="s">
        <v>2207</v>
      </c>
      <c r="C22" s="94">
        <v>1800</v>
      </c>
      <c r="D22" s="87" t="s">
        <v>226</v>
      </c>
      <c r="E22" s="182" t="s">
        <v>19</v>
      </c>
      <c r="F22" s="87" t="s">
        <v>2194</v>
      </c>
      <c r="G22" s="108" t="s">
        <v>2208</v>
      </c>
      <c r="H22" s="108"/>
      <c r="I22" s="87" t="s">
        <v>16</v>
      </c>
      <c r="J22" s="87" t="s">
        <v>16</v>
      </c>
      <c r="K22" s="102" t="s">
        <v>417</v>
      </c>
      <c r="L22" s="104">
        <f t="shared" si="0"/>
        <v>1800</v>
      </c>
    </row>
    <row r="23" spans="1:12" ht="42.75" customHeight="1">
      <c r="A23" s="91">
        <v>19</v>
      </c>
      <c r="B23" s="87" t="s">
        <v>803</v>
      </c>
      <c r="C23" s="94">
        <v>3000</v>
      </c>
      <c r="D23" s="87" t="s">
        <v>226</v>
      </c>
      <c r="E23" s="182" t="s">
        <v>19</v>
      </c>
      <c r="F23" s="87" t="s">
        <v>1795</v>
      </c>
      <c r="G23" s="108" t="s">
        <v>2204</v>
      </c>
      <c r="H23" s="108"/>
      <c r="I23" s="87" t="s">
        <v>16</v>
      </c>
      <c r="J23" s="87" t="s">
        <v>16</v>
      </c>
      <c r="K23" s="102" t="s">
        <v>417</v>
      </c>
      <c r="L23" s="104">
        <f t="shared" si="0"/>
        <v>3000</v>
      </c>
    </row>
    <row r="24" spans="1:12" ht="42.75" customHeight="1">
      <c r="A24" s="87">
        <v>20</v>
      </c>
      <c r="B24" s="87" t="s">
        <v>1524</v>
      </c>
      <c r="C24" s="94">
        <v>2550</v>
      </c>
      <c r="D24" s="87" t="s">
        <v>226</v>
      </c>
      <c r="E24" s="182" t="s">
        <v>19</v>
      </c>
      <c r="F24" s="87" t="s">
        <v>1795</v>
      </c>
      <c r="G24" s="93" t="s">
        <v>2209</v>
      </c>
      <c r="H24" s="108"/>
      <c r="I24" s="87" t="s">
        <v>43</v>
      </c>
      <c r="J24" s="87" t="s">
        <v>483</v>
      </c>
      <c r="K24" s="102" t="s">
        <v>2116</v>
      </c>
      <c r="L24" s="104">
        <f t="shared" si="0"/>
        <v>2550</v>
      </c>
    </row>
    <row r="25" spans="1:12" ht="58.5" customHeight="1">
      <c r="A25" s="91">
        <v>21</v>
      </c>
      <c r="B25" s="87" t="s">
        <v>2210</v>
      </c>
      <c r="C25" s="94">
        <v>3300</v>
      </c>
      <c r="D25" s="87" t="s">
        <v>226</v>
      </c>
      <c r="E25" s="182" t="s">
        <v>19</v>
      </c>
      <c r="F25" s="87" t="s">
        <v>2190</v>
      </c>
      <c r="G25" s="93" t="s">
        <v>2211</v>
      </c>
      <c r="H25" s="108"/>
      <c r="I25" s="87" t="s">
        <v>89</v>
      </c>
      <c r="J25" s="87" t="s">
        <v>89</v>
      </c>
      <c r="K25" s="102" t="s">
        <v>1845</v>
      </c>
      <c r="L25" s="104">
        <f t="shared" si="0"/>
        <v>3300</v>
      </c>
    </row>
    <row r="26" spans="1:12" ht="55.5" customHeight="1">
      <c r="A26" s="87">
        <v>25</v>
      </c>
      <c r="B26" s="87" t="s">
        <v>543</v>
      </c>
      <c r="C26" s="94">
        <v>2950</v>
      </c>
      <c r="D26" s="89" t="s">
        <v>226</v>
      </c>
      <c r="E26" s="87" t="s">
        <v>19</v>
      </c>
      <c r="F26" s="87" t="s">
        <v>2194</v>
      </c>
      <c r="G26" s="93" t="s">
        <v>2212</v>
      </c>
      <c r="H26" s="93"/>
      <c r="I26" s="87" t="s">
        <v>84</v>
      </c>
      <c r="J26" s="87" t="s">
        <v>84</v>
      </c>
      <c r="K26" s="102" t="s">
        <v>1523</v>
      </c>
      <c r="L26" s="104">
        <f>C26</f>
        <v>2950</v>
      </c>
    </row>
    <row r="27" spans="1:12" ht="42.75" customHeight="1">
      <c r="A27" s="91">
        <v>26</v>
      </c>
      <c r="B27" s="87" t="s">
        <v>1774</v>
      </c>
      <c r="C27" s="94">
        <v>2630</v>
      </c>
      <c r="D27" s="89" t="s">
        <v>226</v>
      </c>
      <c r="E27" s="177" t="s">
        <v>19</v>
      </c>
      <c r="F27" s="125" t="s">
        <v>1126</v>
      </c>
      <c r="G27" s="93" t="s">
        <v>2213</v>
      </c>
      <c r="H27" s="93"/>
      <c r="I27" s="87" t="s">
        <v>43</v>
      </c>
      <c r="J27" s="87" t="s">
        <v>483</v>
      </c>
      <c r="K27" s="112" t="s">
        <v>417</v>
      </c>
      <c r="L27" s="104">
        <f>C27</f>
        <v>2630</v>
      </c>
    </row>
    <row r="28" spans="1:12" ht="42.75" customHeight="1">
      <c r="A28" s="91">
        <v>22</v>
      </c>
      <c r="B28" s="87" t="s">
        <v>2214</v>
      </c>
      <c r="C28" s="94">
        <v>4000</v>
      </c>
      <c r="D28" s="89" t="s">
        <v>226</v>
      </c>
      <c r="E28" s="180" t="s">
        <v>19</v>
      </c>
      <c r="F28" s="126" t="s">
        <v>63</v>
      </c>
      <c r="G28" s="93" t="s">
        <v>2215</v>
      </c>
      <c r="H28" s="93" t="s">
        <v>2216</v>
      </c>
      <c r="I28" s="87" t="s">
        <v>89</v>
      </c>
      <c r="J28" s="87" t="s">
        <v>89</v>
      </c>
      <c r="K28" s="112" t="s">
        <v>2217</v>
      </c>
      <c r="L28" s="104">
        <f t="shared" si="0"/>
        <v>4000</v>
      </c>
    </row>
    <row r="29" spans="1:12" ht="80.25" customHeight="1">
      <c r="A29" s="91">
        <v>23</v>
      </c>
      <c r="B29" s="87" t="s">
        <v>2218</v>
      </c>
      <c r="C29" s="94">
        <v>4800</v>
      </c>
      <c r="D29" s="89" t="s">
        <v>226</v>
      </c>
      <c r="E29" s="180" t="s">
        <v>19</v>
      </c>
      <c r="F29" s="87" t="s">
        <v>172</v>
      </c>
      <c r="G29" s="183" t="s">
        <v>2219</v>
      </c>
      <c r="H29" s="93" t="s">
        <v>2220</v>
      </c>
      <c r="I29" s="87" t="s">
        <v>54</v>
      </c>
      <c r="J29" s="87" t="s">
        <v>16</v>
      </c>
      <c r="K29" s="112" t="s">
        <v>1528</v>
      </c>
      <c r="L29" s="104">
        <f t="shared" si="0"/>
        <v>4800</v>
      </c>
    </row>
    <row r="30" spans="1:12" ht="42.75" customHeight="1">
      <c r="A30" s="91">
        <v>24</v>
      </c>
      <c r="B30" s="87" t="s">
        <v>595</v>
      </c>
      <c r="C30" s="94">
        <v>3700</v>
      </c>
      <c r="D30" s="89" t="s">
        <v>226</v>
      </c>
      <c r="E30" s="177" t="s">
        <v>19</v>
      </c>
      <c r="F30" s="125" t="s">
        <v>63</v>
      </c>
      <c r="G30" s="93" t="s">
        <v>2221</v>
      </c>
      <c r="H30" s="108" t="s">
        <v>2222</v>
      </c>
      <c r="I30" s="87" t="s">
        <v>16</v>
      </c>
      <c r="J30" s="87" t="s">
        <v>16</v>
      </c>
      <c r="K30" s="102" t="s">
        <v>1523</v>
      </c>
      <c r="L30" s="104">
        <f t="shared" si="0"/>
        <v>3700</v>
      </c>
    </row>
    <row r="31" spans="1:12" ht="42.75" customHeight="1">
      <c r="A31" s="87">
        <v>27</v>
      </c>
      <c r="B31" s="87" t="s">
        <v>775</v>
      </c>
      <c r="C31" s="94">
        <v>2950</v>
      </c>
      <c r="D31" s="89" t="s">
        <v>226</v>
      </c>
      <c r="E31" s="87" t="s">
        <v>19</v>
      </c>
      <c r="F31" s="129" t="s">
        <v>74</v>
      </c>
      <c r="G31" s="119" t="s">
        <v>2223</v>
      </c>
      <c r="H31" s="93" t="s">
        <v>2224</v>
      </c>
      <c r="I31" s="87" t="s">
        <v>225</v>
      </c>
      <c r="J31" s="87" t="s">
        <v>483</v>
      </c>
      <c r="K31" s="102" t="s">
        <v>1523</v>
      </c>
      <c r="L31" s="104">
        <f t="shared" si="0"/>
        <v>2950</v>
      </c>
    </row>
    <row r="32" spans="1:12" ht="101.25" customHeight="1">
      <c r="A32" s="87">
        <v>28</v>
      </c>
      <c r="B32" s="87" t="s">
        <v>1694</v>
      </c>
      <c r="C32" s="94">
        <v>3000</v>
      </c>
      <c r="D32" s="89" t="s">
        <v>226</v>
      </c>
      <c r="E32" s="113" t="s">
        <v>19</v>
      </c>
      <c r="F32" s="89" t="s">
        <v>172</v>
      </c>
      <c r="G32" s="93" t="s">
        <v>2225</v>
      </c>
      <c r="H32" s="127"/>
      <c r="I32" s="87" t="s">
        <v>84</v>
      </c>
      <c r="J32" s="87" t="s">
        <v>84</v>
      </c>
      <c r="K32" s="112" t="s">
        <v>417</v>
      </c>
      <c r="L32" s="104">
        <f t="shared" si="0"/>
        <v>3000</v>
      </c>
    </row>
    <row r="33" spans="1:12" ht="42.75" customHeight="1">
      <c r="A33" s="87">
        <v>29</v>
      </c>
      <c r="B33" s="87" t="s">
        <v>589</v>
      </c>
      <c r="C33" s="94">
        <v>3500</v>
      </c>
      <c r="D33" s="87" t="s">
        <v>226</v>
      </c>
      <c r="E33" s="113" t="s">
        <v>19</v>
      </c>
      <c r="F33" s="89" t="s">
        <v>172</v>
      </c>
      <c r="G33" s="93" t="s">
        <v>2226</v>
      </c>
      <c r="H33" s="127"/>
      <c r="I33" s="87" t="s">
        <v>43</v>
      </c>
      <c r="J33" s="87" t="s">
        <v>16</v>
      </c>
      <c r="K33" s="112" t="s">
        <v>417</v>
      </c>
      <c r="L33" s="104">
        <f>C33</f>
        <v>3500</v>
      </c>
    </row>
    <row r="34" spans="1:12" ht="56.25" customHeight="1">
      <c r="A34" s="87">
        <v>30</v>
      </c>
      <c r="B34" s="87" t="s">
        <v>931</v>
      </c>
      <c r="C34" s="94">
        <v>4700</v>
      </c>
      <c r="D34" s="87" t="s">
        <v>226</v>
      </c>
      <c r="E34" s="113" t="s">
        <v>19</v>
      </c>
      <c r="F34" s="89" t="s">
        <v>172</v>
      </c>
      <c r="G34" s="93" t="s">
        <v>2227</v>
      </c>
      <c r="H34" s="127"/>
      <c r="I34" s="87" t="s">
        <v>16</v>
      </c>
      <c r="J34" s="91" t="s">
        <v>16</v>
      </c>
      <c r="K34" s="112" t="s">
        <v>417</v>
      </c>
      <c r="L34" s="104">
        <f t="shared" ref="L34:L64" si="1">C34</f>
        <v>4700</v>
      </c>
    </row>
    <row r="35" spans="1:12" ht="42.75" customHeight="1">
      <c r="A35" s="91">
        <v>31</v>
      </c>
      <c r="B35" s="91" t="s">
        <v>1565</v>
      </c>
      <c r="C35" s="120">
        <v>3050</v>
      </c>
      <c r="D35" s="91" t="s">
        <v>226</v>
      </c>
      <c r="E35" s="130" t="s">
        <v>19</v>
      </c>
      <c r="F35" s="91" t="s">
        <v>253</v>
      </c>
      <c r="G35" s="131" t="s">
        <v>2228</v>
      </c>
      <c r="H35" s="119" t="s">
        <v>2229</v>
      </c>
      <c r="I35" s="115" t="s">
        <v>54</v>
      </c>
      <c r="J35" s="87" t="s">
        <v>483</v>
      </c>
      <c r="K35" s="128" t="s">
        <v>1528</v>
      </c>
      <c r="L35" s="104">
        <f t="shared" si="1"/>
        <v>3050</v>
      </c>
    </row>
    <row r="36" spans="1:12" ht="63" customHeight="1">
      <c r="A36" s="91">
        <v>32</v>
      </c>
      <c r="B36" s="91" t="s">
        <v>1675</v>
      </c>
      <c r="C36" s="120">
        <v>2900</v>
      </c>
      <c r="D36" s="91" t="s">
        <v>226</v>
      </c>
      <c r="E36" s="91" t="s">
        <v>19</v>
      </c>
      <c r="F36" s="91" t="s">
        <v>2194</v>
      </c>
      <c r="G36" s="184" t="s">
        <v>2230</v>
      </c>
      <c r="H36" s="119"/>
      <c r="I36" s="115" t="s">
        <v>89</v>
      </c>
      <c r="J36" s="91" t="s">
        <v>89</v>
      </c>
      <c r="K36" s="128" t="s">
        <v>1528</v>
      </c>
      <c r="L36" s="104">
        <f t="shared" si="1"/>
        <v>2900</v>
      </c>
    </row>
    <row r="37" spans="1:12" ht="75.75" customHeight="1">
      <c r="A37" s="87">
        <v>33</v>
      </c>
      <c r="B37" s="87" t="s">
        <v>2082</v>
      </c>
      <c r="C37" s="94">
        <v>3350</v>
      </c>
      <c r="D37" s="87" t="s">
        <v>226</v>
      </c>
      <c r="E37" s="87" t="s">
        <v>19</v>
      </c>
      <c r="F37" s="87" t="s">
        <v>2231</v>
      </c>
      <c r="G37" s="93" t="s">
        <v>2232</v>
      </c>
      <c r="H37" s="93"/>
      <c r="I37" s="87" t="s">
        <v>43</v>
      </c>
      <c r="J37" s="87" t="s">
        <v>483</v>
      </c>
      <c r="K37" s="128" t="s">
        <v>1845</v>
      </c>
      <c r="L37" s="104">
        <f t="shared" si="1"/>
        <v>3350</v>
      </c>
    </row>
    <row r="38" spans="1:12" ht="56.25">
      <c r="A38" s="91">
        <v>34</v>
      </c>
      <c r="B38" s="87" t="s">
        <v>1101</v>
      </c>
      <c r="C38" s="94">
        <v>4350</v>
      </c>
      <c r="D38" s="87" t="s">
        <v>226</v>
      </c>
      <c r="E38" s="87" t="s">
        <v>19</v>
      </c>
      <c r="F38" s="87" t="s">
        <v>1443</v>
      </c>
      <c r="G38" s="93" t="s">
        <v>2233</v>
      </c>
      <c r="H38" s="93" t="s">
        <v>2234</v>
      </c>
      <c r="I38" s="87" t="s">
        <v>84</v>
      </c>
      <c r="J38" s="89" t="s">
        <v>84</v>
      </c>
      <c r="K38" s="102" t="s">
        <v>1845</v>
      </c>
      <c r="L38" s="132">
        <f t="shared" si="1"/>
        <v>4350</v>
      </c>
    </row>
    <row r="39" spans="1:12" ht="98.25" customHeight="1">
      <c r="A39" s="87">
        <v>35</v>
      </c>
      <c r="B39" s="87" t="s">
        <v>2146</v>
      </c>
      <c r="C39" s="94">
        <v>3450</v>
      </c>
      <c r="D39" s="87" t="s">
        <v>226</v>
      </c>
      <c r="E39" s="87" t="s">
        <v>19</v>
      </c>
      <c r="F39" s="133" t="s">
        <v>2235</v>
      </c>
      <c r="G39" s="93" t="s">
        <v>2236</v>
      </c>
      <c r="H39" s="93" t="s">
        <v>2237</v>
      </c>
      <c r="I39" s="87" t="s">
        <v>84</v>
      </c>
      <c r="J39" s="89" t="s">
        <v>84</v>
      </c>
      <c r="K39" s="102" t="s">
        <v>2238</v>
      </c>
      <c r="L39" s="132">
        <f t="shared" si="1"/>
        <v>3450</v>
      </c>
    </row>
    <row r="40" spans="1:12" ht="69" customHeight="1">
      <c r="A40" s="87">
        <v>36</v>
      </c>
      <c r="B40" s="87" t="s">
        <v>2239</v>
      </c>
      <c r="C40" s="94">
        <v>3600</v>
      </c>
      <c r="D40" s="87" t="s">
        <v>226</v>
      </c>
      <c r="E40" s="87" t="s">
        <v>19</v>
      </c>
      <c r="F40" s="133" t="s">
        <v>2240</v>
      </c>
      <c r="G40" s="93" t="s">
        <v>2241</v>
      </c>
      <c r="H40" s="93" t="s">
        <v>2242</v>
      </c>
      <c r="I40" s="87" t="s">
        <v>43</v>
      </c>
      <c r="J40" s="89" t="s">
        <v>483</v>
      </c>
      <c r="K40" s="102" t="s">
        <v>417</v>
      </c>
      <c r="L40" s="132">
        <f t="shared" si="1"/>
        <v>3600</v>
      </c>
    </row>
    <row r="41" spans="1:12" ht="66.75" customHeight="1">
      <c r="A41" s="87">
        <v>37</v>
      </c>
      <c r="B41" s="87" t="s">
        <v>1728</v>
      </c>
      <c r="C41" s="94">
        <v>3150</v>
      </c>
      <c r="D41" s="87" t="s">
        <v>226</v>
      </c>
      <c r="E41" s="87" t="s">
        <v>19</v>
      </c>
      <c r="F41" s="133" t="s">
        <v>2243</v>
      </c>
      <c r="G41" s="140" t="s">
        <v>2244</v>
      </c>
      <c r="H41" s="93" t="s">
        <v>2245</v>
      </c>
      <c r="I41" s="87" t="s">
        <v>16</v>
      </c>
      <c r="J41" s="89" t="s">
        <v>16</v>
      </c>
      <c r="K41" s="102" t="s">
        <v>1537</v>
      </c>
      <c r="L41" s="132">
        <f t="shared" si="1"/>
        <v>3150</v>
      </c>
    </row>
    <row r="42" spans="1:12" ht="98.25" customHeight="1">
      <c r="A42" s="87">
        <v>38</v>
      </c>
      <c r="B42" s="87" t="s">
        <v>564</v>
      </c>
      <c r="C42" s="94">
        <v>3050</v>
      </c>
      <c r="D42" s="87" t="s">
        <v>226</v>
      </c>
      <c r="E42" s="87" t="s">
        <v>19</v>
      </c>
      <c r="F42" s="87" t="s">
        <v>101</v>
      </c>
      <c r="G42" s="93" t="s">
        <v>2246</v>
      </c>
      <c r="H42" s="134" t="s">
        <v>2247</v>
      </c>
      <c r="I42" s="87" t="s">
        <v>89</v>
      </c>
      <c r="J42" s="89" t="s">
        <v>89</v>
      </c>
      <c r="K42" s="102" t="s">
        <v>417</v>
      </c>
      <c r="L42" s="132">
        <f t="shared" si="1"/>
        <v>3050</v>
      </c>
    </row>
    <row r="43" spans="1:12" ht="75.75" customHeight="1">
      <c r="A43" s="87">
        <v>39</v>
      </c>
      <c r="B43" s="87" t="s">
        <v>1309</v>
      </c>
      <c r="C43" s="94">
        <v>2750</v>
      </c>
      <c r="D43" s="87" t="s">
        <v>226</v>
      </c>
      <c r="E43" s="87" t="s">
        <v>19</v>
      </c>
      <c r="F43" s="133" t="s">
        <v>2248</v>
      </c>
      <c r="G43" s="93" t="s">
        <v>2249</v>
      </c>
      <c r="H43" s="134" t="s">
        <v>2159</v>
      </c>
      <c r="I43" s="87" t="s">
        <v>84</v>
      </c>
      <c r="J43" s="89" t="s">
        <v>84</v>
      </c>
      <c r="K43" s="102" t="s">
        <v>417</v>
      </c>
      <c r="L43" s="132">
        <f t="shared" si="1"/>
        <v>2750</v>
      </c>
    </row>
    <row r="44" spans="1:12" ht="69.75" customHeight="1">
      <c r="A44" s="87">
        <v>40</v>
      </c>
      <c r="B44" s="87" t="s">
        <v>1411</v>
      </c>
      <c r="C44" s="94">
        <v>3000</v>
      </c>
      <c r="D44" s="87" t="s">
        <v>226</v>
      </c>
      <c r="E44" s="87" t="s">
        <v>19</v>
      </c>
      <c r="F44" s="133" t="s">
        <v>2250</v>
      </c>
      <c r="G44" s="93" t="s">
        <v>2249</v>
      </c>
      <c r="H44" s="134" t="s">
        <v>2159</v>
      </c>
      <c r="I44" s="87" t="s">
        <v>54</v>
      </c>
      <c r="J44" s="89" t="s">
        <v>16</v>
      </c>
      <c r="K44" s="102" t="s">
        <v>417</v>
      </c>
      <c r="L44" s="132">
        <f t="shared" si="1"/>
        <v>3000</v>
      </c>
    </row>
    <row r="45" spans="1:12" ht="69.75" customHeight="1">
      <c r="A45" s="87">
        <v>41</v>
      </c>
      <c r="B45" s="87" t="s">
        <v>2251</v>
      </c>
      <c r="C45" s="94">
        <v>3100</v>
      </c>
      <c r="D45" s="87" t="s">
        <v>226</v>
      </c>
      <c r="E45" s="87" t="s">
        <v>19</v>
      </c>
      <c r="F45" s="133" t="s">
        <v>2252</v>
      </c>
      <c r="G45" s="93" t="s">
        <v>2249</v>
      </c>
      <c r="H45" s="134" t="s">
        <v>2159</v>
      </c>
      <c r="I45" s="87" t="s">
        <v>89</v>
      </c>
      <c r="J45" s="89" t="s">
        <v>89</v>
      </c>
      <c r="K45" s="102" t="s">
        <v>417</v>
      </c>
      <c r="L45" s="132">
        <f t="shared" si="1"/>
        <v>3100</v>
      </c>
    </row>
    <row r="46" spans="1:12" ht="56.25">
      <c r="A46" s="87">
        <v>44</v>
      </c>
      <c r="B46" s="91" t="s">
        <v>2253</v>
      </c>
      <c r="C46" s="120">
        <v>2800</v>
      </c>
      <c r="D46" s="87" t="s">
        <v>226</v>
      </c>
      <c r="E46" s="91" t="s">
        <v>19</v>
      </c>
      <c r="F46" s="91" t="s">
        <v>63</v>
      </c>
      <c r="G46" s="119" t="s">
        <v>2254</v>
      </c>
      <c r="H46" s="119" t="s">
        <v>2255</v>
      </c>
      <c r="I46" s="91" t="s">
        <v>89</v>
      </c>
      <c r="J46" s="91" t="s">
        <v>89</v>
      </c>
      <c r="K46" s="1" t="s">
        <v>1845</v>
      </c>
      <c r="L46" s="135">
        <f>C46</f>
        <v>2800</v>
      </c>
    </row>
    <row r="47" spans="1:12" ht="42.75" customHeight="1">
      <c r="A47" s="87">
        <v>42</v>
      </c>
      <c r="B47" s="87" t="s">
        <v>2256</v>
      </c>
      <c r="C47" s="94">
        <v>10000</v>
      </c>
      <c r="D47" s="91" t="s">
        <v>226</v>
      </c>
      <c r="E47" s="87" t="s">
        <v>19</v>
      </c>
      <c r="F47" s="87" t="s">
        <v>2257</v>
      </c>
      <c r="G47" s="93" t="s">
        <v>2258</v>
      </c>
      <c r="H47" s="93" t="s">
        <v>2259</v>
      </c>
      <c r="I47" s="87" t="s">
        <v>2260</v>
      </c>
      <c r="J47" s="89" t="s">
        <v>16</v>
      </c>
      <c r="K47" s="102" t="s">
        <v>2217</v>
      </c>
      <c r="L47" s="132">
        <f>C47</f>
        <v>10000</v>
      </c>
    </row>
    <row r="48" spans="1:12" ht="78.75" customHeight="1">
      <c r="A48" s="87">
        <v>43</v>
      </c>
      <c r="B48" s="87" t="s">
        <v>1681</v>
      </c>
      <c r="C48" s="94">
        <v>3650</v>
      </c>
      <c r="D48" s="91" t="s">
        <v>226</v>
      </c>
      <c r="E48" s="87" t="s">
        <v>19</v>
      </c>
      <c r="F48" s="87" t="s">
        <v>123</v>
      </c>
      <c r="G48" s="140" t="s">
        <v>2261</v>
      </c>
      <c r="H48" s="93" t="s">
        <v>2262</v>
      </c>
      <c r="I48" s="87" t="s">
        <v>84</v>
      </c>
      <c r="J48" s="89" t="s">
        <v>84</v>
      </c>
      <c r="K48" s="112" t="s">
        <v>2217</v>
      </c>
      <c r="L48" s="132">
        <f t="shared" si="1"/>
        <v>3650</v>
      </c>
    </row>
    <row r="49" spans="1:12" ht="37.5">
      <c r="A49" s="91">
        <v>45</v>
      </c>
      <c r="B49" s="91" t="s">
        <v>2263</v>
      </c>
      <c r="C49" s="120">
        <v>3000</v>
      </c>
      <c r="D49" s="91" t="s">
        <v>226</v>
      </c>
      <c r="E49" s="91" t="s">
        <v>19</v>
      </c>
      <c r="F49" s="91" t="s">
        <v>2264</v>
      </c>
      <c r="G49" s="119" t="s">
        <v>2265</v>
      </c>
      <c r="H49" s="123" t="s">
        <v>2266</v>
      </c>
      <c r="I49" s="91" t="s">
        <v>2267</v>
      </c>
      <c r="J49" s="91" t="s">
        <v>483</v>
      </c>
      <c r="K49" s="136" t="s">
        <v>1523</v>
      </c>
      <c r="L49" s="104">
        <f t="shared" si="1"/>
        <v>3000</v>
      </c>
    </row>
    <row r="50" spans="1:12" ht="65.25" customHeight="1">
      <c r="A50" s="87">
        <v>46</v>
      </c>
      <c r="B50" s="87" t="s">
        <v>540</v>
      </c>
      <c r="C50" s="94">
        <v>3500</v>
      </c>
      <c r="D50" s="91" t="s">
        <v>226</v>
      </c>
      <c r="E50" s="91" t="s">
        <v>19</v>
      </c>
      <c r="F50" s="87" t="s">
        <v>2194</v>
      </c>
      <c r="G50" s="93" t="s">
        <v>2268</v>
      </c>
      <c r="H50" s="93" t="s">
        <v>2269</v>
      </c>
      <c r="I50" s="87" t="s">
        <v>43</v>
      </c>
      <c r="J50" s="115" t="s">
        <v>483</v>
      </c>
      <c r="K50" s="136" t="s">
        <v>417</v>
      </c>
      <c r="L50" s="104">
        <f t="shared" si="1"/>
        <v>3500</v>
      </c>
    </row>
    <row r="51" spans="1:12" s="139" customFormat="1" ht="65.25" customHeight="1">
      <c r="A51" s="91">
        <v>47</v>
      </c>
      <c r="B51" s="87" t="s">
        <v>1224</v>
      </c>
      <c r="C51" s="94">
        <v>2200</v>
      </c>
      <c r="D51" s="91" t="s">
        <v>226</v>
      </c>
      <c r="E51" s="91" t="s">
        <v>19</v>
      </c>
      <c r="F51" s="87" t="s">
        <v>2270</v>
      </c>
      <c r="G51" s="93" t="s">
        <v>2271</v>
      </c>
      <c r="H51" s="93" t="s">
        <v>2272</v>
      </c>
      <c r="I51" s="89" t="s">
        <v>54</v>
      </c>
      <c r="J51" s="115" t="s">
        <v>483</v>
      </c>
      <c r="K51" s="137" t="s">
        <v>417</v>
      </c>
      <c r="L51" s="138">
        <f t="shared" si="1"/>
        <v>2200</v>
      </c>
    </row>
    <row r="52" spans="1:12" ht="65.25" customHeight="1">
      <c r="A52" s="91">
        <v>48</v>
      </c>
      <c r="B52" s="87" t="s">
        <v>1774</v>
      </c>
      <c r="C52" s="94">
        <v>2630</v>
      </c>
      <c r="D52" s="91" t="s">
        <v>226</v>
      </c>
      <c r="E52" s="91" t="s">
        <v>19</v>
      </c>
      <c r="F52" s="87" t="s">
        <v>2270</v>
      </c>
      <c r="G52" s="93" t="s">
        <v>2273</v>
      </c>
      <c r="H52" s="93" t="s">
        <v>2272</v>
      </c>
      <c r="I52" s="89" t="s">
        <v>43</v>
      </c>
      <c r="J52" s="115" t="s">
        <v>483</v>
      </c>
      <c r="K52" s="136" t="s">
        <v>417</v>
      </c>
      <c r="L52" s="104">
        <f t="shared" si="1"/>
        <v>2630</v>
      </c>
    </row>
    <row r="53" spans="1:12" ht="65.25" customHeight="1">
      <c r="A53" s="91">
        <v>49</v>
      </c>
      <c r="B53" s="87" t="s">
        <v>914</v>
      </c>
      <c r="C53" s="94">
        <v>3550</v>
      </c>
      <c r="D53" s="91" t="s">
        <v>226</v>
      </c>
      <c r="E53" s="91" t="s">
        <v>19</v>
      </c>
      <c r="F53" s="87" t="s">
        <v>2270</v>
      </c>
      <c r="G53" s="93" t="s">
        <v>2274</v>
      </c>
      <c r="H53" s="93" t="s">
        <v>2272</v>
      </c>
      <c r="I53" s="89" t="s">
        <v>84</v>
      </c>
      <c r="J53" s="115" t="s">
        <v>84</v>
      </c>
      <c r="K53" s="136" t="s">
        <v>417</v>
      </c>
      <c r="L53" s="104">
        <f>C53</f>
        <v>3550</v>
      </c>
    </row>
    <row r="54" spans="1:12" ht="64.5" customHeight="1">
      <c r="A54" s="91">
        <v>50</v>
      </c>
      <c r="B54" s="87" t="s">
        <v>2275</v>
      </c>
      <c r="C54" s="94">
        <v>3800</v>
      </c>
      <c r="D54" s="91" t="s">
        <v>226</v>
      </c>
      <c r="E54" s="91" t="s">
        <v>19</v>
      </c>
      <c r="F54" s="87" t="s">
        <v>467</v>
      </c>
      <c r="G54" s="140" t="s">
        <v>2276</v>
      </c>
      <c r="H54" s="141" t="s">
        <v>2277</v>
      </c>
      <c r="I54" s="89" t="s">
        <v>16</v>
      </c>
      <c r="J54" s="87" t="s">
        <v>16</v>
      </c>
      <c r="K54" s="136" t="s">
        <v>1804</v>
      </c>
      <c r="L54" s="104">
        <f t="shared" si="1"/>
        <v>3800</v>
      </c>
    </row>
    <row r="55" spans="1:12" ht="69.75" customHeight="1">
      <c r="A55" s="91">
        <v>51</v>
      </c>
      <c r="B55" s="91" t="s">
        <v>552</v>
      </c>
      <c r="C55" s="120">
        <v>3260</v>
      </c>
      <c r="D55" s="91" t="s">
        <v>226</v>
      </c>
      <c r="E55" s="91" t="s">
        <v>19</v>
      </c>
      <c r="F55" s="87" t="s">
        <v>123</v>
      </c>
      <c r="G55" s="122" t="s">
        <v>2278</v>
      </c>
      <c r="H55" s="142" t="s">
        <v>2279</v>
      </c>
      <c r="I55" s="115" t="s">
        <v>89</v>
      </c>
      <c r="J55" s="87" t="s">
        <v>89</v>
      </c>
      <c r="K55" s="136" t="s">
        <v>1528</v>
      </c>
      <c r="L55" s="104">
        <f t="shared" si="1"/>
        <v>3260</v>
      </c>
    </row>
    <row r="56" spans="1:12" ht="53.25" customHeight="1">
      <c r="A56" s="91">
        <v>52</v>
      </c>
      <c r="B56" s="87" t="s">
        <v>270</v>
      </c>
      <c r="C56" s="94">
        <v>3750</v>
      </c>
      <c r="D56" s="115" t="s">
        <v>226</v>
      </c>
      <c r="E56" s="87" t="s">
        <v>19</v>
      </c>
      <c r="F56" s="87" t="s">
        <v>467</v>
      </c>
      <c r="G56" s="140" t="s">
        <v>2280</v>
      </c>
      <c r="H56" s="119" t="s">
        <v>2281</v>
      </c>
      <c r="I56" s="89" t="s">
        <v>84</v>
      </c>
      <c r="J56" s="87" t="s">
        <v>84</v>
      </c>
      <c r="K56" s="136" t="s">
        <v>1528</v>
      </c>
      <c r="L56" s="104">
        <f t="shared" si="1"/>
        <v>3750</v>
      </c>
    </row>
    <row r="57" spans="1:12" ht="53.25" customHeight="1">
      <c r="A57" s="115">
        <v>53</v>
      </c>
      <c r="B57" s="87" t="s">
        <v>526</v>
      </c>
      <c r="C57" s="94">
        <v>3400</v>
      </c>
      <c r="D57" s="115" t="s">
        <v>226</v>
      </c>
      <c r="E57" s="87" t="s">
        <v>19</v>
      </c>
      <c r="F57" s="87" t="s">
        <v>2190</v>
      </c>
      <c r="G57" s="146" t="s">
        <v>2282</v>
      </c>
      <c r="H57" s="147" t="s">
        <v>2272</v>
      </c>
      <c r="I57" s="148" t="s">
        <v>43</v>
      </c>
      <c r="J57" s="89" t="s">
        <v>483</v>
      </c>
      <c r="K57" s="102" t="s">
        <v>417</v>
      </c>
      <c r="L57" s="104">
        <f t="shared" si="1"/>
        <v>3400</v>
      </c>
    </row>
    <row r="58" spans="1:12" ht="53.25" customHeight="1">
      <c r="A58" s="115">
        <v>54</v>
      </c>
      <c r="B58" s="87" t="s">
        <v>1650</v>
      </c>
      <c r="C58" s="94">
        <v>2750</v>
      </c>
      <c r="D58" s="115" t="s">
        <v>226</v>
      </c>
      <c r="E58" s="87" t="s">
        <v>19</v>
      </c>
      <c r="F58" s="87" t="s">
        <v>2190</v>
      </c>
      <c r="G58" s="146" t="s">
        <v>2283</v>
      </c>
      <c r="H58" s="149" t="s">
        <v>2284</v>
      </c>
      <c r="I58" s="148" t="s">
        <v>89</v>
      </c>
      <c r="J58" s="89" t="s">
        <v>89</v>
      </c>
      <c r="K58" s="102" t="s">
        <v>417</v>
      </c>
      <c r="L58" s="104">
        <f t="shared" si="1"/>
        <v>2750</v>
      </c>
    </row>
    <row r="59" spans="1:12" ht="53.25" customHeight="1">
      <c r="A59" s="115">
        <v>55</v>
      </c>
      <c r="B59" s="91" t="s">
        <v>1694</v>
      </c>
      <c r="C59" s="120">
        <v>2950</v>
      </c>
      <c r="D59" s="115" t="s">
        <v>226</v>
      </c>
      <c r="E59" s="91" t="s">
        <v>19</v>
      </c>
      <c r="F59" s="91" t="s">
        <v>2194</v>
      </c>
      <c r="G59" s="150" t="s">
        <v>2285</v>
      </c>
      <c r="H59" s="151" t="s">
        <v>2272</v>
      </c>
      <c r="I59" s="152" t="s">
        <v>84</v>
      </c>
      <c r="J59" s="115" t="s">
        <v>84</v>
      </c>
      <c r="K59" s="144" t="s">
        <v>417</v>
      </c>
      <c r="L59" s="145">
        <f t="shared" si="1"/>
        <v>2950</v>
      </c>
    </row>
    <row r="60" spans="1:12" ht="45" customHeight="1">
      <c r="A60" s="115">
        <v>56</v>
      </c>
      <c r="B60" s="87" t="s">
        <v>1007</v>
      </c>
      <c r="C60" s="94">
        <v>3550</v>
      </c>
      <c r="D60" s="115" t="s">
        <v>226</v>
      </c>
      <c r="E60" s="87" t="s">
        <v>19</v>
      </c>
      <c r="F60" s="87" t="s">
        <v>123</v>
      </c>
      <c r="G60" s="147" t="s">
        <v>2286</v>
      </c>
      <c r="H60" s="108"/>
      <c r="I60" s="87" t="s">
        <v>43</v>
      </c>
      <c r="J60" s="87" t="s">
        <v>483</v>
      </c>
      <c r="K60" s="144" t="s">
        <v>417</v>
      </c>
      <c r="L60" s="104">
        <f t="shared" si="1"/>
        <v>3550</v>
      </c>
    </row>
    <row r="61" spans="1:12" ht="39" customHeight="1">
      <c r="A61" s="115">
        <v>57</v>
      </c>
      <c r="B61" s="91" t="s">
        <v>595</v>
      </c>
      <c r="C61" s="153">
        <v>3700</v>
      </c>
      <c r="D61" s="91" t="s">
        <v>226</v>
      </c>
      <c r="E61" s="154" t="s">
        <v>19</v>
      </c>
      <c r="F61" s="91" t="s">
        <v>123</v>
      </c>
      <c r="G61" s="151" t="s">
        <v>2286</v>
      </c>
      <c r="H61" s="123"/>
      <c r="I61" s="91" t="s">
        <v>16</v>
      </c>
      <c r="J61" s="91" t="s">
        <v>16</v>
      </c>
      <c r="K61" s="144" t="s">
        <v>417</v>
      </c>
      <c r="L61" s="145">
        <f t="shared" si="1"/>
        <v>3700</v>
      </c>
    </row>
    <row r="62" spans="1:12" ht="64.5" customHeight="1">
      <c r="A62" s="115">
        <v>58</v>
      </c>
      <c r="B62" s="87" t="s">
        <v>599</v>
      </c>
      <c r="C62" s="94">
        <v>3150</v>
      </c>
      <c r="D62" s="87" t="s">
        <v>226</v>
      </c>
      <c r="E62" s="87" t="s">
        <v>19</v>
      </c>
      <c r="F62" s="87" t="s">
        <v>1126</v>
      </c>
      <c r="G62" s="155" t="s">
        <v>2287</v>
      </c>
      <c r="H62" s="108" t="s">
        <v>2288</v>
      </c>
      <c r="I62" s="87" t="s">
        <v>89</v>
      </c>
      <c r="J62" s="185" t="s">
        <v>89</v>
      </c>
      <c r="K62" s="102" t="s">
        <v>417</v>
      </c>
      <c r="L62" s="104">
        <f t="shared" si="1"/>
        <v>3150</v>
      </c>
    </row>
    <row r="63" spans="1:12" ht="39" customHeight="1">
      <c r="A63" s="115">
        <v>59</v>
      </c>
      <c r="B63" s="177" t="s">
        <v>636</v>
      </c>
      <c r="C63" s="186">
        <v>2950</v>
      </c>
      <c r="D63" s="187" t="s">
        <v>226</v>
      </c>
      <c r="E63" s="177" t="s">
        <v>19</v>
      </c>
      <c r="F63" s="177" t="s">
        <v>2194</v>
      </c>
      <c r="G63" s="155" t="s">
        <v>2289</v>
      </c>
      <c r="H63" s="188" t="s">
        <v>2290</v>
      </c>
      <c r="I63" s="177" t="s">
        <v>84</v>
      </c>
      <c r="J63" s="189" t="s">
        <v>84</v>
      </c>
      <c r="K63" s="102" t="s">
        <v>417</v>
      </c>
      <c r="L63" s="104">
        <f t="shared" si="1"/>
        <v>2950</v>
      </c>
    </row>
    <row r="64" spans="1:12" ht="39" customHeight="1">
      <c r="A64" s="115">
        <v>60</v>
      </c>
      <c r="B64" s="180" t="s">
        <v>2291</v>
      </c>
      <c r="C64" s="190">
        <v>2500</v>
      </c>
      <c r="D64" s="191" t="s">
        <v>226</v>
      </c>
      <c r="E64" s="180" t="s">
        <v>19</v>
      </c>
      <c r="F64" s="180" t="s">
        <v>2194</v>
      </c>
      <c r="G64" s="156" t="s">
        <v>2292</v>
      </c>
      <c r="H64" s="184" t="s">
        <v>2293</v>
      </c>
      <c r="I64" s="180" t="s">
        <v>43</v>
      </c>
      <c r="J64" s="174" t="s">
        <v>483</v>
      </c>
      <c r="K64" s="144" t="s">
        <v>417</v>
      </c>
      <c r="L64" s="104">
        <f t="shared" si="1"/>
        <v>2500</v>
      </c>
    </row>
    <row r="65" spans="1:12" ht="43.5" customHeight="1">
      <c r="A65" s="158">
        <v>61</v>
      </c>
      <c r="B65" s="158" t="s">
        <v>1887</v>
      </c>
      <c r="C65" s="159">
        <v>3750</v>
      </c>
      <c r="D65" s="192" t="s">
        <v>226</v>
      </c>
      <c r="E65" s="158" t="s">
        <v>19</v>
      </c>
      <c r="F65" s="158" t="s">
        <v>123</v>
      </c>
      <c r="G65" s="160" t="s">
        <v>2286</v>
      </c>
      <c r="H65" s="161" t="s">
        <v>2294</v>
      </c>
      <c r="I65" s="158" t="s">
        <v>84</v>
      </c>
      <c r="J65" s="158" t="s">
        <v>84</v>
      </c>
      <c r="K65" s="144" t="s">
        <v>417</v>
      </c>
      <c r="L65" s="104">
        <f>C65</f>
        <v>3750</v>
      </c>
    </row>
    <row r="66" spans="1:12">
      <c r="A66" s="102"/>
      <c r="B66" s="102"/>
      <c r="C66" s="193"/>
      <c r="D66" s="102"/>
      <c r="E66" s="102"/>
      <c r="F66" s="102"/>
      <c r="G66" s="157"/>
      <c r="H66" s="143" t="s">
        <v>222</v>
      </c>
      <c r="I66" s="102"/>
      <c r="J66" s="102"/>
      <c r="K66" s="102"/>
    </row>
  </sheetData>
  <autoFilter ref="A4:P66" xr:uid="{00000000-0009-0000-0000-00000E000000}"/>
  <mergeCells count="3">
    <mergeCell ref="C1:H1"/>
    <mergeCell ref="A2:H2"/>
    <mergeCell ref="H3:I3"/>
  </mergeCells>
  <conditionalFormatting sqref="A1:A6 A11:A12 A17 A19 A21 A23 A25:A26 A30 A66:A1048576">
    <cfRule type="duplicateValues" dxfId="578" priority="30"/>
  </conditionalFormatting>
  <conditionalFormatting sqref="A5:A6">
    <cfRule type="duplicateValues" dxfId="577" priority="18"/>
    <cfRule type="duplicateValues" dxfId="576" priority="19"/>
    <cfRule type="duplicateValues" dxfId="575" priority="20"/>
  </conditionalFormatting>
  <conditionalFormatting sqref="A13:A16 A18 A20 A22 A24">
    <cfRule type="duplicateValues" dxfId="574" priority="8"/>
  </conditionalFormatting>
  <conditionalFormatting sqref="A27">
    <cfRule type="duplicateValues" dxfId="573" priority="3"/>
  </conditionalFormatting>
  <conditionalFormatting sqref="A28:A29">
    <cfRule type="duplicateValues" dxfId="572" priority="5"/>
  </conditionalFormatting>
  <conditionalFormatting sqref="A31:A45 A47:A65">
    <cfRule type="duplicateValues" dxfId="571" priority="351"/>
  </conditionalFormatting>
  <conditionalFormatting sqref="A46">
    <cfRule type="duplicateValues" dxfId="570" priority="1"/>
  </conditionalFormatting>
  <conditionalFormatting sqref="B3:B4">
    <cfRule type="duplicateValues" dxfId="569" priority="27"/>
    <cfRule type="duplicateValues" dxfId="568" priority="28"/>
    <cfRule type="duplicateValues" dxfId="567" priority="29"/>
  </conditionalFormatting>
  <conditionalFormatting sqref="B5:B6">
    <cfRule type="duplicateValues" dxfId="566" priority="15"/>
    <cfRule type="duplicateValues" dxfId="565" priority="16"/>
    <cfRule type="duplicateValues" dxfId="564" priority="17"/>
  </conditionalFormatting>
  <pageMargins left="0.7" right="0.7" top="0.75" bottom="0.75" header="0.3" footer="0.3"/>
  <pageSetup paperSize="9" scale="31" orientation="landscape"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pageSetUpPr fitToPage="1"/>
  </sheetPr>
  <dimension ref="A1:M65"/>
  <sheetViews>
    <sheetView zoomScale="70" zoomScaleNormal="70" workbookViewId="0">
      <pane xSplit="3" ySplit="4" topLeftCell="D5" activePane="bottomRight" state="frozen"/>
      <selection pane="topRight" activeCell="E6" sqref="E6"/>
      <selection pane="bottomLeft" activeCell="E6" sqref="E6"/>
      <selection pane="bottomRight" activeCell="E6" sqref="E6"/>
    </sheetView>
  </sheetViews>
  <sheetFormatPr defaultColWidth="25.5703125" defaultRowHeight="18.75"/>
  <cols>
    <col min="1" max="1" width="7.28515625" style="1" customWidth="1"/>
    <col min="2" max="2" width="27.42578125" style="1" customWidth="1"/>
    <col min="3" max="3" width="17.42578125" style="2" customWidth="1"/>
    <col min="4" max="4" width="24.28515625" style="1" customWidth="1"/>
    <col min="5" max="5" width="19.5703125" style="1" customWidth="1"/>
    <col min="6" max="6" width="24.28515625" style="1" customWidth="1"/>
    <col min="7" max="7" width="55" style="9" customWidth="1"/>
    <col min="8" max="8" width="43.7109375" style="9" customWidth="1"/>
    <col min="9" max="9" width="19" style="1" customWidth="1"/>
    <col min="10" max="10" width="21.7109375" style="1" customWidth="1"/>
    <col min="11" max="11" width="22.28515625" style="2" customWidth="1"/>
    <col min="12" max="12" width="27.42578125" style="3" customWidth="1"/>
    <col min="13" max="13" width="44" style="3" bestFit="1" customWidth="1"/>
    <col min="14" max="14" width="34.5703125" style="3" customWidth="1"/>
    <col min="15" max="16384" width="25.5703125" style="3"/>
  </cols>
  <sheetData>
    <row r="1" spans="1:13" ht="36" customHeight="1">
      <c r="B1" s="10"/>
      <c r="C1" s="3657"/>
      <c r="D1" s="3657"/>
      <c r="E1" s="3657"/>
      <c r="F1" s="3657"/>
      <c r="G1" s="3657"/>
      <c r="H1" s="3657"/>
    </row>
    <row r="2" spans="1:13" ht="41.25" customHeight="1">
      <c r="A2" s="3672" t="s">
        <v>2295</v>
      </c>
      <c r="B2" s="3673"/>
      <c r="C2" s="3673"/>
      <c r="D2" s="3673"/>
      <c r="E2" s="3673"/>
      <c r="F2" s="3673"/>
      <c r="G2" s="3673"/>
      <c r="H2" s="3674"/>
      <c r="I2" s="46"/>
      <c r="J2" s="47"/>
      <c r="K2" s="46"/>
      <c r="L2" s="4"/>
    </row>
    <row r="3" spans="1:13" ht="24" customHeight="1">
      <c r="A3" s="41"/>
      <c r="B3" s="48"/>
      <c r="C3" s="49">
        <f>SUBTOTAL(9,C5:C964)</f>
        <v>211435</v>
      </c>
      <c r="D3" s="50"/>
      <c r="E3" s="50"/>
      <c r="F3" s="48"/>
      <c r="G3" s="51"/>
      <c r="H3" s="3675">
        <f ca="1">TODAY()</f>
        <v>45960</v>
      </c>
      <c r="I3" s="3675"/>
      <c r="J3" s="1198"/>
      <c r="K3" s="52"/>
    </row>
    <row r="4" spans="1:13" s="7" customFormat="1" ht="37.5">
      <c r="A4" s="53" t="s">
        <v>1</v>
      </c>
      <c r="B4" s="53" t="s">
        <v>2</v>
      </c>
      <c r="C4" s="54" t="s">
        <v>3</v>
      </c>
      <c r="D4" s="53" t="s">
        <v>4</v>
      </c>
      <c r="E4" s="53" t="s">
        <v>8</v>
      </c>
      <c r="F4" s="53" t="s">
        <v>9</v>
      </c>
      <c r="G4" s="55" t="s">
        <v>10</v>
      </c>
      <c r="H4" s="53" t="s">
        <v>11</v>
      </c>
      <c r="I4" s="53" t="s">
        <v>5</v>
      </c>
      <c r="J4" s="53" t="s">
        <v>1215</v>
      </c>
      <c r="K4" s="54" t="s">
        <v>1898</v>
      </c>
      <c r="L4" s="53" t="s">
        <v>341</v>
      </c>
    </row>
    <row r="5" spans="1:13" ht="78.75" customHeight="1">
      <c r="A5" s="17">
        <v>1</v>
      </c>
      <c r="B5" s="23" t="s">
        <v>523</v>
      </c>
      <c r="C5" s="24">
        <v>4000</v>
      </c>
      <c r="D5" s="17" t="s">
        <v>2296</v>
      </c>
      <c r="E5" s="17" t="s">
        <v>19</v>
      </c>
      <c r="F5" s="17" t="s">
        <v>172</v>
      </c>
      <c r="G5" s="21" t="s">
        <v>2297</v>
      </c>
      <c r="H5" s="22" t="s">
        <v>2298</v>
      </c>
      <c r="I5" s="17" t="s">
        <v>84</v>
      </c>
      <c r="J5" s="17" t="s">
        <v>417</v>
      </c>
      <c r="K5" s="24">
        <f t="shared" ref="K5:K36" si="0">C5</f>
        <v>4000</v>
      </c>
      <c r="L5" s="41" t="s">
        <v>84</v>
      </c>
      <c r="M5" s="37">
        <f>SUMIF($I:$I,L5,K:K)</f>
        <v>59380</v>
      </c>
    </row>
    <row r="6" spans="1:13" ht="33.75" customHeight="1">
      <c r="A6" s="17">
        <v>2</v>
      </c>
      <c r="B6" s="23" t="s">
        <v>526</v>
      </c>
      <c r="C6" s="24">
        <v>3400</v>
      </c>
      <c r="D6" s="17" t="s">
        <v>2296</v>
      </c>
      <c r="E6" s="17" t="s">
        <v>19</v>
      </c>
      <c r="F6" s="17" t="s">
        <v>172</v>
      </c>
      <c r="G6" s="21" t="s">
        <v>2299</v>
      </c>
      <c r="H6" s="22" t="s">
        <v>2300</v>
      </c>
      <c r="I6" s="17" t="s">
        <v>43</v>
      </c>
      <c r="J6" s="17" t="s">
        <v>417</v>
      </c>
      <c r="K6" s="24">
        <f t="shared" si="0"/>
        <v>3400</v>
      </c>
      <c r="L6" s="41" t="s">
        <v>89</v>
      </c>
      <c r="M6" s="37">
        <f>SUMIF($I:$I,L6,K:K)</f>
        <v>50725</v>
      </c>
    </row>
    <row r="7" spans="1:13" ht="79.5" customHeight="1">
      <c r="A7" s="17">
        <v>3</v>
      </c>
      <c r="B7" s="61" t="s">
        <v>2301</v>
      </c>
      <c r="C7" s="24">
        <v>3020</v>
      </c>
      <c r="D7" s="17" t="s">
        <v>2302</v>
      </c>
      <c r="E7" s="17" t="s">
        <v>19</v>
      </c>
      <c r="F7" s="17" t="s">
        <v>172</v>
      </c>
      <c r="G7" s="21" t="s">
        <v>2303</v>
      </c>
      <c r="H7" s="22" t="s">
        <v>2304</v>
      </c>
      <c r="I7" s="17" t="s">
        <v>54</v>
      </c>
      <c r="J7" s="17" t="s">
        <v>417</v>
      </c>
      <c r="K7" s="24">
        <f t="shared" si="0"/>
        <v>3020</v>
      </c>
      <c r="L7" s="38" t="s">
        <v>54</v>
      </c>
      <c r="M7" s="37">
        <f>SUMIF($I:$I,L7,K:K)</f>
        <v>24520</v>
      </c>
    </row>
    <row r="8" spans="1:13" ht="104.25" customHeight="1">
      <c r="A8" s="17">
        <v>4</v>
      </c>
      <c r="B8" s="61" t="s">
        <v>2305</v>
      </c>
      <c r="C8" s="24">
        <v>3150</v>
      </c>
      <c r="D8" s="17" t="s">
        <v>2302</v>
      </c>
      <c r="E8" s="17" t="s">
        <v>19</v>
      </c>
      <c r="F8" s="17" t="s">
        <v>101</v>
      </c>
      <c r="G8" s="22" t="s">
        <v>2306</v>
      </c>
      <c r="H8" s="22" t="s">
        <v>2307</v>
      </c>
      <c r="I8" s="17" t="s">
        <v>54</v>
      </c>
      <c r="J8" s="17" t="s">
        <v>417</v>
      </c>
      <c r="K8" s="24">
        <f t="shared" si="0"/>
        <v>3150</v>
      </c>
      <c r="L8" s="41" t="s">
        <v>16</v>
      </c>
      <c r="M8" s="37">
        <f>SUMIF($I:$I,L8,K:K)</f>
        <v>43580</v>
      </c>
    </row>
    <row r="9" spans="1:13" ht="45" customHeight="1">
      <c r="A9" s="17">
        <v>5</v>
      </c>
      <c r="B9" s="23" t="s">
        <v>1196</v>
      </c>
      <c r="C9" s="24">
        <v>3150</v>
      </c>
      <c r="D9" s="62" t="s">
        <v>2308</v>
      </c>
      <c r="E9" s="17" t="s">
        <v>19</v>
      </c>
      <c r="F9" s="17" t="s">
        <v>927</v>
      </c>
      <c r="G9" s="22" t="s">
        <v>2309</v>
      </c>
      <c r="H9" s="22" t="s">
        <v>2310</v>
      </c>
      <c r="I9" s="17" t="s">
        <v>16</v>
      </c>
      <c r="J9" s="17" t="s">
        <v>1737</v>
      </c>
      <c r="K9" s="24">
        <f t="shared" si="0"/>
        <v>3150</v>
      </c>
      <c r="L9" s="38" t="s">
        <v>43</v>
      </c>
      <c r="M9" s="37">
        <f>SUMIF($I:$I,L9,K:K)</f>
        <v>33230</v>
      </c>
    </row>
    <row r="10" spans="1:13" ht="79.5" customHeight="1">
      <c r="A10" s="17">
        <v>6</v>
      </c>
      <c r="B10" s="17" t="s">
        <v>2311</v>
      </c>
      <c r="C10" s="24">
        <v>3700</v>
      </c>
      <c r="D10" s="62" t="s">
        <v>2308</v>
      </c>
      <c r="E10" s="17" t="s">
        <v>19</v>
      </c>
      <c r="F10" s="17" t="s">
        <v>172</v>
      </c>
      <c r="G10" s="22" t="s">
        <v>2312</v>
      </c>
      <c r="H10" s="22" t="s">
        <v>2313</v>
      </c>
      <c r="I10" s="17" t="s">
        <v>2314</v>
      </c>
      <c r="J10" s="17" t="s">
        <v>417</v>
      </c>
      <c r="K10" s="63">
        <f t="shared" si="0"/>
        <v>3700</v>
      </c>
    </row>
    <row r="11" spans="1:13" ht="78.75" customHeight="1">
      <c r="A11" s="17">
        <v>7</v>
      </c>
      <c r="B11" s="23" t="s">
        <v>1774</v>
      </c>
      <c r="C11" s="24">
        <v>2630</v>
      </c>
      <c r="D11" s="62" t="s">
        <v>2130</v>
      </c>
      <c r="E11" s="17" t="s">
        <v>19</v>
      </c>
      <c r="F11" s="17" t="s">
        <v>123</v>
      </c>
      <c r="G11" s="22" t="s">
        <v>2315</v>
      </c>
      <c r="H11" s="22" t="s">
        <v>2316</v>
      </c>
      <c r="I11" s="17" t="s">
        <v>43</v>
      </c>
      <c r="J11" s="17" t="s">
        <v>1920</v>
      </c>
      <c r="K11" s="24">
        <f t="shared" si="0"/>
        <v>2630</v>
      </c>
      <c r="L11" s="12"/>
      <c r="M11" s="11"/>
    </row>
    <row r="12" spans="1:13" ht="63" customHeight="1">
      <c r="A12" s="17">
        <v>8</v>
      </c>
      <c r="B12" s="23" t="s">
        <v>1418</v>
      </c>
      <c r="C12" s="24">
        <v>3530</v>
      </c>
      <c r="D12" s="62" t="s">
        <v>2130</v>
      </c>
      <c r="E12" s="17" t="s">
        <v>19</v>
      </c>
      <c r="F12" s="17" t="s">
        <v>101</v>
      </c>
      <c r="G12" s="21" t="s">
        <v>2317</v>
      </c>
      <c r="H12" s="22" t="s">
        <v>2318</v>
      </c>
      <c r="I12" s="17" t="s">
        <v>84</v>
      </c>
      <c r="J12" s="17" t="s">
        <v>417</v>
      </c>
      <c r="K12" s="24">
        <f t="shared" si="0"/>
        <v>3530</v>
      </c>
      <c r="L12" s="12"/>
      <c r="M12" s="11"/>
    </row>
    <row r="13" spans="1:13" ht="63" customHeight="1">
      <c r="A13" s="17">
        <v>9</v>
      </c>
      <c r="B13" s="23" t="s">
        <v>1583</v>
      </c>
      <c r="C13" s="24">
        <v>2300</v>
      </c>
      <c r="D13" s="62" t="s">
        <v>2130</v>
      </c>
      <c r="E13" s="17" t="s">
        <v>19</v>
      </c>
      <c r="F13" s="17" t="s">
        <v>123</v>
      </c>
      <c r="G13" s="21" t="s">
        <v>2319</v>
      </c>
      <c r="H13" s="22" t="s">
        <v>2320</v>
      </c>
      <c r="I13" s="17" t="s">
        <v>43</v>
      </c>
      <c r="J13" s="17" t="s">
        <v>1528</v>
      </c>
      <c r="K13" s="24">
        <f t="shared" si="0"/>
        <v>2300</v>
      </c>
      <c r="L13" s="12"/>
      <c r="M13" s="11"/>
    </row>
    <row r="14" spans="1:13" ht="65.25" customHeight="1">
      <c r="A14" s="17">
        <v>10</v>
      </c>
      <c r="B14" s="23" t="s">
        <v>1330</v>
      </c>
      <c r="C14" s="24">
        <v>3900</v>
      </c>
      <c r="D14" s="62" t="s">
        <v>2130</v>
      </c>
      <c r="E14" s="17" t="s">
        <v>19</v>
      </c>
      <c r="F14" s="17" t="s">
        <v>123</v>
      </c>
      <c r="G14" s="21" t="s">
        <v>2319</v>
      </c>
      <c r="H14" s="22" t="s">
        <v>2321</v>
      </c>
      <c r="I14" s="17" t="s">
        <v>16</v>
      </c>
      <c r="J14" s="17" t="s">
        <v>1528</v>
      </c>
      <c r="K14" s="24">
        <f t="shared" si="0"/>
        <v>3900</v>
      </c>
    </row>
    <row r="15" spans="1:13" ht="150" customHeight="1">
      <c r="A15" s="17">
        <v>11</v>
      </c>
      <c r="B15" s="23" t="s">
        <v>2322</v>
      </c>
      <c r="C15" s="24">
        <v>5050</v>
      </c>
      <c r="D15" s="62" t="s">
        <v>2323</v>
      </c>
      <c r="E15" s="17" t="s">
        <v>19</v>
      </c>
      <c r="F15" s="17" t="s">
        <v>101</v>
      </c>
      <c r="G15" s="21" t="s">
        <v>2324</v>
      </c>
      <c r="H15" s="31" t="s">
        <v>2325</v>
      </c>
      <c r="I15" s="17" t="s">
        <v>16</v>
      </c>
      <c r="J15" s="17" t="s">
        <v>417</v>
      </c>
      <c r="K15" s="24">
        <f t="shared" si="0"/>
        <v>5050</v>
      </c>
    </row>
    <row r="16" spans="1:13" ht="102" customHeight="1">
      <c r="A16" s="17">
        <v>12</v>
      </c>
      <c r="B16" s="17" t="s">
        <v>2326</v>
      </c>
      <c r="C16" s="20">
        <v>3100</v>
      </c>
      <c r="D16" s="17" t="s">
        <v>2327</v>
      </c>
      <c r="E16" s="17" t="s">
        <v>19</v>
      </c>
      <c r="F16" s="17" t="s">
        <v>172</v>
      </c>
      <c r="G16" s="21" t="s">
        <v>2328</v>
      </c>
      <c r="H16" s="22" t="s">
        <v>2329</v>
      </c>
      <c r="I16" s="17" t="s">
        <v>84</v>
      </c>
      <c r="J16" s="17" t="s">
        <v>2330</v>
      </c>
      <c r="K16" s="17">
        <f t="shared" si="0"/>
        <v>3100</v>
      </c>
    </row>
    <row r="17" spans="1:11" ht="103.5" customHeight="1">
      <c r="A17" s="17">
        <v>13</v>
      </c>
      <c r="B17" s="17" t="s">
        <v>1101</v>
      </c>
      <c r="C17" s="20">
        <v>4330</v>
      </c>
      <c r="D17" s="17" t="s">
        <v>2327</v>
      </c>
      <c r="E17" s="17" t="s">
        <v>19</v>
      </c>
      <c r="F17" s="17" t="s">
        <v>172</v>
      </c>
      <c r="G17" s="21" t="s">
        <v>2331</v>
      </c>
      <c r="H17" s="22" t="s">
        <v>2332</v>
      </c>
      <c r="I17" s="17" t="s">
        <v>16</v>
      </c>
      <c r="J17" s="17" t="s">
        <v>2019</v>
      </c>
      <c r="K17" s="17">
        <f t="shared" si="0"/>
        <v>4330</v>
      </c>
    </row>
    <row r="18" spans="1:11" ht="86.25" customHeight="1">
      <c r="A18" s="17">
        <v>14</v>
      </c>
      <c r="B18" s="17" t="s">
        <v>2333</v>
      </c>
      <c r="C18" s="20">
        <v>3050</v>
      </c>
      <c r="D18" s="17" t="s">
        <v>2327</v>
      </c>
      <c r="E18" s="17" t="s">
        <v>19</v>
      </c>
      <c r="F18" s="17" t="s">
        <v>927</v>
      </c>
      <c r="G18" s="21" t="s">
        <v>2334</v>
      </c>
      <c r="H18" s="22" t="s">
        <v>2335</v>
      </c>
      <c r="I18" s="17" t="s">
        <v>2314</v>
      </c>
      <c r="J18" s="17" t="s">
        <v>1528</v>
      </c>
      <c r="K18" s="17">
        <f t="shared" si="0"/>
        <v>3050</v>
      </c>
    </row>
    <row r="19" spans="1:11" ht="61.5" customHeight="1">
      <c r="A19" s="17">
        <v>15</v>
      </c>
      <c r="B19" s="17" t="s">
        <v>2336</v>
      </c>
      <c r="C19" s="24">
        <v>2950</v>
      </c>
      <c r="D19" s="17" t="s">
        <v>2337</v>
      </c>
      <c r="E19" s="17" t="s">
        <v>19</v>
      </c>
      <c r="F19" s="17" t="s">
        <v>172</v>
      </c>
      <c r="G19" s="25" t="s">
        <v>2338</v>
      </c>
      <c r="H19" s="25" t="s">
        <v>2339</v>
      </c>
      <c r="I19" s="17" t="s">
        <v>2314</v>
      </c>
      <c r="J19" s="17" t="s">
        <v>2340</v>
      </c>
      <c r="K19" s="17">
        <f t="shared" si="0"/>
        <v>2950</v>
      </c>
    </row>
    <row r="20" spans="1:11" ht="86.25" customHeight="1">
      <c r="A20" s="17">
        <v>16</v>
      </c>
      <c r="B20" s="17" t="s">
        <v>2341</v>
      </c>
      <c r="C20" s="20">
        <v>2800</v>
      </c>
      <c r="D20" s="17" t="s">
        <v>2337</v>
      </c>
      <c r="E20" s="17" t="s">
        <v>19</v>
      </c>
      <c r="F20" s="17" t="s">
        <v>741</v>
      </c>
      <c r="G20" s="21" t="s">
        <v>2342</v>
      </c>
      <c r="H20" s="22" t="s">
        <v>2343</v>
      </c>
      <c r="I20" s="17" t="s">
        <v>84</v>
      </c>
      <c r="J20" s="17" t="s">
        <v>1998</v>
      </c>
      <c r="K20" s="17">
        <f t="shared" si="0"/>
        <v>2800</v>
      </c>
    </row>
    <row r="21" spans="1:11" ht="70.5" customHeight="1">
      <c r="A21" s="17">
        <v>17</v>
      </c>
      <c r="B21" s="17" t="s">
        <v>2139</v>
      </c>
      <c r="C21" s="20">
        <v>3350</v>
      </c>
      <c r="D21" s="17" t="s">
        <v>226</v>
      </c>
      <c r="E21" s="17" t="s">
        <v>19</v>
      </c>
      <c r="F21" s="17" t="s">
        <v>172</v>
      </c>
      <c r="G21" s="21" t="s">
        <v>2344</v>
      </c>
      <c r="H21" s="22" t="s">
        <v>2345</v>
      </c>
      <c r="I21" s="17" t="s">
        <v>84</v>
      </c>
      <c r="J21" s="17" t="s">
        <v>2340</v>
      </c>
      <c r="K21" s="17">
        <f t="shared" si="0"/>
        <v>3350</v>
      </c>
    </row>
    <row r="22" spans="1:11" ht="90" customHeight="1">
      <c r="A22" s="17">
        <v>18</v>
      </c>
      <c r="B22" s="17" t="s">
        <v>2346</v>
      </c>
      <c r="C22" s="20">
        <v>2520</v>
      </c>
      <c r="D22" s="17" t="s">
        <v>226</v>
      </c>
      <c r="E22" s="17" t="s">
        <v>19</v>
      </c>
      <c r="F22" s="17" t="s">
        <v>172</v>
      </c>
      <c r="G22" s="21" t="s">
        <v>2347</v>
      </c>
      <c r="H22" s="22" t="s">
        <v>2348</v>
      </c>
      <c r="I22" s="17" t="s">
        <v>16</v>
      </c>
      <c r="J22" s="17" t="s">
        <v>2349</v>
      </c>
      <c r="K22" s="17">
        <f t="shared" si="0"/>
        <v>2520</v>
      </c>
    </row>
    <row r="23" spans="1:11" ht="103.5" customHeight="1">
      <c r="A23" s="17">
        <v>19</v>
      </c>
      <c r="B23" s="17" t="s">
        <v>2350</v>
      </c>
      <c r="C23" s="20">
        <v>4300</v>
      </c>
      <c r="D23" s="17" t="s">
        <v>226</v>
      </c>
      <c r="E23" s="17" t="s">
        <v>19</v>
      </c>
      <c r="F23" s="17" t="s">
        <v>172</v>
      </c>
      <c r="G23" s="21" t="s">
        <v>2351</v>
      </c>
      <c r="H23" s="22" t="s">
        <v>2352</v>
      </c>
      <c r="I23" s="17" t="s">
        <v>2314</v>
      </c>
      <c r="J23" s="23" t="s">
        <v>2353</v>
      </c>
      <c r="K23" s="57">
        <f t="shared" si="0"/>
        <v>4300</v>
      </c>
    </row>
    <row r="24" spans="1:11" ht="36.75" customHeight="1">
      <c r="A24" s="17">
        <v>20</v>
      </c>
      <c r="B24" s="17" t="s">
        <v>2354</v>
      </c>
      <c r="C24" s="20">
        <v>3090</v>
      </c>
      <c r="D24" s="17" t="s">
        <v>226</v>
      </c>
      <c r="E24" s="17" t="s">
        <v>19</v>
      </c>
      <c r="F24" s="17" t="s">
        <v>172</v>
      </c>
      <c r="G24" s="21" t="s">
        <v>2355</v>
      </c>
      <c r="H24" s="22"/>
      <c r="I24" s="17" t="s">
        <v>2314</v>
      </c>
      <c r="J24" s="17"/>
      <c r="K24" s="57">
        <f t="shared" si="0"/>
        <v>3090</v>
      </c>
    </row>
    <row r="25" spans="1:11" ht="45.75" customHeight="1">
      <c r="A25" s="17">
        <v>21</v>
      </c>
      <c r="B25" s="14" t="s">
        <v>1995</v>
      </c>
      <c r="C25" s="20">
        <v>4350</v>
      </c>
      <c r="D25" s="17" t="s">
        <v>226</v>
      </c>
      <c r="E25" s="17" t="s">
        <v>19</v>
      </c>
      <c r="F25" s="17" t="s">
        <v>101</v>
      </c>
      <c r="G25" s="21" t="s">
        <v>2356</v>
      </c>
      <c r="H25" s="22"/>
      <c r="I25" s="17" t="s">
        <v>54</v>
      </c>
      <c r="J25" s="17" t="s">
        <v>2357</v>
      </c>
      <c r="K25" s="57">
        <f t="shared" si="0"/>
        <v>4350</v>
      </c>
    </row>
    <row r="26" spans="1:11" ht="47.25" customHeight="1">
      <c r="A26" s="17">
        <v>22</v>
      </c>
      <c r="B26" s="17" t="s">
        <v>496</v>
      </c>
      <c r="C26" s="20">
        <v>3250</v>
      </c>
      <c r="D26" s="17" t="s">
        <v>226</v>
      </c>
      <c r="E26" s="17" t="s">
        <v>19</v>
      </c>
      <c r="F26" s="17" t="s">
        <v>172</v>
      </c>
      <c r="G26" s="21" t="s">
        <v>2358</v>
      </c>
      <c r="H26" s="22"/>
      <c r="I26" s="17" t="s">
        <v>2314</v>
      </c>
      <c r="J26" s="17"/>
      <c r="K26" s="57">
        <f t="shared" si="0"/>
        <v>3250</v>
      </c>
    </row>
    <row r="27" spans="1:11" ht="47.25" customHeight="1">
      <c r="A27" s="17">
        <v>23</v>
      </c>
      <c r="B27" s="17" t="s">
        <v>543</v>
      </c>
      <c r="C27" s="20">
        <v>3090</v>
      </c>
      <c r="D27" s="17" t="s">
        <v>226</v>
      </c>
      <c r="E27" s="17" t="s">
        <v>19</v>
      </c>
      <c r="F27" s="17" t="s">
        <v>172</v>
      </c>
      <c r="G27" s="21" t="s">
        <v>2359</v>
      </c>
      <c r="H27" s="22"/>
      <c r="I27" s="17" t="s">
        <v>84</v>
      </c>
      <c r="J27" s="17"/>
      <c r="K27" s="57">
        <f t="shared" si="0"/>
        <v>3090</v>
      </c>
    </row>
    <row r="28" spans="1:11" ht="47.25" customHeight="1">
      <c r="A28" s="17">
        <v>24</v>
      </c>
      <c r="B28" s="17" t="s">
        <v>540</v>
      </c>
      <c r="C28" s="20">
        <v>3500</v>
      </c>
      <c r="D28" s="17" t="s">
        <v>226</v>
      </c>
      <c r="E28" s="17" t="s">
        <v>19</v>
      </c>
      <c r="F28" s="17" t="s">
        <v>172</v>
      </c>
      <c r="G28" s="21" t="s">
        <v>2360</v>
      </c>
      <c r="H28" s="22"/>
      <c r="I28" s="17" t="s">
        <v>43</v>
      </c>
      <c r="J28" s="17"/>
      <c r="K28" s="57">
        <f t="shared" si="0"/>
        <v>3500</v>
      </c>
    </row>
    <row r="29" spans="1:11" ht="47.25" customHeight="1">
      <c r="A29" s="17">
        <v>25</v>
      </c>
      <c r="B29" s="17" t="s">
        <v>274</v>
      </c>
      <c r="C29" s="20">
        <v>3900</v>
      </c>
      <c r="D29" s="17" t="s">
        <v>2361</v>
      </c>
      <c r="E29" s="17" t="s">
        <v>19</v>
      </c>
      <c r="F29" s="17" t="s">
        <v>253</v>
      </c>
      <c r="G29" s="21" t="s">
        <v>2362</v>
      </c>
      <c r="H29" s="22" t="s">
        <v>2363</v>
      </c>
      <c r="I29" s="17" t="s">
        <v>84</v>
      </c>
      <c r="J29" s="17" t="s">
        <v>1528</v>
      </c>
      <c r="K29" s="57">
        <f t="shared" si="0"/>
        <v>3900</v>
      </c>
    </row>
    <row r="30" spans="1:11" ht="93.75">
      <c r="A30" s="17">
        <v>26</v>
      </c>
      <c r="B30" s="17" t="s">
        <v>2364</v>
      </c>
      <c r="C30" s="20">
        <v>3500</v>
      </c>
      <c r="D30" s="17" t="s">
        <v>2361</v>
      </c>
      <c r="E30" s="17" t="s">
        <v>19</v>
      </c>
      <c r="F30" s="17" t="s">
        <v>101</v>
      </c>
      <c r="G30" s="21" t="s">
        <v>2365</v>
      </c>
      <c r="H30" s="22" t="s">
        <v>2366</v>
      </c>
      <c r="I30" s="17" t="s">
        <v>43</v>
      </c>
      <c r="J30" s="17" t="s">
        <v>417</v>
      </c>
      <c r="K30" s="57">
        <f t="shared" si="0"/>
        <v>3500</v>
      </c>
    </row>
    <row r="31" spans="1:11" ht="168.75">
      <c r="A31" s="17">
        <v>27</v>
      </c>
      <c r="B31" s="17" t="s">
        <v>1932</v>
      </c>
      <c r="C31" s="20">
        <v>4200</v>
      </c>
      <c r="D31" s="17" t="s">
        <v>2361</v>
      </c>
      <c r="E31" s="17" t="s">
        <v>19</v>
      </c>
      <c r="F31" s="17" t="s">
        <v>172</v>
      </c>
      <c r="G31" s="21" t="s">
        <v>2367</v>
      </c>
      <c r="H31" s="22" t="s">
        <v>2368</v>
      </c>
      <c r="I31" s="17" t="s">
        <v>16</v>
      </c>
      <c r="J31" s="17" t="s">
        <v>1998</v>
      </c>
      <c r="K31" s="57">
        <f t="shared" si="0"/>
        <v>4200</v>
      </c>
    </row>
    <row r="32" spans="1:11" ht="56.25">
      <c r="A32" s="17">
        <v>28</v>
      </c>
      <c r="B32" s="17" t="s">
        <v>2028</v>
      </c>
      <c r="C32" s="20">
        <v>4250</v>
      </c>
      <c r="D32" s="17" t="s">
        <v>2369</v>
      </c>
      <c r="E32" s="17" t="s">
        <v>19</v>
      </c>
      <c r="F32" s="17" t="s">
        <v>927</v>
      </c>
      <c r="G32" s="21" t="s">
        <v>2370</v>
      </c>
      <c r="H32" s="22" t="s">
        <v>2345</v>
      </c>
      <c r="I32" s="17" t="s">
        <v>2314</v>
      </c>
      <c r="J32" s="17" t="s">
        <v>1945</v>
      </c>
      <c r="K32" s="57">
        <f t="shared" si="0"/>
        <v>4250</v>
      </c>
    </row>
    <row r="33" spans="1:11" ht="75">
      <c r="A33" s="17">
        <v>29</v>
      </c>
      <c r="B33" s="17" t="s">
        <v>2371</v>
      </c>
      <c r="C33" s="20">
        <v>2700</v>
      </c>
      <c r="D33" s="17" t="s">
        <v>2369</v>
      </c>
      <c r="E33" s="17" t="s">
        <v>19</v>
      </c>
      <c r="F33" s="17" t="s">
        <v>253</v>
      </c>
      <c r="G33" s="21" t="s">
        <v>2372</v>
      </c>
      <c r="H33" s="22" t="s">
        <v>2373</v>
      </c>
      <c r="I33" s="17" t="s">
        <v>2314</v>
      </c>
      <c r="J33" s="17" t="s">
        <v>1528</v>
      </c>
      <c r="K33" s="57">
        <f t="shared" si="0"/>
        <v>2700</v>
      </c>
    </row>
    <row r="34" spans="1:11" ht="108" customHeight="1">
      <c r="A34" s="17">
        <v>30</v>
      </c>
      <c r="B34" s="17" t="s">
        <v>1001</v>
      </c>
      <c r="C34" s="20">
        <v>3400</v>
      </c>
      <c r="D34" s="17" t="s">
        <v>2374</v>
      </c>
      <c r="E34" s="17" t="s">
        <v>19</v>
      </c>
      <c r="F34" s="17" t="s">
        <v>172</v>
      </c>
      <c r="G34" s="21" t="s">
        <v>2375</v>
      </c>
      <c r="H34" s="22" t="s">
        <v>2376</v>
      </c>
      <c r="I34" s="17" t="s">
        <v>84</v>
      </c>
      <c r="J34" s="23" t="s">
        <v>2377</v>
      </c>
      <c r="K34" s="57">
        <f t="shared" si="0"/>
        <v>3400</v>
      </c>
    </row>
    <row r="35" spans="1:11" ht="56.25">
      <c r="A35" s="17">
        <v>31</v>
      </c>
      <c r="B35" s="17" t="s">
        <v>1524</v>
      </c>
      <c r="C35" s="20">
        <v>2500</v>
      </c>
      <c r="D35" s="17" t="s">
        <v>2374</v>
      </c>
      <c r="E35" s="17" t="s">
        <v>19</v>
      </c>
      <c r="F35" s="17" t="s">
        <v>172</v>
      </c>
      <c r="G35" s="21" t="s">
        <v>2378</v>
      </c>
      <c r="H35" s="22"/>
      <c r="I35" s="17" t="s">
        <v>43</v>
      </c>
      <c r="J35" s="17" t="s">
        <v>2379</v>
      </c>
      <c r="K35" s="57">
        <f t="shared" si="0"/>
        <v>2500</v>
      </c>
    </row>
    <row r="36" spans="1:11" ht="36" customHeight="1">
      <c r="A36" s="17">
        <v>32</v>
      </c>
      <c r="B36" s="17" t="s">
        <v>2380</v>
      </c>
      <c r="C36" s="24">
        <v>3150</v>
      </c>
      <c r="D36" s="17" t="s">
        <v>2381</v>
      </c>
      <c r="E36" s="17" t="s">
        <v>19</v>
      </c>
      <c r="F36" s="17" t="s">
        <v>172</v>
      </c>
      <c r="G36" s="25" t="s">
        <v>2382</v>
      </c>
      <c r="H36" s="25" t="s">
        <v>2383</v>
      </c>
      <c r="I36" s="17" t="s">
        <v>84</v>
      </c>
      <c r="J36" s="17" t="s">
        <v>2116</v>
      </c>
      <c r="K36" s="57">
        <f t="shared" si="0"/>
        <v>3150</v>
      </c>
    </row>
    <row r="37" spans="1:11" ht="87" customHeight="1">
      <c r="A37" s="17">
        <v>33</v>
      </c>
      <c r="B37" s="17" t="s">
        <v>2384</v>
      </c>
      <c r="C37" s="24">
        <v>4700</v>
      </c>
      <c r="D37" s="17" t="s">
        <v>2381</v>
      </c>
      <c r="E37" s="17" t="s">
        <v>19</v>
      </c>
      <c r="F37" s="17" t="s">
        <v>172</v>
      </c>
      <c r="G37" s="25" t="s">
        <v>2385</v>
      </c>
      <c r="H37" s="25" t="s">
        <v>2386</v>
      </c>
      <c r="I37" s="17" t="s">
        <v>16</v>
      </c>
      <c r="J37" s="17" t="s">
        <v>417</v>
      </c>
      <c r="K37" s="57">
        <f t="shared" ref="K37:K65" si="1">C37</f>
        <v>4700</v>
      </c>
    </row>
    <row r="38" spans="1:11" ht="45" customHeight="1">
      <c r="A38" s="17">
        <v>34</v>
      </c>
      <c r="B38" s="17" t="s">
        <v>2387</v>
      </c>
      <c r="C38" s="24">
        <v>3000</v>
      </c>
      <c r="D38" s="17" t="s">
        <v>2388</v>
      </c>
      <c r="E38" s="17" t="s">
        <v>19</v>
      </c>
      <c r="F38" s="17" t="s">
        <v>172</v>
      </c>
      <c r="G38" s="21" t="s">
        <v>2389</v>
      </c>
      <c r="H38" s="34" t="s">
        <v>2390</v>
      </c>
      <c r="I38" s="17" t="s">
        <v>2314</v>
      </c>
      <c r="J38" s="17" t="s">
        <v>417</v>
      </c>
      <c r="K38" s="57">
        <f t="shared" si="1"/>
        <v>3000</v>
      </c>
    </row>
    <row r="39" spans="1:11" ht="45.75" customHeight="1">
      <c r="A39" s="17">
        <v>35</v>
      </c>
      <c r="B39" s="17" t="s">
        <v>1786</v>
      </c>
      <c r="C39" s="24">
        <v>3250</v>
      </c>
      <c r="D39" s="17" t="s">
        <v>2388</v>
      </c>
      <c r="E39" s="17" t="s">
        <v>19</v>
      </c>
      <c r="F39" s="17" t="s">
        <v>172</v>
      </c>
      <c r="G39" s="25" t="s">
        <v>2391</v>
      </c>
      <c r="H39" s="34" t="s">
        <v>2392</v>
      </c>
      <c r="I39" s="17" t="s">
        <v>43</v>
      </c>
      <c r="J39" s="17" t="s">
        <v>417</v>
      </c>
      <c r="K39" s="57">
        <f t="shared" si="1"/>
        <v>3250</v>
      </c>
    </row>
    <row r="40" spans="1:11" ht="39" customHeight="1">
      <c r="A40" s="17">
        <v>36</v>
      </c>
      <c r="B40" s="17" t="s">
        <v>2122</v>
      </c>
      <c r="C40" s="24">
        <v>2450</v>
      </c>
      <c r="D40" s="17" t="s">
        <v>2388</v>
      </c>
      <c r="E40" s="17" t="s">
        <v>19</v>
      </c>
      <c r="F40" s="17" t="s">
        <v>172</v>
      </c>
      <c r="G40" s="25" t="s">
        <v>2393</v>
      </c>
      <c r="H40" s="34" t="s">
        <v>2394</v>
      </c>
      <c r="I40" s="17" t="s">
        <v>43</v>
      </c>
      <c r="J40" s="17" t="s">
        <v>417</v>
      </c>
      <c r="K40" s="57">
        <f t="shared" si="1"/>
        <v>2450</v>
      </c>
    </row>
    <row r="41" spans="1:11" ht="93.75">
      <c r="A41" s="17">
        <v>37</v>
      </c>
      <c r="B41" s="17" t="s">
        <v>626</v>
      </c>
      <c r="C41" s="24">
        <v>3100</v>
      </c>
      <c r="D41" s="17" t="s">
        <v>2395</v>
      </c>
      <c r="E41" s="17" t="s">
        <v>19</v>
      </c>
      <c r="F41" s="17" t="s">
        <v>172</v>
      </c>
      <c r="G41" s="25" t="s">
        <v>2396</v>
      </c>
      <c r="H41" s="34" t="s">
        <v>2397</v>
      </c>
      <c r="I41" s="17" t="s">
        <v>84</v>
      </c>
      <c r="J41" s="17" t="s">
        <v>2398</v>
      </c>
      <c r="K41" s="57">
        <f t="shared" si="1"/>
        <v>3100</v>
      </c>
    </row>
    <row r="42" spans="1:11" ht="56.25">
      <c r="A42" s="17">
        <v>38</v>
      </c>
      <c r="B42" s="17" t="s">
        <v>1681</v>
      </c>
      <c r="C42" s="24">
        <v>3650</v>
      </c>
      <c r="D42" s="17" t="s">
        <v>2399</v>
      </c>
      <c r="E42" s="17" t="s">
        <v>19</v>
      </c>
      <c r="F42" s="17" t="s">
        <v>741</v>
      </c>
      <c r="G42" s="25" t="s">
        <v>2400</v>
      </c>
      <c r="H42" s="34" t="s">
        <v>2401</v>
      </c>
      <c r="I42" s="17" t="s">
        <v>84</v>
      </c>
      <c r="J42" s="17" t="s">
        <v>2019</v>
      </c>
      <c r="K42" s="57">
        <f t="shared" si="1"/>
        <v>3650</v>
      </c>
    </row>
    <row r="43" spans="1:11" ht="45.75" customHeight="1">
      <c r="A43" s="17">
        <v>39</v>
      </c>
      <c r="B43" s="17" t="s">
        <v>914</v>
      </c>
      <c r="C43" s="24">
        <v>3550</v>
      </c>
      <c r="D43" s="17" t="s">
        <v>2399</v>
      </c>
      <c r="E43" s="17" t="s">
        <v>19</v>
      </c>
      <c r="F43" s="17" t="s">
        <v>172</v>
      </c>
      <c r="G43" s="25" t="s">
        <v>2402</v>
      </c>
      <c r="H43" s="34" t="s">
        <v>2403</v>
      </c>
      <c r="I43" s="17" t="s">
        <v>2314</v>
      </c>
      <c r="J43" s="17" t="s">
        <v>2398</v>
      </c>
      <c r="K43" s="57">
        <f t="shared" si="1"/>
        <v>3550</v>
      </c>
    </row>
    <row r="44" spans="1:11" ht="113.25" customHeight="1">
      <c r="A44" s="17">
        <v>40</v>
      </c>
      <c r="B44" s="14" t="s">
        <v>2404</v>
      </c>
      <c r="C44" s="24">
        <v>3350</v>
      </c>
      <c r="D44" s="17" t="s">
        <v>2405</v>
      </c>
      <c r="E44" s="17" t="s">
        <v>19</v>
      </c>
      <c r="F44" s="17" t="s">
        <v>172</v>
      </c>
      <c r="G44" s="25" t="s">
        <v>2406</v>
      </c>
      <c r="H44" s="34" t="s">
        <v>2407</v>
      </c>
      <c r="I44" s="17" t="s">
        <v>54</v>
      </c>
      <c r="J44" s="17" t="s">
        <v>2398</v>
      </c>
      <c r="K44" s="57">
        <f t="shared" si="1"/>
        <v>3350</v>
      </c>
    </row>
    <row r="45" spans="1:11" ht="37.5">
      <c r="A45" s="17">
        <v>41</v>
      </c>
      <c r="B45" s="17" t="s">
        <v>1295</v>
      </c>
      <c r="C45" s="24">
        <v>3400</v>
      </c>
      <c r="D45" s="17" t="s">
        <v>2405</v>
      </c>
      <c r="E45" s="17" t="s">
        <v>19</v>
      </c>
      <c r="F45" s="17" t="s">
        <v>172</v>
      </c>
      <c r="G45" s="25" t="s">
        <v>2408</v>
      </c>
      <c r="H45" s="34" t="s">
        <v>2409</v>
      </c>
      <c r="I45" s="17" t="s">
        <v>84</v>
      </c>
      <c r="J45" s="17" t="s">
        <v>2398</v>
      </c>
      <c r="K45" s="57">
        <f t="shared" si="1"/>
        <v>3400</v>
      </c>
    </row>
    <row r="46" spans="1:11" ht="37.5">
      <c r="A46" s="17">
        <v>42</v>
      </c>
      <c r="B46" s="17" t="s">
        <v>1236</v>
      </c>
      <c r="C46" s="24">
        <v>2980</v>
      </c>
      <c r="D46" s="17" t="s">
        <v>2410</v>
      </c>
      <c r="E46" s="17" t="s">
        <v>19</v>
      </c>
      <c r="F46" s="17" t="s">
        <v>199</v>
      </c>
      <c r="G46" s="25" t="s">
        <v>2411</v>
      </c>
      <c r="H46" s="34" t="s">
        <v>2412</v>
      </c>
      <c r="I46" s="17" t="s">
        <v>16</v>
      </c>
      <c r="J46" s="17" t="s">
        <v>2413</v>
      </c>
      <c r="K46" s="57">
        <f t="shared" si="1"/>
        <v>2980</v>
      </c>
    </row>
    <row r="47" spans="1:11" ht="56.25">
      <c r="A47" s="17">
        <v>43</v>
      </c>
      <c r="B47" s="17" t="s">
        <v>2414</v>
      </c>
      <c r="C47" s="24">
        <v>4700</v>
      </c>
      <c r="D47" s="17" t="s">
        <v>2410</v>
      </c>
      <c r="E47" s="17" t="s">
        <v>19</v>
      </c>
      <c r="F47" s="23" t="s">
        <v>741</v>
      </c>
      <c r="G47" s="21" t="s">
        <v>2415</v>
      </c>
      <c r="H47" s="34" t="s">
        <v>2416</v>
      </c>
      <c r="I47" s="17" t="s">
        <v>43</v>
      </c>
      <c r="J47" s="17" t="s">
        <v>1528</v>
      </c>
      <c r="K47" s="57">
        <f t="shared" si="1"/>
        <v>4700</v>
      </c>
    </row>
    <row r="48" spans="1:11" ht="37.5">
      <c r="A48" s="17">
        <v>44</v>
      </c>
      <c r="B48" s="17" t="s">
        <v>2417</v>
      </c>
      <c r="C48" s="24">
        <v>4760</v>
      </c>
      <c r="D48" s="17" t="s">
        <v>2418</v>
      </c>
      <c r="E48" s="17" t="s">
        <v>19</v>
      </c>
      <c r="F48" s="17" t="s">
        <v>172</v>
      </c>
      <c r="G48" s="25" t="s">
        <v>2419</v>
      </c>
      <c r="H48" s="34" t="s">
        <v>2420</v>
      </c>
      <c r="I48" s="17" t="s">
        <v>84</v>
      </c>
      <c r="J48" s="17" t="s">
        <v>2421</v>
      </c>
      <c r="K48" s="57">
        <f t="shared" si="1"/>
        <v>4760</v>
      </c>
    </row>
    <row r="49" spans="1:11" ht="28.5" customHeight="1">
      <c r="A49" s="17">
        <v>45</v>
      </c>
      <c r="B49" s="17" t="s">
        <v>1728</v>
      </c>
      <c r="C49" s="24">
        <v>3150</v>
      </c>
      <c r="D49" s="17" t="s">
        <v>2418</v>
      </c>
      <c r="E49" s="17" t="s">
        <v>19</v>
      </c>
      <c r="F49" s="17" t="s">
        <v>172</v>
      </c>
      <c r="G49" s="25" t="s">
        <v>2422</v>
      </c>
      <c r="H49" s="34"/>
      <c r="I49" s="17" t="s">
        <v>16</v>
      </c>
      <c r="J49" s="17" t="s">
        <v>2398</v>
      </c>
      <c r="K49" s="57">
        <f t="shared" si="1"/>
        <v>3150</v>
      </c>
    </row>
    <row r="50" spans="1:11" ht="78" customHeight="1">
      <c r="A50" s="17">
        <v>46</v>
      </c>
      <c r="B50" s="17" t="s">
        <v>2336</v>
      </c>
      <c r="C50" s="24">
        <v>2900</v>
      </c>
      <c r="D50" s="17" t="s">
        <v>2423</v>
      </c>
      <c r="E50" s="17" t="s">
        <v>19</v>
      </c>
      <c r="F50" s="17" t="s">
        <v>172</v>
      </c>
      <c r="G50" s="25" t="s">
        <v>2424</v>
      </c>
      <c r="H50" s="34"/>
      <c r="I50" s="17" t="s">
        <v>2314</v>
      </c>
      <c r="J50" s="17" t="s">
        <v>2425</v>
      </c>
      <c r="K50" s="57">
        <f t="shared" si="1"/>
        <v>2900</v>
      </c>
    </row>
    <row r="51" spans="1:11" ht="78" customHeight="1">
      <c r="A51" s="17">
        <v>47</v>
      </c>
      <c r="B51" s="17" t="s">
        <v>2251</v>
      </c>
      <c r="C51" s="24">
        <v>3100</v>
      </c>
      <c r="D51" s="17" t="s">
        <v>2423</v>
      </c>
      <c r="E51" s="17" t="s">
        <v>19</v>
      </c>
      <c r="F51" s="17" t="s">
        <v>172</v>
      </c>
      <c r="G51" s="25" t="s">
        <v>2426</v>
      </c>
      <c r="H51" s="34" t="s">
        <v>2427</v>
      </c>
      <c r="I51" s="17" t="s">
        <v>54</v>
      </c>
      <c r="J51" s="17" t="s">
        <v>417</v>
      </c>
      <c r="K51" s="57">
        <f t="shared" si="1"/>
        <v>3100</v>
      </c>
    </row>
    <row r="52" spans="1:11" ht="78" customHeight="1">
      <c r="A52" s="17">
        <v>48</v>
      </c>
      <c r="B52" s="17" t="s">
        <v>2428</v>
      </c>
      <c r="C52" s="24">
        <v>3500</v>
      </c>
      <c r="D52" s="17" t="s">
        <v>2423</v>
      </c>
      <c r="E52" s="17" t="s">
        <v>19</v>
      </c>
      <c r="F52" s="17" t="s">
        <v>172</v>
      </c>
      <c r="G52" s="25" t="s">
        <v>2429</v>
      </c>
      <c r="H52" s="34"/>
      <c r="I52" s="17" t="s">
        <v>16</v>
      </c>
      <c r="J52" s="17" t="s">
        <v>2398</v>
      </c>
      <c r="K52" s="57">
        <f t="shared" si="1"/>
        <v>3500</v>
      </c>
    </row>
    <row r="53" spans="1:11" ht="78" customHeight="1">
      <c r="A53" s="17">
        <v>49</v>
      </c>
      <c r="B53" s="17" t="s">
        <v>2275</v>
      </c>
      <c r="C53" s="24">
        <v>3800</v>
      </c>
      <c r="D53" s="17" t="s">
        <v>2423</v>
      </c>
      <c r="E53" s="17" t="s">
        <v>19</v>
      </c>
      <c r="F53" s="17" t="s">
        <v>172</v>
      </c>
      <c r="G53" s="25" t="s">
        <v>2430</v>
      </c>
      <c r="H53" s="34" t="s">
        <v>2431</v>
      </c>
      <c r="I53" s="17" t="s">
        <v>54</v>
      </c>
      <c r="J53" s="17" t="s">
        <v>2398</v>
      </c>
      <c r="K53" s="57">
        <f t="shared" si="1"/>
        <v>3800</v>
      </c>
    </row>
    <row r="54" spans="1:11" ht="75">
      <c r="A54" s="17">
        <v>50</v>
      </c>
      <c r="B54" s="17" t="s">
        <v>1694</v>
      </c>
      <c r="C54" s="24">
        <v>2950</v>
      </c>
      <c r="D54" s="17" t="s">
        <v>2423</v>
      </c>
      <c r="E54" s="17" t="s">
        <v>19</v>
      </c>
      <c r="F54" s="17" t="s">
        <v>927</v>
      </c>
      <c r="G54" s="21" t="s">
        <v>2432</v>
      </c>
      <c r="H54" s="34" t="s">
        <v>2433</v>
      </c>
      <c r="I54" s="17" t="s">
        <v>84</v>
      </c>
      <c r="J54" s="23" t="s">
        <v>2434</v>
      </c>
      <c r="K54" s="57">
        <f t="shared" si="1"/>
        <v>2950</v>
      </c>
    </row>
    <row r="55" spans="1:11" ht="75">
      <c r="A55" s="17">
        <v>51</v>
      </c>
      <c r="B55" s="17" t="s">
        <v>496</v>
      </c>
      <c r="C55" s="24">
        <v>3285</v>
      </c>
      <c r="D55" s="17" t="s">
        <v>2435</v>
      </c>
      <c r="E55" s="17" t="s">
        <v>19</v>
      </c>
      <c r="F55" s="17" t="s">
        <v>172</v>
      </c>
      <c r="G55" s="21" t="s">
        <v>2436</v>
      </c>
      <c r="H55" s="34" t="s">
        <v>2437</v>
      </c>
      <c r="I55" s="17" t="s">
        <v>2314</v>
      </c>
      <c r="J55" s="23" t="s">
        <v>2377</v>
      </c>
      <c r="K55" s="57">
        <f>C55</f>
        <v>3285</v>
      </c>
    </row>
    <row r="56" spans="1:11" ht="49.5" customHeight="1">
      <c r="A56" s="17">
        <v>51</v>
      </c>
      <c r="B56" s="17" t="s">
        <v>1650</v>
      </c>
      <c r="C56" s="20">
        <v>2800</v>
      </c>
      <c r="D56" s="17" t="s">
        <v>226</v>
      </c>
      <c r="E56" s="17" t="s">
        <v>19</v>
      </c>
      <c r="F56" s="17" t="s">
        <v>172</v>
      </c>
      <c r="G56" s="21" t="s">
        <v>2438</v>
      </c>
      <c r="H56" s="22" t="s">
        <v>2439</v>
      </c>
      <c r="I56" s="17" t="s">
        <v>16</v>
      </c>
      <c r="J56" s="17" t="s">
        <v>417</v>
      </c>
      <c r="K56" s="20">
        <f t="shared" si="1"/>
        <v>2800</v>
      </c>
    </row>
    <row r="57" spans="1:11" ht="93.75" customHeight="1">
      <c r="A57" s="17">
        <v>52</v>
      </c>
      <c r="B57" s="17" t="s">
        <v>1226</v>
      </c>
      <c r="C57" s="24">
        <v>5000</v>
      </c>
      <c r="D57" s="17" t="s">
        <v>226</v>
      </c>
      <c r="E57" s="17" t="s">
        <v>19</v>
      </c>
      <c r="F57" s="17" t="s">
        <v>927</v>
      </c>
      <c r="G57" s="64" t="s">
        <v>2440</v>
      </c>
      <c r="H57" s="65" t="s">
        <v>2441</v>
      </c>
      <c r="I57" s="17" t="s">
        <v>43</v>
      </c>
      <c r="J57" s="23" t="s">
        <v>1998</v>
      </c>
      <c r="K57" s="57">
        <f t="shared" si="1"/>
        <v>5000</v>
      </c>
    </row>
    <row r="58" spans="1:11" ht="73.5" customHeight="1">
      <c r="A58" s="17">
        <v>53</v>
      </c>
      <c r="B58" s="17" t="s">
        <v>549</v>
      </c>
      <c r="C58" s="24">
        <v>3450</v>
      </c>
      <c r="D58" s="17" t="s">
        <v>226</v>
      </c>
      <c r="E58" s="17" t="s">
        <v>19</v>
      </c>
      <c r="F58" s="17" t="s">
        <v>172</v>
      </c>
      <c r="G58" s="58" t="s">
        <v>2442</v>
      </c>
      <c r="H58" s="56" t="s">
        <v>2443</v>
      </c>
      <c r="I58" s="17" t="s">
        <v>84</v>
      </c>
      <c r="J58" s="23" t="s">
        <v>2425</v>
      </c>
      <c r="K58" s="57">
        <f t="shared" si="1"/>
        <v>3450</v>
      </c>
    </row>
    <row r="59" spans="1:11" ht="90.75" customHeight="1">
      <c r="A59" s="17">
        <v>54</v>
      </c>
      <c r="B59" s="17" t="s">
        <v>1090</v>
      </c>
      <c r="C59" s="24">
        <v>4750</v>
      </c>
      <c r="D59" s="17" t="s">
        <v>2444</v>
      </c>
      <c r="E59" s="17" t="s">
        <v>19</v>
      </c>
      <c r="F59" s="17" t="s">
        <v>172</v>
      </c>
      <c r="G59" s="22" t="s">
        <v>2445</v>
      </c>
      <c r="H59" s="34" t="s">
        <v>2446</v>
      </c>
      <c r="I59" s="17" t="s">
        <v>84</v>
      </c>
      <c r="J59" s="23" t="s">
        <v>2447</v>
      </c>
      <c r="K59" s="57">
        <f>C59</f>
        <v>4750</v>
      </c>
    </row>
    <row r="60" spans="1:11" ht="56.25">
      <c r="A60" s="17">
        <v>52</v>
      </c>
      <c r="B60" s="17" t="s">
        <v>599</v>
      </c>
      <c r="C60" s="24">
        <v>3150</v>
      </c>
      <c r="D60" s="17" t="s">
        <v>2448</v>
      </c>
      <c r="E60" s="17" t="s">
        <v>19</v>
      </c>
      <c r="F60" s="17" t="s">
        <v>172</v>
      </c>
      <c r="G60" s="21" t="s">
        <v>2449</v>
      </c>
      <c r="H60" s="34" t="s">
        <v>2450</v>
      </c>
      <c r="I60" s="17" t="s">
        <v>2314</v>
      </c>
      <c r="J60" s="23" t="s">
        <v>1528</v>
      </c>
      <c r="K60" s="57">
        <f>C60</f>
        <v>3150</v>
      </c>
    </row>
    <row r="61" spans="1:11">
      <c r="A61" s="17">
        <v>53</v>
      </c>
      <c r="B61" s="17" t="s">
        <v>1253</v>
      </c>
      <c r="C61" s="24">
        <v>3000</v>
      </c>
      <c r="D61" s="17" t="s">
        <v>2448</v>
      </c>
      <c r="E61" s="17" t="s">
        <v>19</v>
      </c>
      <c r="F61" s="17" t="s">
        <v>172</v>
      </c>
      <c r="G61" s="21" t="s">
        <v>2451</v>
      </c>
      <c r="H61" s="34" t="s">
        <v>2452</v>
      </c>
      <c r="I61" s="17" t="s">
        <v>84</v>
      </c>
      <c r="J61" s="23" t="s">
        <v>417</v>
      </c>
      <c r="K61" s="57">
        <f>C61</f>
        <v>3000</v>
      </c>
    </row>
    <row r="62" spans="1:11" ht="128.25" customHeight="1">
      <c r="A62" s="17">
        <v>55</v>
      </c>
      <c r="B62" s="17" t="s">
        <v>2453</v>
      </c>
      <c r="C62" s="20">
        <v>3750</v>
      </c>
      <c r="D62" s="17" t="s">
        <v>2448</v>
      </c>
      <c r="E62" s="17" t="s">
        <v>19</v>
      </c>
      <c r="F62" s="17" t="s">
        <v>172</v>
      </c>
      <c r="G62" s="21" t="s">
        <v>2454</v>
      </c>
      <c r="H62" s="22" t="s">
        <v>2455</v>
      </c>
      <c r="I62" s="17" t="s">
        <v>54</v>
      </c>
      <c r="J62" s="17" t="s">
        <v>2456</v>
      </c>
      <c r="K62" s="20">
        <f>C62</f>
        <v>3750</v>
      </c>
    </row>
    <row r="63" spans="1:11" ht="49.5" customHeight="1">
      <c r="A63" s="17">
        <v>57</v>
      </c>
      <c r="B63" s="17" t="s">
        <v>1710</v>
      </c>
      <c r="C63" s="20">
        <v>3000</v>
      </c>
      <c r="D63" s="17" t="s">
        <v>2457</v>
      </c>
      <c r="E63" s="17" t="s">
        <v>19</v>
      </c>
      <c r="F63" s="17" t="s">
        <v>172</v>
      </c>
      <c r="G63" s="21" t="s">
        <v>2458</v>
      </c>
      <c r="H63" s="22" t="s">
        <v>2459</v>
      </c>
      <c r="I63" s="17" t="s">
        <v>2314</v>
      </c>
      <c r="J63" s="17" t="s">
        <v>1528</v>
      </c>
      <c r="K63" s="20">
        <f>C63</f>
        <v>3000</v>
      </c>
    </row>
    <row r="64" spans="1:11" ht="80.25" customHeight="1">
      <c r="A64" s="17">
        <v>56</v>
      </c>
      <c r="B64" s="17" t="s">
        <v>2460</v>
      </c>
      <c r="C64" s="24">
        <v>3300</v>
      </c>
      <c r="D64" s="17" t="s">
        <v>2461</v>
      </c>
      <c r="E64" s="17" t="s">
        <v>19</v>
      </c>
      <c r="F64" s="17" t="s">
        <v>123</v>
      </c>
      <c r="G64" s="58" t="s">
        <v>2462</v>
      </c>
      <c r="H64" s="56" t="s">
        <v>2463</v>
      </c>
      <c r="I64" s="17" t="s">
        <v>16</v>
      </c>
      <c r="J64" s="23" t="s">
        <v>1920</v>
      </c>
      <c r="K64" s="57">
        <f t="shared" si="1"/>
        <v>3300</v>
      </c>
    </row>
    <row r="65" spans="1:11" ht="94.5" customHeight="1">
      <c r="A65" s="17">
        <v>57</v>
      </c>
      <c r="B65" s="17" t="s">
        <v>2464</v>
      </c>
      <c r="C65" s="24">
        <v>4550</v>
      </c>
      <c r="D65" s="17" t="s">
        <v>2461</v>
      </c>
      <c r="E65" s="17" t="s">
        <v>19</v>
      </c>
      <c r="F65" s="17" t="s">
        <v>101</v>
      </c>
      <c r="G65" s="58" t="s">
        <v>2465</v>
      </c>
      <c r="H65" s="56" t="s">
        <v>2466</v>
      </c>
      <c r="I65" s="17" t="s">
        <v>2314</v>
      </c>
      <c r="J65" s="23" t="s">
        <v>2425</v>
      </c>
      <c r="K65" s="57">
        <f t="shared" si="1"/>
        <v>4550</v>
      </c>
    </row>
  </sheetData>
  <autoFilter ref="A4:O65" xr:uid="{00000000-0009-0000-0000-00000F000000}"/>
  <mergeCells count="3">
    <mergeCell ref="C1:H1"/>
    <mergeCell ref="A2:H2"/>
    <mergeCell ref="H3:I3"/>
  </mergeCells>
  <conditionalFormatting sqref="B3:B13 B15 B68:B1048576">
    <cfRule type="duplicateValues" dxfId="563" priority="169"/>
    <cfRule type="duplicateValues" dxfId="562" priority="170"/>
    <cfRule type="duplicateValues" dxfId="561" priority="177"/>
  </conditionalFormatting>
  <conditionalFormatting sqref="B14">
    <cfRule type="duplicateValues" dxfId="560" priority="1"/>
    <cfRule type="duplicateValues" dxfId="559" priority="2"/>
    <cfRule type="duplicateValues" dxfId="558" priority="3"/>
  </conditionalFormatting>
  <pageMargins left="0.7" right="0.7" top="0.75" bottom="0.75" header="0.3" footer="0.3"/>
  <pageSetup paperSize="9" scale="33" orientation="landscape"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pageSetUpPr fitToPage="1"/>
  </sheetPr>
  <dimension ref="A1:M71"/>
  <sheetViews>
    <sheetView zoomScale="70" zoomScaleNormal="70" workbookViewId="0">
      <pane xSplit="3" ySplit="5" topLeftCell="D6" activePane="bottomRight" state="frozen"/>
      <selection pane="topRight" activeCell="E6" sqref="E6"/>
      <selection pane="bottomLeft" activeCell="E6" sqref="E6"/>
      <selection pane="bottomRight" activeCell="E6" sqref="E6"/>
    </sheetView>
  </sheetViews>
  <sheetFormatPr defaultColWidth="25.5703125" defaultRowHeight="18.75"/>
  <cols>
    <col min="1" max="1" width="7.28515625" style="1" customWidth="1"/>
    <col min="2" max="2" width="25.5703125" style="1"/>
    <col min="3" max="3" width="17.42578125" style="2" customWidth="1"/>
    <col min="4" max="4" width="29.42578125" style="1" customWidth="1"/>
    <col min="5" max="5" width="19.5703125" style="1" customWidth="1"/>
    <col min="6" max="6" width="31.42578125" style="1" customWidth="1"/>
    <col min="7" max="7" width="55.28515625" style="9" customWidth="1"/>
    <col min="8" max="8" width="55.42578125" style="9" customWidth="1"/>
    <col min="9" max="9" width="19" style="1" customWidth="1"/>
    <col min="10" max="10" width="21.7109375" style="1" customWidth="1"/>
    <col min="11" max="11" width="22.28515625" style="2" customWidth="1"/>
    <col min="12" max="12" width="27.42578125" style="3" customWidth="1"/>
    <col min="13" max="13" width="44" style="3" bestFit="1" customWidth="1"/>
    <col min="14" max="14" width="34.5703125" style="3" customWidth="1"/>
    <col min="15" max="16384" width="25.5703125" style="3"/>
  </cols>
  <sheetData>
    <row r="1" spans="1:13" ht="44.25" customHeight="1">
      <c r="B1" s="10"/>
      <c r="C1" s="3657"/>
      <c r="D1" s="3657"/>
      <c r="E1" s="3657"/>
      <c r="F1" s="3657"/>
      <c r="G1" s="3657"/>
      <c r="H1" s="3657"/>
    </row>
    <row r="2" spans="1:13" ht="41.25" customHeight="1">
      <c r="A2" s="3672" t="s">
        <v>2467</v>
      </c>
      <c r="B2" s="3673"/>
      <c r="C2" s="3673"/>
      <c r="D2" s="3673"/>
      <c r="E2" s="3673"/>
      <c r="F2" s="3673"/>
      <c r="G2" s="3673"/>
      <c r="H2" s="3674"/>
      <c r="I2" s="46"/>
      <c r="J2" s="46"/>
      <c r="K2" s="46"/>
      <c r="L2" s="4"/>
    </row>
    <row r="3" spans="1:13" ht="41.25" hidden="1" customHeight="1">
      <c r="B3" s="41"/>
      <c r="C3" s="41"/>
      <c r="D3" s="41" t="s">
        <v>2468</v>
      </c>
      <c r="E3" s="41" t="s">
        <v>19</v>
      </c>
      <c r="F3" s="41" t="s">
        <v>234</v>
      </c>
      <c r="G3" s="44"/>
      <c r="H3" s="5"/>
      <c r="I3" s="6"/>
      <c r="J3" s="6"/>
      <c r="K3" s="41"/>
      <c r="L3" s="4"/>
    </row>
    <row r="4" spans="1:13" ht="24" customHeight="1">
      <c r="B4" s="48"/>
      <c r="C4" s="49">
        <f>SUBTOTAL(9,C6:C971)</f>
        <v>222660</v>
      </c>
      <c r="D4" s="50"/>
      <c r="E4" s="50"/>
      <c r="F4" s="48"/>
      <c r="G4" s="51"/>
      <c r="H4" s="3678">
        <f ca="1">TODAY()</f>
        <v>45960</v>
      </c>
      <c r="I4" s="3679"/>
      <c r="J4" s="1198"/>
      <c r="K4" s="52"/>
    </row>
    <row r="5" spans="1:13" s="7" customFormat="1" ht="54.75" customHeight="1">
      <c r="A5" s="53" t="s">
        <v>1</v>
      </c>
      <c r="B5" s="53" t="s">
        <v>2</v>
      </c>
      <c r="C5" s="54" t="s">
        <v>3</v>
      </c>
      <c r="D5" s="53" t="s">
        <v>4</v>
      </c>
      <c r="E5" s="53" t="s">
        <v>8</v>
      </c>
      <c r="F5" s="53" t="s">
        <v>9</v>
      </c>
      <c r="G5" s="55" t="s">
        <v>10</v>
      </c>
      <c r="H5" s="53" t="s">
        <v>11</v>
      </c>
      <c r="I5" s="53" t="s">
        <v>5</v>
      </c>
      <c r="J5" s="66" t="s">
        <v>2469</v>
      </c>
      <c r="K5" s="54" t="s">
        <v>1898</v>
      </c>
      <c r="L5" s="53" t="s">
        <v>341</v>
      </c>
    </row>
    <row r="6" spans="1:13" ht="40.5" customHeight="1">
      <c r="A6" s="14">
        <v>1</v>
      </c>
      <c r="B6" s="28" t="s">
        <v>2470</v>
      </c>
      <c r="C6" s="24">
        <v>1830</v>
      </c>
      <c r="D6" s="17" t="s">
        <v>2471</v>
      </c>
      <c r="E6" s="17" t="s">
        <v>19</v>
      </c>
      <c r="F6" s="17" t="s">
        <v>2472</v>
      </c>
      <c r="G6" s="26" t="s">
        <v>2473</v>
      </c>
      <c r="H6" s="42" t="s">
        <v>2474</v>
      </c>
      <c r="I6" s="17" t="s">
        <v>54</v>
      </c>
      <c r="J6" s="17" t="s">
        <v>417</v>
      </c>
      <c r="K6" s="20">
        <f t="shared" ref="K6:K65" si="0">C6</f>
        <v>1830</v>
      </c>
      <c r="L6" s="41" t="s">
        <v>84</v>
      </c>
      <c r="M6" s="37">
        <f>SUMIF($I:$I,L6,K:K)</f>
        <v>60300</v>
      </c>
    </row>
    <row r="7" spans="1:13" ht="82.5" customHeight="1">
      <c r="A7" s="14">
        <v>2</v>
      </c>
      <c r="B7" s="17" t="s">
        <v>2475</v>
      </c>
      <c r="C7" s="24">
        <v>8300</v>
      </c>
      <c r="D7" s="62" t="s">
        <v>2471</v>
      </c>
      <c r="E7" s="17" t="s">
        <v>19</v>
      </c>
      <c r="F7" s="17" t="s">
        <v>172</v>
      </c>
      <c r="G7" s="21" t="s">
        <v>2476</v>
      </c>
      <c r="H7" s="22" t="s">
        <v>2477</v>
      </c>
      <c r="I7" s="17" t="s">
        <v>89</v>
      </c>
      <c r="J7" s="17" t="s">
        <v>1920</v>
      </c>
      <c r="K7" s="20">
        <f t="shared" si="0"/>
        <v>8300</v>
      </c>
      <c r="L7" s="41" t="s">
        <v>89</v>
      </c>
      <c r="M7" s="37">
        <f>SUMIF($I:$I,L7,K:K)</f>
        <v>54730</v>
      </c>
    </row>
    <row r="8" spans="1:13" ht="38.25" customHeight="1">
      <c r="A8" s="17">
        <v>3</v>
      </c>
      <c r="B8" s="17" t="s">
        <v>1516</v>
      </c>
      <c r="C8" s="24">
        <v>3150</v>
      </c>
      <c r="D8" s="17" t="s">
        <v>2471</v>
      </c>
      <c r="E8" s="17" t="s">
        <v>19</v>
      </c>
      <c r="F8" s="17" t="s">
        <v>199</v>
      </c>
      <c r="G8" s="36" t="s">
        <v>2478</v>
      </c>
      <c r="H8" s="36"/>
      <c r="I8" s="17" t="s">
        <v>54</v>
      </c>
      <c r="J8" s="17" t="s">
        <v>2019</v>
      </c>
      <c r="K8" s="20">
        <f t="shared" si="0"/>
        <v>3150</v>
      </c>
      <c r="L8" s="41" t="s">
        <v>16</v>
      </c>
      <c r="M8" s="37">
        <f>SUMIF($I:$I,L8,K:K)</f>
        <v>41300</v>
      </c>
    </row>
    <row r="9" spans="1:13" ht="40.5" customHeight="1">
      <c r="A9" s="14">
        <v>4</v>
      </c>
      <c r="B9" s="28" t="s">
        <v>1365</v>
      </c>
      <c r="C9" s="24">
        <v>2950</v>
      </c>
      <c r="D9" s="17" t="s">
        <v>2479</v>
      </c>
      <c r="E9" s="17" t="s">
        <v>19</v>
      </c>
      <c r="F9" s="17" t="s">
        <v>123</v>
      </c>
      <c r="G9" s="58" t="s">
        <v>2480</v>
      </c>
      <c r="H9" s="42"/>
      <c r="I9" s="17" t="s">
        <v>54</v>
      </c>
      <c r="J9" s="17" t="s">
        <v>1528</v>
      </c>
      <c r="K9" s="20">
        <f t="shared" si="0"/>
        <v>2950</v>
      </c>
      <c r="L9" s="38" t="s">
        <v>54</v>
      </c>
      <c r="M9" s="37">
        <f>SUMIF($I:$I,L9,K:K)</f>
        <v>30580</v>
      </c>
    </row>
    <row r="10" spans="1:13" ht="40.5" customHeight="1">
      <c r="A10" s="14">
        <v>5</v>
      </c>
      <c r="B10" s="17" t="s">
        <v>2481</v>
      </c>
      <c r="C10" s="24">
        <v>2900</v>
      </c>
      <c r="D10" s="62" t="s">
        <v>2482</v>
      </c>
      <c r="E10" s="17" t="s">
        <v>19</v>
      </c>
      <c r="F10" s="17" t="s">
        <v>172</v>
      </c>
      <c r="G10" s="22" t="s">
        <v>2483</v>
      </c>
      <c r="H10" s="22" t="s">
        <v>2484</v>
      </c>
      <c r="I10" s="17" t="s">
        <v>16</v>
      </c>
      <c r="J10" s="17" t="s">
        <v>1920</v>
      </c>
      <c r="K10" s="20">
        <f t="shared" si="0"/>
        <v>2900</v>
      </c>
      <c r="L10" s="38" t="s">
        <v>43</v>
      </c>
      <c r="M10" s="37">
        <f>SUMIF($I:$I,L10,K:K)</f>
        <v>35750</v>
      </c>
    </row>
    <row r="11" spans="1:13" ht="47.25" customHeight="1">
      <c r="A11" s="14">
        <v>6</v>
      </c>
      <c r="B11" s="17" t="s">
        <v>2178</v>
      </c>
      <c r="C11" s="24">
        <v>3500</v>
      </c>
      <c r="D11" s="62" t="s">
        <v>2482</v>
      </c>
      <c r="E11" s="17" t="s">
        <v>19</v>
      </c>
      <c r="F11" s="17" t="s">
        <v>172</v>
      </c>
      <c r="G11" s="22" t="s">
        <v>2485</v>
      </c>
      <c r="H11" s="42" t="s">
        <v>2486</v>
      </c>
      <c r="I11" s="17" t="s">
        <v>43</v>
      </c>
      <c r="J11" s="17" t="s">
        <v>417</v>
      </c>
      <c r="K11" s="20">
        <f t="shared" si="0"/>
        <v>3500</v>
      </c>
    </row>
    <row r="12" spans="1:13" ht="29.25" customHeight="1">
      <c r="A12" s="14">
        <v>7</v>
      </c>
      <c r="B12" s="17" t="s">
        <v>2487</v>
      </c>
      <c r="C12" s="24">
        <v>1850</v>
      </c>
      <c r="D12" s="62" t="s">
        <v>2482</v>
      </c>
      <c r="E12" s="17" t="s">
        <v>19</v>
      </c>
      <c r="F12" s="17" t="s">
        <v>172</v>
      </c>
      <c r="G12" s="22" t="s">
        <v>2488</v>
      </c>
      <c r="H12" s="42" t="s">
        <v>2486</v>
      </c>
      <c r="I12" s="17" t="s">
        <v>16</v>
      </c>
      <c r="J12" s="17" t="s">
        <v>417</v>
      </c>
      <c r="K12" s="20">
        <f t="shared" si="0"/>
        <v>1850</v>
      </c>
    </row>
    <row r="13" spans="1:13" ht="63.75" customHeight="1">
      <c r="A13" s="14">
        <v>8</v>
      </c>
      <c r="B13" s="17" t="s">
        <v>2489</v>
      </c>
      <c r="C13" s="24">
        <v>3100</v>
      </c>
      <c r="D13" s="62" t="s">
        <v>2482</v>
      </c>
      <c r="E13" s="17" t="s">
        <v>19</v>
      </c>
      <c r="F13" s="17" t="s">
        <v>63</v>
      </c>
      <c r="G13" s="22" t="s">
        <v>2490</v>
      </c>
      <c r="H13" s="22" t="s">
        <v>2491</v>
      </c>
      <c r="I13" s="17" t="s">
        <v>84</v>
      </c>
      <c r="J13" s="17" t="s">
        <v>417</v>
      </c>
      <c r="K13" s="20">
        <f t="shared" si="0"/>
        <v>3100</v>
      </c>
    </row>
    <row r="14" spans="1:13" ht="52.5" customHeight="1">
      <c r="A14" s="14">
        <v>9</v>
      </c>
      <c r="B14" s="17" t="s">
        <v>2492</v>
      </c>
      <c r="C14" s="24">
        <v>4400</v>
      </c>
      <c r="D14" s="62" t="s">
        <v>2493</v>
      </c>
      <c r="E14" s="17" t="s">
        <v>19</v>
      </c>
      <c r="F14" s="17" t="s">
        <v>2494</v>
      </c>
      <c r="G14" s="22" t="s">
        <v>2495</v>
      </c>
      <c r="H14" s="22" t="s">
        <v>2496</v>
      </c>
      <c r="I14" s="17" t="s">
        <v>43</v>
      </c>
      <c r="J14" s="17" t="s">
        <v>2497</v>
      </c>
      <c r="K14" s="20">
        <f t="shared" si="0"/>
        <v>4400</v>
      </c>
    </row>
    <row r="15" spans="1:13" ht="29.25" customHeight="1">
      <c r="A15" s="14">
        <v>10</v>
      </c>
      <c r="B15" s="17" t="s">
        <v>1932</v>
      </c>
      <c r="C15" s="24">
        <v>4200</v>
      </c>
      <c r="D15" s="17" t="s">
        <v>2498</v>
      </c>
      <c r="E15" s="17" t="s">
        <v>19</v>
      </c>
      <c r="F15" s="17" t="s">
        <v>172</v>
      </c>
      <c r="G15" s="42" t="s">
        <v>2499</v>
      </c>
      <c r="H15" s="36" t="s">
        <v>2500</v>
      </c>
      <c r="I15" s="17" t="s">
        <v>16</v>
      </c>
      <c r="J15" s="17" t="s">
        <v>417</v>
      </c>
      <c r="K15" s="24">
        <f>C15</f>
        <v>4200</v>
      </c>
    </row>
    <row r="16" spans="1:13" ht="37.5">
      <c r="A16" s="14">
        <v>11</v>
      </c>
      <c r="B16" s="17" t="s">
        <v>2501</v>
      </c>
      <c r="C16" s="24">
        <v>4750</v>
      </c>
      <c r="D16" s="17" t="s">
        <v>2498</v>
      </c>
      <c r="E16" s="17" t="s">
        <v>19</v>
      </c>
      <c r="F16" s="17" t="s">
        <v>172</v>
      </c>
      <c r="G16" s="22" t="s">
        <v>2502</v>
      </c>
      <c r="H16" s="36" t="s">
        <v>2500</v>
      </c>
      <c r="I16" s="17" t="s">
        <v>84</v>
      </c>
      <c r="J16" s="17" t="s">
        <v>1920</v>
      </c>
      <c r="K16" s="24">
        <f>C16</f>
        <v>4750</v>
      </c>
    </row>
    <row r="17" spans="1:11" ht="52.5" customHeight="1">
      <c r="A17" s="17">
        <v>12</v>
      </c>
      <c r="B17" s="17" t="s">
        <v>1583</v>
      </c>
      <c r="C17" s="24">
        <v>2450</v>
      </c>
      <c r="D17" s="17" t="s">
        <v>2498</v>
      </c>
      <c r="E17" s="17" t="s">
        <v>19</v>
      </c>
      <c r="F17" s="17" t="s">
        <v>172</v>
      </c>
      <c r="G17" s="22" t="s">
        <v>2503</v>
      </c>
      <c r="H17" s="36" t="s">
        <v>2500</v>
      </c>
      <c r="I17" s="17" t="s">
        <v>43</v>
      </c>
      <c r="J17" s="17" t="s">
        <v>2504</v>
      </c>
      <c r="K17" s="24">
        <f>C17</f>
        <v>2450</v>
      </c>
    </row>
    <row r="18" spans="1:11" ht="27" customHeight="1">
      <c r="A18" s="14">
        <v>13</v>
      </c>
      <c r="B18" s="17" t="s">
        <v>2505</v>
      </c>
      <c r="C18" s="24">
        <v>4300</v>
      </c>
      <c r="D18" s="62" t="s">
        <v>2506</v>
      </c>
      <c r="E18" s="17" t="s">
        <v>19</v>
      </c>
      <c r="F18" s="17" t="s">
        <v>172</v>
      </c>
      <c r="G18" s="67" t="s">
        <v>2507</v>
      </c>
      <c r="H18" s="36" t="s">
        <v>2500</v>
      </c>
      <c r="I18" s="17" t="s">
        <v>89</v>
      </c>
      <c r="J18" s="17" t="s">
        <v>1528</v>
      </c>
      <c r="K18" s="20">
        <f t="shared" si="0"/>
        <v>4300</v>
      </c>
    </row>
    <row r="19" spans="1:11" ht="45" customHeight="1">
      <c r="A19" s="17">
        <v>14</v>
      </c>
      <c r="B19" s="17" t="s">
        <v>1911</v>
      </c>
      <c r="C19" s="24">
        <v>3800</v>
      </c>
      <c r="D19" s="62" t="s">
        <v>2506</v>
      </c>
      <c r="E19" s="17" t="s">
        <v>19</v>
      </c>
      <c r="F19" s="17" t="s">
        <v>172</v>
      </c>
      <c r="G19" s="22" t="s">
        <v>2508</v>
      </c>
      <c r="H19" s="36" t="s">
        <v>2509</v>
      </c>
      <c r="I19" s="17" t="s">
        <v>16</v>
      </c>
      <c r="J19" s="17" t="s">
        <v>417</v>
      </c>
      <c r="K19" s="24">
        <f t="shared" si="0"/>
        <v>3800</v>
      </c>
    </row>
    <row r="20" spans="1:11" ht="42.75" customHeight="1">
      <c r="A20" s="17">
        <v>15</v>
      </c>
      <c r="B20" s="17" t="s">
        <v>2099</v>
      </c>
      <c r="C20" s="24">
        <v>3000</v>
      </c>
      <c r="D20" s="62" t="s">
        <v>2506</v>
      </c>
      <c r="E20" s="17" t="s">
        <v>19</v>
      </c>
      <c r="F20" s="17" t="s">
        <v>2510</v>
      </c>
      <c r="G20" s="22" t="s">
        <v>2511</v>
      </c>
      <c r="H20" s="22" t="s">
        <v>2512</v>
      </c>
      <c r="I20" s="17" t="s">
        <v>84</v>
      </c>
      <c r="J20" s="17" t="s">
        <v>1528</v>
      </c>
      <c r="K20" s="24">
        <f t="shared" si="0"/>
        <v>3000</v>
      </c>
    </row>
    <row r="21" spans="1:11" ht="68.25" customHeight="1">
      <c r="A21" s="17">
        <v>16</v>
      </c>
      <c r="B21" s="17" t="s">
        <v>2513</v>
      </c>
      <c r="C21" s="24">
        <v>4300</v>
      </c>
      <c r="D21" s="62" t="s">
        <v>2514</v>
      </c>
      <c r="E21" s="17" t="s">
        <v>19</v>
      </c>
      <c r="F21" s="17" t="s">
        <v>2494</v>
      </c>
      <c r="G21" s="22" t="s">
        <v>2515</v>
      </c>
      <c r="H21" s="42" t="s">
        <v>2516</v>
      </c>
      <c r="I21" s="17" t="s">
        <v>89</v>
      </c>
      <c r="J21" s="17" t="s">
        <v>417</v>
      </c>
      <c r="K21" s="24">
        <f t="shared" si="0"/>
        <v>4300</v>
      </c>
    </row>
    <row r="22" spans="1:11" ht="69" customHeight="1">
      <c r="A22" s="17">
        <v>19</v>
      </c>
      <c r="B22" s="17" t="s">
        <v>1221</v>
      </c>
      <c r="C22" s="24">
        <v>4650</v>
      </c>
      <c r="D22" s="17" t="s">
        <v>2517</v>
      </c>
      <c r="E22" s="17" t="s">
        <v>19</v>
      </c>
      <c r="F22" s="17" t="s">
        <v>172</v>
      </c>
      <c r="G22" s="21" t="s">
        <v>2518</v>
      </c>
      <c r="H22" s="22" t="s">
        <v>2519</v>
      </c>
      <c r="I22" s="17" t="s">
        <v>89</v>
      </c>
      <c r="J22" s="17" t="s">
        <v>417</v>
      </c>
      <c r="K22" s="24">
        <f>C22</f>
        <v>4650</v>
      </c>
    </row>
    <row r="23" spans="1:11" ht="58.5" customHeight="1">
      <c r="A23" s="17">
        <v>20</v>
      </c>
      <c r="B23" s="17" t="s">
        <v>2520</v>
      </c>
      <c r="C23" s="24">
        <v>3050</v>
      </c>
      <c r="D23" s="17" t="s">
        <v>2521</v>
      </c>
      <c r="E23" s="17" t="s">
        <v>19</v>
      </c>
      <c r="F23" s="17" t="s">
        <v>172</v>
      </c>
      <c r="G23" s="21" t="s">
        <v>2522</v>
      </c>
      <c r="H23" s="22" t="s">
        <v>2523</v>
      </c>
      <c r="I23" s="17" t="s">
        <v>84</v>
      </c>
      <c r="J23" s="17" t="s">
        <v>2524</v>
      </c>
      <c r="K23" s="24">
        <f>C23</f>
        <v>3050</v>
      </c>
    </row>
    <row r="24" spans="1:11" ht="60.75" customHeight="1">
      <c r="A24" s="17">
        <v>21</v>
      </c>
      <c r="B24" s="17" t="s">
        <v>1350</v>
      </c>
      <c r="C24" s="24">
        <v>4100</v>
      </c>
      <c r="D24" s="17" t="s">
        <v>353</v>
      </c>
      <c r="E24" s="17" t="s">
        <v>19</v>
      </c>
      <c r="F24" s="17" t="s">
        <v>364</v>
      </c>
      <c r="G24" s="21" t="s">
        <v>2525</v>
      </c>
      <c r="H24" s="22" t="s">
        <v>2526</v>
      </c>
      <c r="I24" s="17" t="s">
        <v>43</v>
      </c>
      <c r="J24" s="17" t="s">
        <v>1998</v>
      </c>
      <c r="K24" s="24">
        <f>C24</f>
        <v>4100</v>
      </c>
    </row>
    <row r="25" spans="1:11" ht="45" customHeight="1">
      <c r="A25" s="17">
        <v>22</v>
      </c>
      <c r="B25" s="17" t="s">
        <v>645</v>
      </c>
      <c r="C25" s="24">
        <v>5400</v>
      </c>
      <c r="D25" s="17" t="s">
        <v>2521</v>
      </c>
      <c r="E25" s="17" t="s">
        <v>19</v>
      </c>
      <c r="F25" s="17" t="s">
        <v>2472</v>
      </c>
      <c r="G25" s="21" t="s">
        <v>2527</v>
      </c>
      <c r="H25" s="22" t="s">
        <v>2528</v>
      </c>
      <c r="I25" s="17" t="s">
        <v>16</v>
      </c>
      <c r="J25" s="17" t="s">
        <v>2529</v>
      </c>
      <c r="K25" s="24">
        <f>C25</f>
        <v>5400</v>
      </c>
    </row>
    <row r="26" spans="1:11" ht="32.25" customHeight="1">
      <c r="A26" s="17">
        <v>23</v>
      </c>
      <c r="B26" s="17" t="s">
        <v>2530</v>
      </c>
      <c r="C26" s="24">
        <v>3050</v>
      </c>
      <c r="D26" s="17" t="s">
        <v>2531</v>
      </c>
      <c r="E26" s="17" t="s">
        <v>19</v>
      </c>
      <c r="F26" s="17" t="s">
        <v>364</v>
      </c>
      <c r="G26" s="36" t="s">
        <v>2532</v>
      </c>
      <c r="H26" s="42" t="s">
        <v>2533</v>
      </c>
      <c r="I26" s="17" t="s">
        <v>89</v>
      </c>
      <c r="J26" s="17" t="s">
        <v>2529</v>
      </c>
      <c r="K26" s="24">
        <f>C26</f>
        <v>3050</v>
      </c>
    </row>
    <row r="27" spans="1:11" ht="63.75" customHeight="1">
      <c r="A27" s="17">
        <v>24</v>
      </c>
      <c r="B27" s="17" t="s">
        <v>2534</v>
      </c>
      <c r="C27" s="24">
        <v>2650</v>
      </c>
      <c r="D27" s="17" t="s">
        <v>2531</v>
      </c>
      <c r="E27" s="17" t="s">
        <v>19</v>
      </c>
      <c r="F27" s="17" t="s">
        <v>2472</v>
      </c>
      <c r="G27" s="21" t="s">
        <v>2535</v>
      </c>
      <c r="H27" s="22" t="s">
        <v>2536</v>
      </c>
      <c r="I27" s="17" t="s">
        <v>54</v>
      </c>
      <c r="J27" s="17" t="s">
        <v>2529</v>
      </c>
      <c r="K27" s="24">
        <f t="shared" si="0"/>
        <v>2650</v>
      </c>
    </row>
    <row r="28" spans="1:11" ht="81" customHeight="1">
      <c r="A28" s="17">
        <v>25</v>
      </c>
      <c r="B28" s="17" t="s">
        <v>633</v>
      </c>
      <c r="C28" s="24">
        <v>4900</v>
      </c>
      <c r="D28" s="17" t="s">
        <v>2537</v>
      </c>
      <c r="E28" s="17" t="s">
        <v>19</v>
      </c>
      <c r="F28" s="17" t="s">
        <v>172</v>
      </c>
      <c r="G28" s="21" t="s">
        <v>2538</v>
      </c>
      <c r="H28" s="22" t="s">
        <v>2539</v>
      </c>
      <c r="I28" s="17" t="s">
        <v>16</v>
      </c>
      <c r="J28" s="17" t="s">
        <v>2116</v>
      </c>
      <c r="K28" s="24">
        <f t="shared" si="0"/>
        <v>4900</v>
      </c>
    </row>
    <row r="29" spans="1:11" ht="37.5" customHeight="1">
      <c r="A29" s="17">
        <v>26</v>
      </c>
      <c r="B29" s="17" t="s">
        <v>2322</v>
      </c>
      <c r="C29" s="24">
        <v>4750</v>
      </c>
      <c r="D29" s="17" t="s">
        <v>2537</v>
      </c>
      <c r="E29" s="17" t="s">
        <v>19</v>
      </c>
      <c r="F29" s="17" t="s">
        <v>123</v>
      </c>
      <c r="G29" s="68" t="s">
        <v>2540</v>
      </c>
      <c r="H29" s="42" t="s">
        <v>2541</v>
      </c>
      <c r="I29" s="17" t="s">
        <v>54</v>
      </c>
      <c r="J29" s="17" t="s">
        <v>1528</v>
      </c>
      <c r="K29" s="24">
        <f t="shared" si="0"/>
        <v>4750</v>
      </c>
    </row>
    <row r="30" spans="1:11" ht="69" customHeight="1">
      <c r="A30" s="17">
        <v>27</v>
      </c>
      <c r="B30" s="17" t="s">
        <v>2542</v>
      </c>
      <c r="C30" s="24">
        <v>5500</v>
      </c>
      <c r="D30" s="17" t="s">
        <v>2537</v>
      </c>
      <c r="E30" s="17" t="s">
        <v>19</v>
      </c>
      <c r="F30" s="17" t="s">
        <v>172</v>
      </c>
      <c r="G30" s="21" t="s">
        <v>2543</v>
      </c>
      <c r="H30" s="22" t="s">
        <v>2544</v>
      </c>
      <c r="I30" s="17" t="s">
        <v>89</v>
      </c>
      <c r="J30" s="17" t="s">
        <v>417</v>
      </c>
      <c r="K30" s="24">
        <f t="shared" si="0"/>
        <v>5500</v>
      </c>
    </row>
    <row r="31" spans="1:11" ht="63.75" customHeight="1">
      <c r="A31" s="17">
        <v>28</v>
      </c>
      <c r="B31" s="17" t="s">
        <v>2417</v>
      </c>
      <c r="C31" s="24">
        <v>4700</v>
      </c>
      <c r="D31" s="17" t="s">
        <v>2545</v>
      </c>
      <c r="E31" s="17" t="s">
        <v>19</v>
      </c>
      <c r="F31" s="17" t="s">
        <v>172</v>
      </c>
      <c r="G31" s="21" t="s">
        <v>2546</v>
      </c>
      <c r="H31" s="22" t="s">
        <v>2547</v>
      </c>
      <c r="I31" s="17" t="s">
        <v>84</v>
      </c>
      <c r="J31" s="17" t="s">
        <v>2548</v>
      </c>
      <c r="K31" s="24">
        <f t="shared" si="0"/>
        <v>4700</v>
      </c>
    </row>
    <row r="32" spans="1:11" ht="69" customHeight="1">
      <c r="A32" s="17">
        <v>29</v>
      </c>
      <c r="B32" s="17" t="s">
        <v>2549</v>
      </c>
      <c r="C32" s="24">
        <v>3400</v>
      </c>
      <c r="D32" s="17" t="s">
        <v>2545</v>
      </c>
      <c r="E32" s="17" t="s">
        <v>19</v>
      </c>
      <c r="F32" s="17" t="s">
        <v>172</v>
      </c>
      <c r="G32" s="58" t="s">
        <v>2550</v>
      </c>
      <c r="H32" s="22" t="s">
        <v>2551</v>
      </c>
      <c r="I32" s="17" t="s">
        <v>43</v>
      </c>
      <c r="J32" s="17" t="s">
        <v>2019</v>
      </c>
      <c r="K32" s="24">
        <f t="shared" si="0"/>
        <v>3400</v>
      </c>
    </row>
    <row r="33" spans="1:12" ht="48.75" customHeight="1">
      <c r="A33" s="17">
        <v>30</v>
      </c>
      <c r="B33" s="17" t="s">
        <v>1917</v>
      </c>
      <c r="C33" s="24">
        <v>4000</v>
      </c>
      <c r="D33" s="17" t="s">
        <v>2552</v>
      </c>
      <c r="E33" s="17" t="s">
        <v>19</v>
      </c>
      <c r="F33" s="17" t="s">
        <v>172</v>
      </c>
      <c r="G33" s="21" t="s">
        <v>2553</v>
      </c>
      <c r="H33" s="22" t="s">
        <v>2554</v>
      </c>
      <c r="I33" s="17" t="s">
        <v>84</v>
      </c>
      <c r="J33" s="17" t="s">
        <v>417</v>
      </c>
      <c r="K33" s="24">
        <f t="shared" si="0"/>
        <v>4000</v>
      </c>
      <c r="L33" s="8"/>
    </row>
    <row r="34" spans="1:12" ht="82.5" customHeight="1">
      <c r="A34" s="17">
        <v>31</v>
      </c>
      <c r="B34" s="17" t="s">
        <v>2336</v>
      </c>
      <c r="C34" s="24">
        <v>3000</v>
      </c>
      <c r="D34" s="17" t="s">
        <v>2555</v>
      </c>
      <c r="E34" s="17" t="s">
        <v>19</v>
      </c>
      <c r="F34" s="17" t="s">
        <v>172</v>
      </c>
      <c r="G34" s="21" t="s">
        <v>2556</v>
      </c>
      <c r="H34" s="21" t="s">
        <v>2557</v>
      </c>
      <c r="I34" s="17" t="s">
        <v>89</v>
      </c>
      <c r="J34" s="17" t="s">
        <v>2558</v>
      </c>
      <c r="K34" s="24">
        <f>C34</f>
        <v>3000</v>
      </c>
    </row>
    <row r="35" spans="1:12" ht="43.5" customHeight="1">
      <c r="A35" s="17">
        <v>32</v>
      </c>
      <c r="B35" s="17" t="s">
        <v>1516</v>
      </c>
      <c r="C35" s="24">
        <v>2950</v>
      </c>
      <c r="D35" s="17" t="s">
        <v>2555</v>
      </c>
      <c r="E35" s="17" t="s">
        <v>19</v>
      </c>
      <c r="F35" s="17" t="s">
        <v>2472</v>
      </c>
      <c r="G35" s="21" t="s">
        <v>2559</v>
      </c>
      <c r="H35" s="36"/>
      <c r="I35" s="17" t="s">
        <v>54</v>
      </c>
      <c r="J35" s="17" t="s">
        <v>2019</v>
      </c>
      <c r="K35" s="37">
        <f>C35</f>
        <v>2950</v>
      </c>
    </row>
    <row r="36" spans="1:12" ht="123" customHeight="1">
      <c r="A36" s="17">
        <v>33</v>
      </c>
      <c r="B36" s="17" t="s">
        <v>638</v>
      </c>
      <c r="C36" s="24">
        <v>3800</v>
      </c>
      <c r="D36" s="17" t="s">
        <v>2560</v>
      </c>
      <c r="E36" s="17" t="s">
        <v>19</v>
      </c>
      <c r="F36" s="17" t="s">
        <v>172</v>
      </c>
      <c r="G36" s="58" t="s">
        <v>2561</v>
      </c>
      <c r="H36" s="22" t="s">
        <v>2562</v>
      </c>
      <c r="I36" s="17" t="s">
        <v>84</v>
      </c>
      <c r="J36" s="17" t="s">
        <v>417</v>
      </c>
      <c r="K36" s="37">
        <f t="shared" si="0"/>
        <v>3800</v>
      </c>
    </row>
    <row r="37" spans="1:12" ht="73.5" customHeight="1">
      <c r="A37" s="17">
        <v>34</v>
      </c>
      <c r="B37" s="17" t="s">
        <v>2563</v>
      </c>
      <c r="C37" s="24">
        <v>3150</v>
      </c>
      <c r="D37" s="17" t="s">
        <v>2564</v>
      </c>
      <c r="E37" s="17" t="s">
        <v>19</v>
      </c>
      <c r="F37" s="17" t="s">
        <v>172</v>
      </c>
      <c r="G37" s="21" t="s">
        <v>2565</v>
      </c>
      <c r="H37" s="22" t="s">
        <v>2566</v>
      </c>
      <c r="I37" s="17" t="s">
        <v>16</v>
      </c>
      <c r="J37" s="17" t="s">
        <v>417</v>
      </c>
      <c r="K37" s="37">
        <f t="shared" si="0"/>
        <v>3150</v>
      </c>
    </row>
    <row r="38" spans="1:12" ht="47.25" customHeight="1">
      <c r="A38" s="17">
        <v>35</v>
      </c>
      <c r="B38" s="17" t="s">
        <v>599</v>
      </c>
      <c r="C38" s="24">
        <v>3150</v>
      </c>
      <c r="D38" s="17" t="s">
        <v>2564</v>
      </c>
      <c r="E38" s="17" t="s">
        <v>19</v>
      </c>
      <c r="F38" s="17" t="s">
        <v>172</v>
      </c>
      <c r="G38" s="58" t="s">
        <v>2567</v>
      </c>
      <c r="H38" s="22" t="s">
        <v>2568</v>
      </c>
      <c r="I38" s="17" t="s">
        <v>89</v>
      </c>
      <c r="J38" s="17" t="s">
        <v>2497</v>
      </c>
      <c r="K38" s="37">
        <f>C38</f>
        <v>3150</v>
      </c>
    </row>
    <row r="39" spans="1:12" ht="45.75" customHeight="1">
      <c r="A39" s="17">
        <v>36</v>
      </c>
      <c r="B39" s="17" t="s">
        <v>2122</v>
      </c>
      <c r="C39" s="24">
        <v>2450</v>
      </c>
      <c r="D39" s="17" t="s">
        <v>2569</v>
      </c>
      <c r="E39" s="17" t="s">
        <v>19</v>
      </c>
      <c r="F39" s="17" t="s">
        <v>2472</v>
      </c>
      <c r="G39" s="21" t="s">
        <v>2570</v>
      </c>
      <c r="H39" s="22" t="s">
        <v>2571</v>
      </c>
      <c r="I39" s="17" t="s">
        <v>43</v>
      </c>
      <c r="J39" s="17" t="s">
        <v>417</v>
      </c>
      <c r="K39" s="24">
        <f t="shared" si="0"/>
        <v>2450</v>
      </c>
    </row>
    <row r="40" spans="1:12" ht="65.25" customHeight="1">
      <c r="A40" s="17">
        <v>37</v>
      </c>
      <c r="B40" s="17" t="s">
        <v>2572</v>
      </c>
      <c r="C40" s="24">
        <v>4500</v>
      </c>
      <c r="D40" s="17" t="s">
        <v>2569</v>
      </c>
      <c r="E40" s="17" t="s">
        <v>19</v>
      </c>
      <c r="F40" s="17" t="s">
        <v>172</v>
      </c>
      <c r="G40" s="21" t="s">
        <v>2573</v>
      </c>
      <c r="H40" s="22" t="s">
        <v>2574</v>
      </c>
      <c r="I40" s="17" t="s">
        <v>84</v>
      </c>
      <c r="J40" s="17" t="s">
        <v>417</v>
      </c>
      <c r="K40" s="45">
        <f t="shared" ref="K40:K45" si="1">C40</f>
        <v>4500</v>
      </c>
    </row>
    <row r="41" spans="1:12" ht="45.75" customHeight="1">
      <c r="A41" s="17">
        <v>38</v>
      </c>
      <c r="B41" s="17" t="s">
        <v>2575</v>
      </c>
      <c r="C41" s="24">
        <v>3050</v>
      </c>
      <c r="D41" s="17" t="s">
        <v>2576</v>
      </c>
      <c r="E41" s="17" t="s">
        <v>19</v>
      </c>
      <c r="F41" s="17" t="s">
        <v>2510</v>
      </c>
      <c r="G41" s="68" t="s">
        <v>2577</v>
      </c>
      <c r="H41" s="22" t="s">
        <v>2578</v>
      </c>
      <c r="I41" s="17" t="s">
        <v>84</v>
      </c>
      <c r="J41" s="17" t="s">
        <v>1528</v>
      </c>
      <c r="K41" s="45">
        <f t="shared" si="1"/>
        <v>3050</v>
      </c>
    </row>
    <row r="42" spans="1:12" ht="122.25" customHeight="1">
      <c r="A42" s="17">
        <v>39</v>
      </c>
      <c r="B42" s="17" t="s">
        <v>1261</v>
      </c>
      <c r="C42" s="24">
        <v>4900</v>
      </c>
      <c r="D42" s="17" t="s">
        <v>2579</v>
      </c>
      <c r="E42" s="17" t="s">
        <v>19</v>
      </c>
      <c r="F42" s="17" t="s">
        <v>2472</v>
      </c>
      <c r="G42" s="21" t="s">
        <v>2580</v>
      </c>
      <c r="H42" s="22" t="s">
        <v>2581</v>
      </c>
      <c r="I42" s="17" t="s">
        <v>16</v>
      </c>
      <c r="J42" s="17" t="s">
        <v>417</v>
      </c>
      <c r="K42" s="45">
        <f t="shared" si="1"/>
        <v>4900</v>
      </c>
    </row>
    <row r="43" spans="1:12" ht="63.75" customHeight="1">
      <c r="A43" s="17">
        <v>40</v>
      </c>
      <c r="B43" s="17" t="s">
        <v>82</v>
      </c>
      <c r="C43" s="24">
        <v>3900</v>
      </c>
      <c r="D43" s="17" t="s">
        <v>2579</v>
      </c>
      <c r="E43" s="17" t="s">
        <v>19</v>
      </c>
      <c r="F43" s="17" t="s">
        <v>1238</v>
      </c>
      <c r="G43" s="21" t="s">
        <v>2582</v>
      </c>
      <c r="H43" s="21" t="s">
        <v>2583</v>
      </c>
      <c r="I43" s="17" t="s">
        <v>84</v>
      </c>
      <c r="J43" s="17" t="s">
        <v>2584</v>
      </c>
      <c r="K43" s="45">
        <f t="shared" si="1"/>
        <v>3900</v>
      </c>
    </row>
    <row r="44" spans="1:12" ht="75" customHeight="1">
      <c r="A44" s="17">
        <v>41</v>
      </c>
      <c r="B44" s="17" t="s">
        <v>2487</v>
      </c>
      <c r="C44" s="24">
        <v>1850</v>
      </c>
      <c r="D44" s="17" t="s">
        <v>2585</v>
      </c>
      <c r="E44" s="17" t="s">
        <v>19</v>
      </c>
      <c r="F44" s="17" t="s">
        <v>172</v>
      </c>
      <c r="G44" s="21" t="s">
        <v>2586</v>
      </c>
      <c r="H44" s="22" t="s">
        <v>2587</v>
      </c>
      <c r="I44" s="17" t="s">
        <v>16</v>
      </c>
      <c r="J44" s="17" t="s">
        <v>417</v>
      </c>
      <c r="K44" s="37">
        <f>C44</f>
        <v>1850</v>
      </c>
    </row>
    <row r="45" spans="1:12" ht="165.75" customHeight="1">
      <c r="A45" s="17">
        <v>42</v>
      </c>
      <c r="B45" s="17" t="s">
        <v>1669</v>
      </c>
      <c r="C45" s="24">
        <v>4150</v>
      </c>
      <c r="D45" s="17" t="s">
        <v>2588</v>
      </c>
      <c r="E45" s="17" t="s">
        <v>19</v>
      </c>
      <c r="F45" s="17" t="s">
        <v>172</v>
      </c>
      <c r="G45" s="21" t="s">
        <v>2589</v>
      </c>
      <c r="H45" s="22" t="s">
        <v>2590</v>
      </c>
      <c r="I45" s="17" t="s">
        <v>89</v>
      </c>
      <c r="J45" s="17" t="s">
        <v>1998</v>
      </c>
      <c r="K45" s="37">
        <f t="shared" si="1"/>
        <v>4150</v>
      </c>
    </row>
    <row r="46" spans="1:12" ht="83.25" customHeight="1">
      <c r="A46" s="17">
        <v>43</v>
      </c>
      <c r="B46" s="17" t="s">
        <v>1666</v>
      </c>
      <c r="C46" s="24">
        <v>4000</v>
      </c>
      <c r="D46" s="17" t="s">
        <v>2588</v>
      </c>
      <c r="E46" s="17" t="s">
        <v>19</v>
      </c>
      <c r="F46" s="17" t="s">
        <v>172</v>
      </c>
      <c r="G46" s="69" t="s">
        <v>2591</v>
      </c>
      <c r="H46" s="22" t="s">
        <v>2592</v>
      </c>
      <c r="I46" s="17" t="s">
        <v>43</v>
      </c>
      <c r="J46" s="17" t="s">
        <v>2584</v>
      </c>
      <c r="K46" s="37">
        <f t="shared" si="0"/>
        <v>4000</v>
      </c>
      <c r="L46" s="3" t="s">
        <v>2593</v>
      </c>
    </row>
    <row r="47" spans="1:12" ht="92.25" customHeight="1">
      <c r="A47" s="17">
        <v>44</v>
      </c>
      <c r="B47" s="17" t="s">
        <v>595</v>
      </c>
      <c r="C47" s="24">
        <v>3650</v>
      </c>
      <c r="D47" s="17" t="s">
        <v>2588</v>
      </c>
      <c r="E47" s="17" t="s">
        <v>19</v>
      </c>
      <c r="F47" s="17" t="s">
        <v>1238</v>
      </c>
      <c r="G47" s="58" t="s">
        <v>2594</v>
      </c>
      <c r="H47" s="22" t="s">
        <v>2595</v>
      </c>
      <c r="I47" s="17" t="s">
        <v>16</v>
      </c>
      <c r="J47" s="17" t="s">
        <v>2497</v>
      </c>
      <c r="K47" s="37">
        <f t="shared" si="0"/>
        <v>3650</v>
      </c>
      <c r="L47" s="3" t="s">
        <v>2596</v>
      </c>
    </row>
    <row r="48" spans="1:12" ht="64.5" customHeight="1">
      <c r="A48" s="17">
        <v>45</v>
      </c>
      <c r="B48" s="17" t="s">
        <v>1694</v>
      </c>
      <c r="C48" s="24">
        <v>3000</v>
      </c>
      <c r="D48" s="17" t="s">
        <v>2597</v>
      </c>
      <c r="E48" s="17" t="s">
        <v>19</v>
      </c>
      <c r="F48" s="17" t="s">
        <v>172</v>
      </c>
      <c r="G48" s="58" t="s">
        <v>2598</v>
      </c>
      <c r="H48" s="22" t="s">
        <v>2599</v>
      </c>
      <c r="I48" s="17" t="s">
        <v>84</v>
      </c>
      <c r="J48" s="17" t="s">
        <v>2340</v>
      </c>
      <c r="K48" s="37">
        <f>C48</f>
        <v>3000</v>
      </c>
    </row>
    <row r="49" spans="1:12" ht="61.5" customHeight="1">
      <c r="A49" s="17">
        <v>46</v>
      </c>
      <c r="B49" s="17" t="s">
        <v>496</v>
      </c>
      <c r="C49" s="24">
        <v>3280</v>
      </c>
      <c r="D49" s="17" t="s">
        <v>2597</v>
      </c>
      <c r="E49" s="17" t="s">
        <v>19</v>
      </c>
      <c r="F49" s="17" t="s">
        <v>172</v>
      </c>
      <c r="G49" s="32" t="s">
        <v>2600</v>
      </c>
      <c r="H49" s="16" t="s">
        <v>2601</v>
      </c>
      <c r="I49" s="17" t="s">
        <v>89</v>
      </c>
      <c r="J49" s="17" t="s">
        <v>1528</v>
      </c>
      <c r="K49" s="37">
        <f t="shared" si="0"/>
        <v>3280</v>
      </c>
    </row>
    <row r="50" spans="1:12" ht="66.75" customHeight="1">
      <c r="A50" s="17">
        <v>47</v>
      </c>
      <c r="B50" s="17" t="s">
        <v>906</v>
      </c>
      <c r="C50" s="24">
        <v>4500</v>
      </c>
      <c r="D50" s="17" t="s">
        <v>2602</v>
      </c>
      <c r="E50" s="17" t="s">
        <v>19</v>
      </c>
      <c r="F50" s="17" t="s">
        <v>927</v>
      </c>
      <c r="G50" s="70" t="s">
        <v>2603</v>
      </c>
      <c r="H50" s="22" t="s">
        <v>2604</v>
      </c>
      <c r="I50" s="17" t="s">
        <v>84</v>
      </c>
      <c r="J50" s="17" t="s">
        <v>2558</v>
      </c>
      <c r="K50" s="45">
        <f t="shared" si="0"/>
        <v>4500</v>
      </c>
    </row>
    <row r="51" spans="1:12" ht="84.75" customHeight="1">
      <c r="A51" s="17">
        <v>48</v>
      </c>
      <c r="B51" s="17" t="s">
        <v>2605</v>
      </c>
      <c r="C51" s="24">
        <v>4500</v>
      </c>
      <c r="D51" s="17" t="s">
        <v>2606</v>
      </c>
      <c r="E51" s="17" t="s">
        <v>19</v>
      </c>
      <c r="F51" s="17" t="s">
        <v>927</v>
      </c>
      <c r="G51" s="69" t="s">
        <v>2607</v>
      </c>
      <c r="H51" s="22" t="s">
        <v>2608</v>
      </c>
      <c r="I51" s="17" t="s">
        <v>54</v>
      </c>
      <c r="J51" s="17" t="s">
        <v>2558</v>
      </c>
      <c r="K51" s="37">
        <f t="shared" si="0"/>
        <v>4500</v>
      </c>
      <c r="L51" s="3" t="s">
        <v>2609</v>
      </c>
    </row>
    <row r="52" spans="1:12" ht="94.5" customHeight="1">
      <c r="A52" s="17">
        <v>52</v>
      </c>
      <c r="B52" s="17" t="s">
        <v>2501</v>
      </c>
      <c r="C52" s="24">
        <v>4750</v>
      </c>
      <c r="D52" s="17" t="s">
        <v>2610</v>
      </c>
      <c r="E52" s="17" t="s">
        <v>19</v>
      </c>
      <c r="F52" s="17" t="s">
        <v>172</v>
      </c>
      <c r="G52" s="21" t="s">
        <v>2611</v>
      </c>
      <c r="H52" s="22" t="s">
        <v>2612</v>
      </c>
      <c r="I52" s="17" t="s">
        <v>89</v>
      </c>
      <c r="J52" s="17" t="s">
        <v>1998</v>
      </c>
      <c r="K52" s="37">
        <f t="shared" si="0"/>
        <v>4750</v>
      </c>
    </row>
    <row r="53" spans="1:12" ht="54.75" customHeight="1">
      <c r="A53" s="17">
        <v>49</v>
      </c>
      <c r="B53" s="17" t="s">
        <v>2613</v>
      </c>
      <c r="C53" s="24">
        <v>5350</v>
      </c>
      <c r="D53" s="17" t="s">
        <v>2610</v>
      </c>
      <c r="E53" s="17" t="s">
        <v>19</v>
      </c>
      <c r="F53" s="17" t="s">
        <v>199</v>
      </c>
      <c r="G53" s="21" t="s">
        <v>2614</v>
      </c>
      <c r="H53" s="22" t="s">
        <v>2615</v>
      </c>
      <c r="I53" s="17" t="s">
        <v>43</v>
      </c>
      <c r="J53" s="17" t="s">
        <v>2019</v>
      </c>
      <c r="K53" s="37">
        <f t="shared" si="0"/>
        <v>5350</v>
      </c>
    </row>
    <row r="54" spans="1:12" ht="96" customHeight="1">
      <c r="A54" s="17">
        <v>50</v>
      </c>
      <c r="B54" s="17" t="s">
        <v>931</v>
      </c>
      <c r="C54" s="24">
        <v>4700</v>
      </c>
      <c r="D54" s="17" t="s">
        <v>2610</v>
      </c>
      <c r="E54" s="17" t="s">
        <v>19</v>
      </c>
      <c r="F54" s="17" t="s">
        <v>123</v>
      </c>
      <c r="G54" s="21" t="s">
        <v>2616</v>
      </c>
      <c r="H54" s="22" t="s">
        <v>2617</v>
      </c>
      <c r="I54" s="17" t="s">
        <v>16</v>
      </c>
      <c r="J54" s="17" t="s">
        <v>1528</v>
      </c>
      <c r="K54" s="37">
        <f>C54</f>
        <v>4700</v>
      </c>
    </row>
    <row r="55" spans="1:12" ht="37.5">
      <c r="A55" s="17">
        <v>53</v>
      </c>
      <c r="B55" s="17" t="s">
        <v>549</v>
      </c>
      <c r="C55" s="24">
        <v>3500</v>
      </c>
      <c r="D55" s="17" t="s">
        <v>2610</v>
      </c>
      <c r="E55" s="17" t="s">
        <v>19</v>
      </c>
      <c r="F55" s="17" t="s">
        <v>172</v>
      </c>
      <c r="G55" s="21" t="s">
        <v>2618</v>
      </c>
      <c r="H55" s="22" t="s">
        <v>2619</v>
      </c>
      <c r="I55" s="17" t="s">
        <v>84</v>
      </c>
      <c r="J55" s="17" t="s">
        <v>417</v>
      </c>
      <c r="K55" s="37">
        <f t="shared" si="0"/>
        <v>3500</v>
      </c>
    </row>
    <row r="56" spans="1:12" ht="37.5">
      <c r="A56" s="17">
        <v>51</v>
      </c>
      <c r="B56" s="17" t="s">
        <v>2470</v>
      </c>
      <c r="C56" s="24">
        <v>1850</v>
      </c>
      <c r="D56" s="17" t="s">
        <v>2610</v>
      </c>
      <c r="E56" s="17" t="s">
        <v>19</v>
      </c>
      <c r="F56" s="17" t="s">
        <v>199</v>
      </c>
      <c r="G56" s="21" t="s">
        <v>2620</v>
      </c>
      <c r="H56" s="22" t="s">
        <v>2621</v>
      </c>
      <c r="I56" s="17" t="s">
        <v>54</v>
      </c>
      <c r="J56" s="17" t="s">
        <v>2019</v>
      </c>
      <c r="K56" s="37">
        <f>C56</f>
        <v>1850</v>
      </c>
    </row>
    <row r="57" spans="1:12" ht="38.25" customHeight="1">
      <c r="A57" s="17">
        <v>52</v>
      </c>
      <c r="B57" s="17" t="s">
        <v>2622</v>
      </c>
      <c r="C57" s="24">
        <v>3000</v>
      </c>
      <c r="D57" s="17" t="s">
        <v>2610</v>
      </c>
      <c r="E57" s="17" t="s">
        <v>19</v>
      </c>
      <c r="F57" s="17" t="s">
        <v>2472</v>
      </c>
      <c r="G57" s="21" t="s">
        <v>2623</v>
      </c>
      <c r="H57" s="22" t="s">
        <v>2624</v>
      </c>
      <c r="I57" s="17" t="s">
        <v>84</v>
      </c>
      <c r="J57" s="17" t="s">
        <v>2019</v>
      </c>
      <c r="K57" s="37">
        <f t="shared" si="0"/>
        <v>3000</v>
      </c>
    </row>
    <row r="58" spans="1:12" ht="144" customHeight="1">
      <c r="A58" s="17">
        <v>53</v>
      </c>
      <c r="B58" s="17" t="s">
        <v>775</v>
      </c>
      <c r="C58" s="24">
        <v>2950</v>
      </c>
      <c r="D58" s="17" t="s">
        <v>2610</v>
      </c>
      <c r="E58" s="17" t="s">
        <v>19</v>
      </c>
      <c r="F58" s="17" t="s">
        <v>172</v>
      </c>
      <c r="G58" s="21" t="s">
        <v>2625</v>
      </c>
      <c r="H58" s="22" t="s">
        <v>2626</v>
      </c>
      <c r="I58" s="17" t="s">
        <v>54</v>
      </c>
      <c r="J58" s="17" t="s">
        <v>417</v>
      </c>
      <c r="K58" s="37">
        <f t="shared" si="0"/>
        <v>2950</v>
      </c>
    </row>
    <row r="59" spans="1:12" ht="144" customHeight="1">
      <c r="A59" s="17">
        <v>54</v>
      </c>
      <c r="B59" s="17" t="s">
        <v>2627</v>
      </c>
      <c r="C59" s="24">
        <v>3200</v>
      </c>
      <c r="D59" s="17" t="s">
        <v>2610</v>
      </c>
      <c r="E59" s="17" t="s">
        <v>19</v>
      </c>
      <c r="F59" s="17" t="s">
        <v>172</v>
      </c>
      <c r="G59" s="21" t="s">
        <v>2628</v>
      </c>
      <c r="H59" s="22" t="s">
        <v>2629</v>
      </c>
      <c r="I59" s="17" t="s">
        <v>89</v>
      </c>
      <c r="J59" s="17" t="s">
        <v>417</v>
      </c>
      <c r="K59" s="37">
        <f>C59</f>
        <v>3200</v>
      </c>
    </row>
    <row r="60" spans="1:12" ht="147.75" customHeight="1">
      <c r="A60" s="17">
        <v>55</v>
      </c>
      <c r="B60" s="17" t="s">
        <v>1007</v>
      </c>
      <c r="C60" s="24">
        <v>3600</v>
      </c>
      <c r="D60" s="17" t="s">
        <v>2610</v>
      </c>
      <c r="E60" s="17" t="s">
        <v>19</v>
      </c>
      <c r="F60" s="17" t="s">
        <v>2472</v>
      </c>
      <c r="G60" s="21" t="s">
        <v>2630</v>
      </c>
      <c r="H60" s="22" t="s">
        <v>2631</v>
      </c>
      <c r="I60" s="17" t="s">
        <v>43</v>
      </c>
      <c r="J60" s="17" t="s">
        <v>2116</v>
      </c>
      <c r="K60" s="37">
        <f t="shared" si="0"/>
        <v>3600</v>
      </c>
    </row>
    <row r="61" spans="1:12" ht="56.25" customHeight="1">
      <c r="A61" s="17">
        <v>56</v>
      </c>
      <c r="B61" s="17" t="s">
        <v>2632</v>
      </c>
      <c r="C61" s="24">
        <v>3100</v>
      </c>
      <c r="D61" s="17" t="s">
        <v>2610</v>
      </c>
      <c r="E61" s="17" t="s">
        <v>19</v>
      </c>
      <c r="F61" s="17" t="s">
        <v>172</v>
      </c>
      <c r="G61" s="69" t="s">
        <v>2633</v>
      </c>
      <c r="H61" s="22" t="s">
        <v>2634</v>
      </c>
      <c r="I61" s="17" t="s">
        <v>89</v>
      </c>
      <c r="J61" s="17" t="s">
        <v>2635</v>
      </c>
      <c r="K61" s="37">
        <f t="shared" si="0"/>
        <v>3100</v>
      </c>
    </row>
    <row r="62" spans="1:12" ht="66.75" customHeight="1">
      <c r="A62" s="17">
        <v>57</v>
      </c>
      <c r="B62" s="17" t="s">
        <v>1221</v>
      </c>
      <c r="C62" s="24">
        <v>4650</v>
      </c>
      <c r="D62" s="17" t="s">
        <v>2636</v>
      </c>
      <c r="E62" s="17" t="s">
        <v>19</v>
      </c>
      <c r="F62" s="17" t="s">
        <v>172</v>
      </c>
      <c r="G62" s="21" t="s">
        <v>2637</v>
      </c>
      <c r="H62" s="22" t="s">
        <v>2638</v>
      </c>
      <c r="I62" s="17" t="s">
        <v>84</v>
      </c>
      <c r="J62" s="17" t="s">
        <v>417</v>
      </c>
      <c r="K62" s="37">
        <f t="shared" si="0"/>
        <v>4650</v>
      </c>
    </row>
    <row r="63" spans="1:12" ht="83.25" customHeight="1">
      <c r="A63" s="17">
        <v>58</v>
      </c>
      <c r="B63" s="17" t="s">
        <v>638</v>
      </c>
      <c r="C63" s="24">
        <v>3800</v>
      </c>
      <c r="D63" s="17" t="s">
        <v>2639</v>
      </c>
      <c r="E63" s="17" t="s">
        <v>19</v>
      </c>
      <c r="F63" s="17" t="s">
        <v>172</v>
      </c>
      <c r="G63" s="21" t="s">
        <v>2640</v>
      </c>
      <c r="H63" s="22" t="s">
        <v>2641</v>
      </c>
      <c r="I63" s="17" t="s">
        <v>84</v>
      </c>
      <c r="J63" s="17" t="s">
        <v>417</v>
      </c>
      <c r="K63" s="37">
        <f t="shared" si="0"/>
        <v>3800</v>
      </c>
    </row>
    <row r="64" spans="1:12" ht="56.25" customHeight="1">
      <c r="A64" s="17">
        <v>59</v>
      </c>
      <c r="B64" s="23" t="s">
        <v>2642</v>
      </c>
      <c r="C64" s="24">
        <v>3000</v>
      </c>
      <c r="D64" s="17" t="s">
        <v>2639</v>
      </c>
      <c r="E64" s="17" t="s">
        <v>19</v>
      </c>
      <c r="F64" s="17" t="s">
        <v>172</v>
      </c>
      <c r="G64" s="21" t="s">
        <v>2643</v>
      </c>
      <c r="H64" s="22" t="s">
        <v>2554</v>
      </c>
      <c r="I64" s="17" t="s">
        <v>54</v>
      </c>
      <c r="J64" s="17" t="s">
        <v>417</v>
      </c>
      <c r="K64" s="37">
        <f>C64</f>
        <v>3000</v>
      </c>
    </row>
    <row r="65" spans="1:11" ht="66" customHeight="1">
      <c r="A65" s="17">
        <v>60</v>
      </c>
      <c r="B65" s="23" t="s">
        <v>1524</v>
      </c>
      <c r="C65" s="24">
        <v>2500</v>
      </c>
      <c r="D65" s="17" t="s">
        <v>2639</v>
      </c>
      <c r="E65" s="17" t="s">
        <v>19</v>
      </c>
      <c r="F65" s="17" t="s">
        <v>172</v>
      </c>
      <c r="G65" s="21" t="s">
        <v>2644</v>
      </c>
      <c r="H65" s="71" t="s">
        <v>2645</v>
      </c>
      <c r="I65" s="17" t="s">
        <v>43</v>
      </c>
      <c r="J65" s="17" t="s">
        <v>417</v>
      </c>
      <c r="K65" s="37">
        <f t="shared" si="0"/>
        <v>2500</v>
      </c>
    </row>
    <row r="71" spans="1:11">
      <c r="D71" s="1" t="s">
        <v>222</v>
      </c>
    </row>
  </sheetData>
  <autoFilter ref="A5:O65" xr:uid="{00000000-0009-0000-0000-000010000000}"/>
  <mergeCells count="3">
    <mergeCell ref="C1:H1"/>
    <mergeCell ref="A2:H2"/>
    <mergeCell ref="H4:I4"/>
  </mergeCells>
  <conditionalFormatting sqref="B3:B5 B13:B25 B30 B32:B42 B44:B46 B51:B54 B61:B1048576">
    <cfRule type="duplicateValues" dxfId="557" priority="135"/>
    <cfRule type="duplicateValues" dxfId="556" priority="136"/>
    <cfRule type="duplicateValues" dxfId="555" priority="151"/>
  </conditionalFormatting>
  <conditionalFormatting sqref="B6">
    <cfRule type="duplicateValues" dxfId="554" priority="22"/>
    <cfRule type="duplicateValues" dxfId="553" priority="23"/>
    <cfRule type="duplicateValues" dxfId="552" priority="24"/>
  </conditionalFormatting>
  <conditionalFormatting sqref="B7">
    <cfRule type="duplicateValues" dxfId="551" priority="28"/>
    <cfRule type="duplicateValues" dxfId="550" priority="29"/>
    <cfRule type="duplicateValues" dxfId="549" priority="30"/>
  </conditionalFormatting>
  <conditionalFormatting sqref="B8">
    <cfRule type="duplicateValues" dxfId="548" priority="13"/>
    <cfRule type="duplicateValues" dxfId="547" priority="14"/>
    <cfRule type="duplicateValues" dxfId="546" priority="15"/>
  </conditionalFormatting>
  <conditionalFormatting sqref="B9">
    <cfRule type="duplicateValues" dxfId="545" priority="25"/>
    <cfRule type="duplicateValues" dxfId="544" priority="26"/>
    <cfRule type="duplicateValues" dxfId="543" priority="27"/>
  </conditionalFormatting>
  <conditionalFormatting sqref="B10">
    <cfRule type="duplicateValues" dxfId="542" priority="19"/>
    <cfRule type="duplicateValues" dxfId="541" priority="20"/>
    <cfRule type="duplicateValues" dxfId="540" priority="21"/>
  </conditionalFormatting>
  <conditionalFormatting sqref="B11">
    <cfRule type="duplicateValues" dxfId="539" priority="16"/>
    <cfRule type="duplicateValues" dxfId="538" priority="17"/>
    <cfRule type="duplicateValues" dxfId="537" priority="18"/>
  </conditionalFormatting>
  <conditionalFormatting sqref="B26:B29 B31">
    <cfRule type="duplicateValues" dxfId="536" priority="31"/>
    <cfRule type="duplicateValues" dxfId="535" priority="32"/>
    <cfRule type="duplicateValues" dxfId="534" priority="33"/>
  </conditionalFormatting>
  <conditionalFormatting sqref="B43 B47:B50">
    <cfRule type="duplicateValues" dxfId="533" priority="34"/>
    <cfRule type="duplicateValues" dxfId="532" priority="35"/>
    <cfRule type="duplicateValues" dxfId="531" priority="36"/>
  </conditionalFormatting>
  <conditionalFormatting sqref="B55">
    <cfRule type="duplicateValues" dxfId="530" priority="7"/>
    <cfRule type="duplicateValues" dxfId="529" priority="8"/>
    <cfRule type="duplicateValues" dxfId="528" priority="9"/>
  </conditionalFormatting>
  <conditionalFormatting sqref="B56:B59">
    <cfRule type="duplicateValues" dxfId="527" priority="4"/>
    <cfRule type="duplicateValues" dxfId="526" priority="5"/>
    <cfRule type="duplicateValues" dxfId="525" priority="6"/>
  </conditionalFormatting>
  <conditionalFormatting sqref="B60">
    <cfRule type="duplicateValues" dxfId="524" priority="1"/>
    <cfRule type="duplicateValues" dxfId="523" priority="2"/>
    <cfRule type="duplicateValues" dxfId="522" priority="3"/>
  </conditionalFormatting>
  <pageMargins left="0.7" right="0.7" top="0.75" bottom="0.75" header="0.3" footer="0.3"/>
  <pageSetup paperSize="9" scale="31" orientation="landscape"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1:P61"/>
  <sheetViews>
    <sheetView topLeftCell="A2" zoomScale="70" zoomScaleNormal="70" workbookViewId="0">
      <pane xSplit="3" ySplit="3" topLeftCell="D5" activePane="bottomRight" state="frozen"/>
      <selection pane="topRight"/>
      <selection pane="bottomLeft"/>
      <selection pane="bottomRight"/>
    </sheetView>
  </sheetViews>
  <sheetFormatPr defaultColWidth="25.5703125" defaultRowHeight="18.75"/>
  <cols>
    <col min="1" max="1" width="7.140625" style="359" customWidth="1"/>
    <col min="2" max="2" width="21.42578125" style="1" customWidth="1"/>
    <col min="3" max="3" width="11.42578125" style="2" customWidth="1"/>
    <col min="4" max="4" width="20" style="271" customWidth="1"/>
    <col min="5" max="5" width="25.28515625" style="785" customWidth="1"/>
    <col min="6" max="6" width="15.42578125" style="1" customWidth="1"/>
    <col min="7" max="7" width="20.42578125" style="1" customWidth="1"/>
    <col min="8" max="8" width="66.85546875" style="9" customWidth="1"/>
    <col min="9" max="9" width="53.140625" style="9" customWidth="1"/>
    <col min="10" max="10" width="20.5703125" style="1" customWidth="1"/>
    <col min="11" max="11" width="19.28515625" style="1" customWidth="1"/>
    <col min="12" max="12" width="25.5703125" style="1" hidden="1" customWidth="1"/>
    <col min="13" max="13" width="10.28515625" style="508" customWidth="1"/>
    <col min="14" max="14" width="25.5703125" style="3" customWidth="1"/>
    <col min="15" max="15" width="15.42578125" style="3" customWidth="1"/>
    <col min="16" max="16" width="34.5703125" style="3" customWidth="1"/>
    <col min="17" max="16384" width="25.5703125" style="3"/>
  </cols>
  <sheetData>
    <row r="1" spans="1:16" ht="17.25" hidden="1" customHeight="1">
      <c r="B1" s="10"/>
      <c r="C1" s="3657"/>
      <c r="D1" s="3657"/>
      <c r="E1" s="3657"/>
      <c r="F1" s="3657"/>
      <c r="G1" s="3657"/>
      <c r="H1" s="3657"/>
      <c r="I1" s="3657"/>
    </row>
    <row r="2" spans="1:16" ht="27" customHeight="1">
      <c r="A2" s="3637" t="s">
        <v>2646</v>
      </c>
      <c r="B2" s="3637"/>
      <c r="C2" s="3637"/>
      <c r="D2" s="3637"/>
      <c r="E2" s="3637"/>
      <c r="F2" s="3637"/>
      <c r="G2" s="3637"/>
      <c r="H2" s="3637"/>
      <c r="I2" s="3637"/>
      <c r="J2" s="194"/>
      <c r="K2" s="194"/>
      <c r="L2" s="195"/>
      <c r="M2" s="509"/>
      <c r="N2" s="196"/>
      <c r="O2" s="197"/>
    </row>
    <row r="3" spans="1:16" ht="24" customHeight="1">
      <c r="A3" s="360"/>
      <c r="B3" s="385"/>
      <c r="C3" s="504">
        <f>SUBTOTAL(9,C5:C206)</f>
        <v>224060</v>
      </c>
      <c r="D3" s="378"/>
      <c r="E3" s="769"/>
      <c r="F3" s="201"/>
      <c r="G3" s="199"/>
      <c r="H3" s="202"/>
      <c r="I3" s="3658">
        <f ca="1">TODAY()</f>
        <v>45960</v>
      </c>
      <c r="J3" s="3658"/>
      <c r="K3" s="203"/>
      <c r="L3" s="203"/>
      <c r="M3" s="510"/>
      <c r="N3" s="197"/>
      <c r="O3" s="197"/>
    </row>
    <row r="4" spans="1:16" s="7" customFormat="1" ht="48" customHeight="1">
      <c r="A4" s="361" t="s">
        <v>1</v>
      </c>
      <c r="B4" s="204" t="s">
        <v>1384</v>
      </c>
      <c r="C4" s="205" t="s">
        <v>3</v>
      </c>
      <c r="D4" s="204" t="s">
        <v>4</v>
      </c>
      <c r="E4" s="204" t="s">
        <v>6</v>
      </c>
      <c r="F4" s="204" t="s">
        <v>8</v>
      </c>
      <c r="G4" s="204" t="s">
        <v>9</v>
      </c>
      <c r="H4" s="206" t="s">
        <v>10</v>
      </c>
      <c r="I4" s="204" t="s">
        <v>11</v>
      </c>
      <c r="J4" s="204" t="s">
        <v>5</v>
      </c>
      <c r="K4" s="679" t="s">
        <v>1053</v>
      </c>
      <c r="L4" s="204" t="s">
        <v>1215</v>
      </c>
      <c r="M4" s="511" t="s">
        <v>340</v>
      </c>
      <c r="N4" s="753" t="s">
        <v>341</v>
      </c>
      <c r="O4" s="754">
        <f>SUM(O5:O10)</f>
        <v>171190</v>
      </c>
    </row>
    <row r="5" spans="1:16" ht="112.5">
      <c r="A5" s="362" cm="1">
        <f t="array" ref="A5:A54">_xlfn.SEQUENCE(50,1,1,)</f>
        <v>1</v>
      </c>
      <c r="B5" s="182" t="s">
        <v>2647</v>
      </c>
      <c r="C5" s="688">
        <v>7400</v>
      </c>
      <c r="D5" s="689" t="s">
        <v>226</v>
      </c>
      <c r="E5" s="770"/>
      <c r="F5" s="113" t="s">
        <v>19</v>
      </c>
      <c r="G5" s="182" t="s">
        <v>959</v>
      </c>
      <c r="H5" s="512" t="s">
        <v>2648</v>
      </c>
      <c r="I5" s="692"/>
      <c r="J5" s="389" t="s">
        <v>89</v>
      </c>
      <c r="K5" s="87" t="s">
        <v>89</v>
      </c>
      <c r="L5" s="349"/>
      <c r="M5" s="755">
        <f t="shared" ref="M5:M31" si="0">C5</f>
        <v>7400</v>
      </c>
      <c r="N5" s="218" t="s">
        <v>84</v>
      </c>
      <c r="O5" s="756">
        <f t="shared" ref="O5:O10" si="1">SUMIF($J:$J,N5,M:M)</f>
        <v>45650</v>
      </c>
      <c r="P5" s="4"/>
    </row>
    <row r="6" spans="1:16" s="434" customFormat="1" ht="37.5">
      <c r="A6" s="387">
        <v>2</v>
      </c>
      <c r="B6" s="177" t="s">
        <v>1213</v>
      </c>
      <c r="C6" s="186">
        <v>3600</v>
      </c>
      <c r="D6" s="693" t="s">
        <v>226</v>
      </c>
      <c r="E6" s="771"/>
      <c r="F6" s="87" t="s">
        <v>19</v>
      </c>
      <c r="G6" s="177" t="s">
        <v>20</v>
      </c>
      <c r="H6" s="188" t="s">
        <v>2649</v>
      </c>
      <c r="I6" s="147" t="s">
        <v>2650</v>
      </c>
      <c r="J6" s="177" t="s">
        <v>89</v>
      </c>
      <c r="K6" s="177" t="s">
        <v>89</v>
      </c>
      <c r="L6" s="694"/>
      <c r="M6" s="755">
        <f t="shared" si="0"/>
        <v>3600</v>
      </c>
      <c r="N6" s="608" t="s">
        <v>514</v>
      </c>
      <c r="O6" s="757">
        <f t="shared" si="1"/>
        <v>0</v>
      </c>
    </row>
    <row r="7" spans="1:16" s="759" customFormat="1" ht="38.25" customHeight="1">
      <c r="A7" s="687">
        <v>3</v>
      </c>
      <c r="B7" s="182" t="s">
        <v>2651</v>
      </c>
      <c r="C7" s="688">
        <v>2950</v>
      </c>
      <c r="D7" s="689" t="s">
        <v>226</v>
      </c>
      <c r="E7" s="770"/>
      <c r="F7" s="113" t="s">
        <v>19</v>
      </c>
      <c r="G7" s="182" t="s">
        <v>172</v>
      </c>
      <c r="H7" s="290" t="s">
        <v>2652</v>
      </c>
      <c r="I7" s="690"/>
      <c r="J7" s="182" t="s">
        <v>84</v>
      </c>
      <c r="K7" s="177" t="s">
        <v>1284</v>
      </c>
      <c r="L7" s="691"/>
      <c r="M7" s="755">
        <f t="shared" si="0"/>
        <v>2950</v>
      </c>
      <c r="N7" s="218" t="s">
        <v>16</v>
      </c>
      <c r="O7" s="758">
        <f t="shared" si="1"/>
        <v>36750</v>
      </c>
    </row>
    <row r="8" spans="1:16" ht="33" customHeight="1">
      <c r="A8" s="695">
        <v>4</v>
      </c>
      <c r="B8" s="87" t="s">
        <v>2653</v>
      </c>
      <c r="C8" s="120">
        <v>3050</v>
      </c>
      <c r="D8" s="91" t="s">
        <v>226</v>
      </c>
      <c r="E8" s="772"/>
      <c r="F8" s="91" t="s">
        <v>19</v>
      </c>
      <c r="G8" s="115" t="s">
        <v>172</v>
      </c>
      <c r="H8" s="123" t="s">
        <v>2654</v>
      </c>
      <c r="I8" s="697"/>
      <c r="J8" s="91" t="s">
        <v>16</v>
      </c>
      <c r="K8" s="380" t="s">
        <v>16</v>
      </c>
      <c r="L8" s="348"/>
      <c r="M8" s="755">
        <f t="shared" si="0"/>
        <v>3050</v>
      </c>
      <c r="N8" s="760" t="s">
        <v>89</v>
      </c>
      <c r="O8" s="761">
        <f t="shared" si="1"/>
        <v>46390</v>
      </c>
      <c r="P8" s="4"/>
    </row>
    <row r="9" spans="1:16" ht="75">
      <c r="A9" s="695">
        <v>5</v>
      </c>
      <c r="B9" s="115" t="s">
        <v>985</v>
      </c>
      <c r="C9" s="94">
        <v>7150</v>
      </c>
      <c r="D9" s="133" t="s">
        <v>226</v>
      </c>
      <c r="E9" s="773"/>
      <c r="F9" s="87" t="s">
        <v>19</v>
      </c>
      <c r="G9" s="87" t="s">
        <v>172</v>
      </c>
      <c r="H9" s="93" t="s">
        <v>2655</v>
      </c>
      <c r="I9" s="290"/>
      <c r="J9" s="133" t="s">
        <v>84</v>
      </c>
      <c r="K9" s="133" t="s">
        <v>84</v>
      </c>
      <c r="L9" s="133" t="s">
        <v>1528</v>
      </c>
      <c r="M9" s="755">
        <f t="shared" si="0"/>
        <v>7150</v>
      </c>
      <c r="N9" s="762" t="s">
        <v>54</v>
      </c>
      <c r="O9" s="757">
        <f t="shared" si="1"/>
        <v>6000</v>
      </c>
      <c r="P9" s="4"/>
    </row>
    <row r="10" spans="1:16" s="759" customFormat="1" ht="98.25" customHeight="1">
      <c r="A10" s="699">
        <v>6</v>
      </c>
      <c r="B10" s="115" t="s">
        <v>2656</v>
      </c>
      <c r="C10" s="94">
        <v>4200</v>
      </c>
      <c r="D10" s="133" t="s">
        <v>226</v>
      </c>
      <c r="E10" s="773"/>
      <c r="F10" s="87" t="s">
        <v>19</v>
      </c>
      <c r="G10" s="87" t="s">
        <v>517</v>
      </c>
      <c r="H10" s="93" t="s">
        <v>2657</v>
      </c>
      <c r="I10" s="388" t="s">
        <v>2658</v>
      </c>
      <c r="J10" s="87" t="s">
        <v>16</v>
      </c>
      <c r="K10" s="87" t="s">
        <v>16</v>
      </c>
      <c r="L10" s="133"/>
      <c r="M10" s="755">
        <f t="shared" si="0"/>
        <v>4200</v>
      </c>
      <c r="N10" s="218" t="s">
        <v>43</v>
      </c>
      <c r="O10" s="758">
        <f t="shared" si="1"/>
        <v>36400</v>
      </c>
    </row>
    <row r="11" spans="1:16" s="759" customFormat="1" ht="95.25" customHeight="1">
      <c r="A11" s="699">
        <v>7</v>
      </c>
      <c r="B11" s="180" t="s">
        <v>270</v>
      </c>
      <c r="C11" s="190">
        <v>3950</v>
      </c>
      <c r="D11" s="702" t="s">
        <v>226</v>
      </c>
      <c r="E11" s="774"/>
      <c r="F11" s="91" t="s">
        <v>19</v>
      </c>
      <c r="G11" s="180" t="s">
        <v>2659</v>
      </c>
      <c r="H11" s="703" t="s">
        <v>2660</v>
      </c>
      <c r="I11" s="703" t="s">
        <v>2661</v>
      </c>
      <c r="J11" s="180" t="s">
        <v>84</v>
      </c>
      <c r="K11" s="180" t="s">
        <v>84</v>
      </c>
      <c r="L11" s="704" t="s">
        <v>1523</v>
      </c>
      <c r="M11" s="755">
        <f t="shared" si="0"/>
        <v>3950</v>
      </c>
    </row>
    <row r="12" spans="1:16" s="759" customFormat="1" ht="88.5" customHeight="1">
      <c r="A12" s="706">
        <v>8</v>
      </c>
      <c r="B12" s="177" t="s">
        <v>636</v>
      </c>
      <c r="C12" s="186">
        <v>2950</v>
      </c>
      <c r="D12" s="693" t="s">
        <v>226</v>
      </c>
      <c r="E12" s="771"/>
      <c r="F12" s="87" t="s">
        <v>19</v>
      </c>
      <c r="G12" s="177" t="s">
        <v>199</v>
      </c>
      <c r="H12" s="290" t="s">
        <v>2662</v>
      </c>
      <c r="I12" s="290" t="s">
        <v>2663</v>
      </c>
      <c r="J12" s="698" t="s">
        <v>54</v>
      </c>
      <c r="K12" s="177" t="s">
        <v>483</v>
      </c>
      <c r="L12" s="177" t="s">
        <v>1523</v>
      </c>
      <c r="M12" s="755">
        <f t="shared" si="0"/>
        <v>2950</v>
      </c>
      <c r="N12" s="433"/>
      <c r="O12" s="433"/>
    </row>
    <row r="13" spans="1:16" s="759" customFormat="1" ht="169.5" customHeight="1">
      <c r="A13" s="699">
        <v>9</v>
      </c>
      <c r="B13" s="115" t="s">
        <v>2664</v>
      </c>
      <c r="C13" s="120">
        <v>10300</v>
      </c>
      <c r="D13" s="693" t="s">
        <v>226</v>
      </c>
      <c r="E13" s="775"/>
      <c r="F13" s="91" t="s">
        <v>19</v>
      </c>
      <c r="G13" s="91" t="s">
        <v>172</v>
      </c>
      <c r="H13" s="119" t="s">
        <v>2665</v>
      </c>
      <c r="I13" s="707" t="s">
        <v>2666</v>
      </c>
      <c r="J13" s="91" t="s">
        <v>84</v>
      </c>
      <c r="K13" s="91" t="s">
        <v>84</v>
      </c>
      <c r="L13" s="133"/>
      <c r="M13" s="755">
        <f t="shared" si="0"/>
        <v>10300</v>
      </c>
    </row>
    <row r="14" spans="1:16" s="759" customFormat="1" ht="69" customHeight="1">
      <c r="A14" s="706">
        <v>10</v>
      </c>
      <c r="B14" s="177" t="s">
        <v>1752</v>
      </c>
      <c r="C14" s="186">
        <v>2600</v>
      </c>
      <c r="D14" s="693" t="s">
        <v>226</v>
      </c>
      <c r="E14" s="771"/>
      <c r="F14" s="87" t="s">
        <v>19</v>
      </c>
      <c r="G14" s="177" t="s">
        <v>172</v>
      </c>
      <c r="H14" s="290" t="s">
        <v>2667</v>
      </c>
      <c r="I14" s="290"/>
      <c r="J14" s="698" t="s">
        <v>89</v>
      </c>
      <c r="K14" s="177" t="s">
        <v>89</v>
      </c>
      <c r="L14" s="177"/>
      <c r="M14" s="755">
        <f t="shared" si="0"/>
        <v>2600</v>
      </c>
      <c r="N14" s="433"/>
      <c r="O14" s="433"/>
    </row>
    <row r="15" spans="1:16" s="759" customFormat="1" ht="75">
      <c r="A15" s="706">
        <v>11</v>
      </c>
      <c r="B15" s="87" t="s">
        <v>1192</v>
      </c>
      <c r="C15" s="94">
        <v>5870</v>
      </c>
      <c r="D15" s="133" t="s">
        <v>226</v>
      </c>
      <c r="E15" s="773"/>
      <c r="F15" s="91" t="s">
        <v>19</v>
      </c>
      <c r="G15" s="91" t="s">
        <v>172</v>
      </c>
      <c r="H15" s="93" t="s">
        <v>2668</v>
      </c>
      <c r="I15" s="392" t="s">
        <v>2669</v>
      </c>
      <c r="J15" s="87" t="s">
        <v>89</v>
      </c>
      <c r="K15" s="87" t="s">
        <v>89</v>
      </c>
      <c r="L15" s="350"/>
      <c r="M15" s="755">
        <f t="shared" si="0"/>
        <v>5870</v>
      </c>
    </row>
    <row r="16" spans="1:16" s="759" customFormat="1" ht="187.5">
      <c r="A16" s="706">
        <v>12</v>
      </c>
      <c r="B16" s="177" t="s">
        <v>2670</v>
      </c>
      <c r="C16" s="186">
        <v>22400</v>
      </c>
      <c r="D16" s="693" t="s">
        <v>226</v>
      </c>
      <c r="E16" s="771"/>
      <c r="F16" s="87" t="s">
        <v>19</v>
      </c>
      <c r="G16" s="177" t="s">
        <v>421</v>
      </c>
      <c r="H16" s="290" t="s">
        <v>2671</v>
      </c>
      <c r="I16" s="93" t="s">
        <v>2672</v>
      </c>
      <c r="J16" s="698" t="s">
        <v>43</v>
      </c>
      <c r="K16" s="177" t="s">
        <v>483</v>
      </c>
      <c r="L16" s="177"/>
      <c r="M16" s="755">
        <f t="shared" si="0"/>
        <v>22400</v>
      </c>
      <c r="N16" s="433"/>
      <c r="O16" s="433"/>
    </row>
    <row r="17" spans="1:15" s="759" customFormat="1" ht="42" customHeight="1">
      <c r="A17" s="708">
        <v>13</v>
      </c>
      <c r="B17" s="709" t="s">
        <v>2673</v>
      </c>
      <c r="C17" s="710" t="s">
        <v>675</v>
      </c>
      <c r="D17" s="711" t="s">
        <v>313</v>
      </c>
      <c r="E17" s="776"/>
      <c r="F17" s="712" t="s">
        <v>19</v>
      </c>
      <c r="G17" s="709" t="s">
        <v>172</v>
      </c>
      <c r="H17" s="713"/>
      <c r="I17" s="714"/>
      <c r="J17" s="715" t="s">
        <v>43</v>
      </c>
      <c r="K17" s="709"/>
      <c r="L17" s="709"/>
      <c r="M17" s="755" t="str">
        <f t="shared" si="0"/>
        <v>HỦY</v>
      </c>
      <c r="N17" s="433"/>
      <c r="O17" s="433"/>
    </row>
    <row r="18" spans="1:15" s="759" customFormat="1" ht="77.25" customHeight="1">
      <c r="A18" s="706">
        <v>14</v>
      </c>
      <c r="B18" s="177" t="s">
        <v>566</v>
      </c>
      <c r="C18" s="186">
        <v>3400</v>
      </c>
      <c r="D18" s="693" t="s">
        <v>226</v>
      </c>
      <c r="E18" s="771"/>
      <c r="F18" s="87" t="s">
        <v>19</v>
      </c>
      <c r="G18" s="177" t="s">
        <v>172</v>
      </c>
      <c r="H18" s="728" t="s">
        <v>2674</v>
      </c>
      <c r="I18" s="93" t="s">
        <v>2675</v>
      </c>
      <c r="J18" s="698" t="s">
        <v>84</v>
      </c>
      <c r="K18" s="181" t="s">
        <v>84</v>
      </c>
      <c r="L18" s="177"/>
      <c r="M18" s="755">
        <f t="shared" si="0"/>
        <v>3400</v>
      </c>
      <c r="N18" s="433"/>
      <c r="O18" s="433"/>
    </row>
    <row r="19" spans="1:15" s="1" customFormat="1" ht="76.5" customHeight="1">
      <c r="A19" s="723">
        <v>15</v>
      </c>
      <c r="B19" s="113" t="s">
        <v>914</v>
      </c>
      <c r="C19" s="724">
        <v>3550</v>
      </c>
      <c r="D19" s="113" t="s">
        <v>226</v>
      </c>
      <c r="E19" s="777"/>
      <c r="F19" s="87" t="s">
        <v>19</v>
      </c>
      <c r="G19" s="87" t="s">
        <v>172</v>
      </c>
      <c r="H19" s="1009" t="s">
        <v>2676</v>
      </c>
      <c r="I19" s="388"/>
      <c r="J19" s="87" t="s">
        <v>89</v>
      </c>
      <c r="K19" s="129" t="s">
        <v>89</v>
      </c>
      <c r="L19" s="350"/>
      <c r="M19" s="755">
        <f t="shared" si="0"/>
        <v>3550</v>
      </c>
      <c r="N19" s="763"/>
      <c r="O19" s="763"/>
    </row>
    <row r="20" spans="1:15" s="1" customFormat="1" ht="113.25" customHeight="1">
      <c r="A20" s="723">
        <v>16</v>
      </c>
      <c r="B20" s="113" t="s">
        <v>856</v>
      </c>
      <c r="C20" s="724">
        <v>20000</v>
      </c>
      <c r="D20" s="113" t="s">
        <v>226</v>
      </c>
      <c r="E20" s="778"/>
      <c r="F20" s="91" t="s">
        <v>19</v>
      </c>
      <c r="G20" s="343" t="s">
        <v>2677</v>
      </c>
      <c r="H20" s="1233" t="s">
        <v>2678</v>
      </c>
      <c r="I20" s="729" t="s">
        <v>2679</v>
      </c>
      <c r="J20" s="113" t="s">
        <v>16</v>
      </c>
      <c r="K20" s="125" t="s">
        <v>16</v>
      </c>
      <c r="L20" s="125" t="s">
        <v>1523</v>
      </c>
      <c r="M20" s="755">
        <f t="shared" si="0"/>
        <v>20000</v>
      </c>
      <c r="N20" s="433"/>
      <c r="O20" s="433"/>
    </row>
    <row r="21" spans="1:15" s="1" customFormat="1" ht="120.75" customHeight="1">
      <c r="A21" s="723">
        <v>17</v>
      </c>
      <c r="B21" s="87" t="s">
        <v>2680</v>
      </c>
      <c r="C21" s="118">
        <v>2400</v>
      </c>
      <c r="D21" s="87" t="s">
        <v>226</v>
      </c>
      <c r="E21" s="777"/>
      <c r="F21" s="87" t="s">
        <v>19</v>
      </c>
      <c r="G21" s="177" t="s">
        <v>172</v>
      </c>
      <c r="H21" s="188" t="s">
        <v>2681</v>
      </c>
      <c r="I21" s="392"/>
      <c r="J21" s="87" t="s">
        <v>89</v>
      </c>
      <c r="K21" s="87" t="s">
        <v>89</v>
      </c>
      <c r="L21" s="87"/>
      <c r="M21" s="755">
        <f t="shared" si="0"/>
        <v>2400</v>
      </c>
      <c r="N21" s="433"/>
      <c r="O21" s="433"/>
    </row>
    <row r="22" spans="1:15" s="434" customFormat="1" ht="109.5" customHeight="1">
      <c r="A22" s="706">
        <v>18</v>
      </c>
      <c r="B22" s="730" t="s">
        <v>274</v>
      </c>
      <c r="C22" s="731">
        <v>4000</v>
      </c>
      <c r="D22" s="732" t="s">
        <v>226</v>
      </c>
      <c r="E22" s="774"/>
      <c r="F22" s="91" t="s">
        <v>19</v>
      </c>
      <c r="G22" s="180" t="s">
        <v>74</v>
      </c>
      <c r="H22" s="184" t="s">
        <v>2682</v>
      </c>
      <c r="I22" s="733" t="s">
        <v>2683</v>
      </c>
      <c r="J22" s="130" t="s">
        <v>84</v>
      </c>
      <c r="K22" s="704" t="s">
        <v>1284</v>
      </c>
      <c r="L22" s="734"/>
      <c r="M22" s="755">
        <f t="shared" si="0"/>
        <v>4000</v>
      </c>
      <c r="N22" s="433"/>
      <c r="O22" s="433"/>
    </row>
    <row r="23" spans="1:15" s="1" customFormat="1" ht="99.75" customHeight="1">
      <c r="A23" s="723">
        <v>19</v>
      </c>
      <c r="B23" s="87" t="s">
        <v>2684</v>
      </c>
      <c r="C23" s="118">
        <v>2900</v>
      </c>
      <c r="D23" s="87" t="s">
        <v>226</v>
      </c>
      <c r="E23" s="777"/>
      <c r="F23" s="87" t="s">
        <v>19</v>
      </c>
      <c r="G23" s="177" t="s">
        <v>1230</v>
      </c>
      <c r="H23" s="188" t="s">
        <v>2685</v>
      </c>
      <c r="I23" s="392"/>
      <c r="J23" s="87" t="s">
        <v>89</v>
      </c>
      <c r="K23" s="87" t="s">
        <v>89</v>
      </c>
      <c r="L23" s="87"/>
      <c r="M23" s="755">
        <f t="shared" si="0"/>
        <v>2900</v>
      </c>
      <c r="N23" s="433"/>
      <c r="O23" s="433"/>
    </row>
    <row r="24" spans="1:15" s="1" customFormat="1" ht="80.25" customHeight="1">
      <c r="A24" s="723">
        <v>20</v>
      </c>
      <c r="B24" s="177" t="s">
        <v>1101</v>
      </c>
      <c r="C24" s="118">
        <v>4350</v>
      </c>
      <c r="D24" s="87" t="s">
        <v>226</v>
      </c>
      <c r="E24" s="777">
        <v>13.1</v>
      </c>
      <c r="F24" s="87" t="s">
        <v>19</v>
      </c>
      <c r="G24" s="87" t="s">
        <v>517</v>
      </c>
      <c r="H24" s="93" t="s">
        <v>2686</v>
      </c>
      <c r="I24" s="388" t="s">
        <v>2687</v>
      </c>
      <c r="J24" s="87" t="s">
        <v>84</v>
      </c>
      <c r="K24" s="87" t="s">
        <v>84</v>
      </c>
      <c r="L24" s="87"/>
      <c r="M24" s="755">
        <f t="shared" si="0"/>
        <v>4350</v>
      </c>
      <c r="N24" s="433"/>
      <c r="O24" s="433"/>
    </row>
    <row r="25" spans="1:15" s="434" customFormat="1" ht="71.25" customHeight="1">
      <c r="A25" s="736">
        <v>21</v>
      </c>
      <c r="B25" s="177" t="s">
        <v>2688</v>
      </c>
      <c r="C25" s="186">
        <v>3150</v>
      </c>
      <c r="D25" s="87" t="s">
        <v>226</v>
      </c>
      <c r="E25" s="771">
        <v>13.1</v>
      </c>
      <c r="F25" s="87" t="s">
        <v>19</v>
      </c>
      <c r="G25" s="177" t="s">
        <v>172</v>
      </c>
      <c r="H25" s="188" t="s">
        <v>2689</v>
      </c>
      <c r="I25" s="155"/>
      <c r="J25" s="87" t="s">
        <v>16</v>
      </c>
      <c r="K25" s="177" t="s">
        <v>16</v>
      </c>
      <c r="L25" s="388"/>
      <c r="M25" s="755">
        <f t="shared" si="0"/>
        <v>3150</v>
      </c>
      <c r="N25" s="433"/>
      <c r="O25" s="433"/>
    </row>
    <row r="26" spans="1:15" s="1" customFormat="1" ht="59.25" customHeight="1">
      <c r="A26" s="723">
        <v>22</v>
      </c>
      <c r="B26" s="177" t="s">
        <v>1309</v>
      </c>
      <c r="C26" s="118">
        <v>2800</v>
      </c>
      <c r="D26" s="87" t="s">
        <v>226</v>
      </c>
      <c r="E26" s="777"/>
      <c r="F26" s="87" t="s">
        <v>19</v>
      </c>
      <c r="G26" s="87" t="s">
        <v>172</v>
      </c>
      <c r="H26" s="155" t="s">
        <v>2690</v>
      </c>
      <c r="I26" s="388"/>
      <c r="J26" s="87" t="s">
        <v>84</v>
      </c>
      <c r="K26" s="87" t="s">
        <v>84</v>
      </c>
      <c r="L26" s="87"/>
      <c r="M26" s="755">
        <f t="shared" si="0"/>
        <v>2800</v>
      </c>
      <c r="N26" s="763"/>
      <c r="O26" s="763"/>
    </row>
    <row r="27" spans="1:15" s="1" customFormat="1" ht="103.5" customHeight="1">
      <c r="A27" s="723">
        <v>23</v>
      </c>
      <c r="B27" s="177" t="s">
        <v>1666</v>
      </c>
      <c r="C27" s="118">
        <v>4020</v>
      </c>
      <c r="D27" s="693" t="s">
        <v>226</v>
      </c>
      <c r="E27" s="777">
        <v>14.1</v>
      </c>
      <c r="F27" s="87" t="s">
        <v>19</v>
      </c>
      <c r="G27" s="87" t="s">
        <v>172</v>
      </c>
      <c r="H27" s="188" t="s">
        <v>2691</v>
      </c>
      <c r="I27" s="392" t="s">
        <v>2692</v>
      </c>
      <c r="J27" s="87" t="s">
        <v>89</v>
      </c>
      <c r="K27" s="87" t="s">
        <v>89</v>
      </c>
      <c r="L27" s="87"/>
      <c r="M27" s="755">
        <f t="shared" si="0"/>
        <v>4020</v>
      </c>
      <c r="N27" s="433"/>
      <c r="O27" s="433"/>
    </row>
    <row r="28" spans="1:15" s="763" customFormat="1" ht="33.75" customHeight="1">
      <c r="A28" s="700">
        <v>24</v>
      </c>
      <c r="B28" s="737" t="s">
        <v>2693</v>
      </c>
      <c r="C28" s="716" t="s">
        <v>675</v>
      </c>
      <c r="D28" s="701" t="s">
        <v>2694</v>
      </c>
      <c r="E28" s="779"/>
      <c r="F28" s="701" t="s">
        <v>19</v>
      </c>
      <c r="G28" s="701" t="s">
        <v>74</v>
      </c>
      <c r="H28" s="739" t="s">
        <v>675</v>
      </c>
      <c r="I28" s="705" t="s">
        <v>2658</v>
      </c>
      <c r="J28" s="701" t="s">
        <v>16</v>
      </c>
      <c r="K28" s="701" t="s">
        <v>16</v>
      </c>
      <c r="L28" s="701"/>
      <c r="M28" s="755" t="str">
        <f t="shared" si="0"/>
        <v>HỦY</v>
      </c>
      <c r="N28" s="433"/>
      <c r="O28" s="433"/>
    </row>
    <row r="29" spans="1:15" s="434" customFormat="1" ht="37.5" customHeight="1">
      <c r="A29" s="725">
        <v>25</v>
      </c>
      <c r="B29" s="709" t="s">
        <v>1565</v>
      </c>
      <c r="C29" s="710" t="s">
        <v>675</v>
      </c>
      <c r="D29" s="711" t="s">
        <v>2695</v>
      </c>
      <c r="E29" s="776">
        <v>12.1</v>
      </c>
      <c r="F29" s="712" t="s">
        <v>19</v>
      </c>
      <c r="G29" s="709" t="s">
        <v>2659</v>
      </c>
      <c r="H29" s="740" t="s">
        <v>2696</v>
      </c>
      <c r="I29" s="726"/>
      <c r="J29" s="712" t="s">
        <v>54</v>
      </c>
      <c r="K29" s="709" t="s">
        <v>483</v>
      </c>
      <c r="L29" s="727"/>
      <c r="M29" s="755" t="str">
        <f t="shared" si="0"/>
        <v>HỦY</v>
      </c>
      <c r="N29" s="433"/>
      <c r="O29" s="433"/>
    </row>
    <row r="30" spans="1:15" s="434" customFormat="1" ht="37.5" customHeight="1">
      <c r="A30" s="717">
        <v>26</v>
      </c>
      <c r="B30" s="718" t="s">
        <v>2697</v>
      </c>
      <c r="C30" s="719" t="s">
        <v>675</v>
      </c>
      <c r="D30" s="720" t="s">
        <v>2698</v>
      </c>
      <c r="E30" s="780"/>
      <c r="F30" s="102" t="s">
        <v>19</v>
      </c>
      <c r="G30" s="608" t="s">
        <v>2659</v>
      </c>
      <c r="H30" s="670"/>
      <c r="I30" s="721"/>
      <c r="J30" s="112" t="s">
        <v>89</v>
      </c>
      <c r="K30" s="718" t="s">
        <v>89</v>
      </c>
      <c r="L30" s="722"/>
      <c r="M30" s="755" t="str">
        <f t="shared" si="0"/>
        <v>HỦY</v>
      </c>
      <c r="N30" s="433"/>
      <c r="O30" s="433"/>
    </row>
    <row r="31" spans="1:15" s="1" customFormat="1" ht="78.75" customHeight="1">
      <c r="A31" s="723">
        <v>27</v>
      </c>
      <c r="B31" s="177" t="s">
        <v>1516</v>
      </c>
      <c r="C31" s="118">
        <v>2950</v>
      </c>
      <c r="D31" s="693" t="s">
        <v>226</v>
      </c>
      <c r="E31" s="777"/>
      <c r="F31" s="87" t="s">
        <v>19</v>
      </c>
      <c r="G31" s="87" t="s">
        <v>172</v>
      </c>
      <c r="H31" s="188" t="s">
        <v>2699</v>
      </c>
      <c r="I31" s="388"/>
      <c r="J31" s="87" t="s">
        <v>89</v>
      </c>
      <c r="K31" s="87" t="s">
        <v>89</v>
      </c>
      <c r="L31" s="87"/>
      <c r="M31" s="755">
        <f t="shared" si="0"/>
        <v>2950</v>
      </c>
      <c r="N31" s="433"/>
      <c r="O31" s="433"/>
    </row>
    <row r="32" spans="1:15" s="1" customFormat="1" ht="74.25" customHeight="1">
      <c r="A32" s="745">
        <v>28</v>
      </c>
      <c r="B32" s="730" t="s">
        <v>1420</v>
      </c>
      <c r="C32" s="746">
        <v>2500</v>
      </c>
      <c r="D32" s="130" t="s">
        <v>226</v>
      </c>
      <c r="E32" s="781"/>
      <c r="F32" s="130" t="s">
        <v>19</v>
      </c>
      <c r="G32" s="130" t="s">
        <v>421</v>
      </c>
      <c r="H32" s="131" t="s">
        <v>2700</v>
      </c>
      <c r="I32" s="513" t="s">
        <v>2701</v>
      </c>
      <c r="J32" s="130" t="s">
        <v>84</v>
      </c>
      <c r="K32" s="130" t="s">
        <v>84</v>
      </c>
      <c r="L32" s="130"/>
      <c r="M32" s="755"/>
      <c r="N32" s="433"/>
      <c r="O32" s="433"/>
    </row>
    <row r="33" spans="1:16" s="434" customFormat="1" ht="91.5" customHeight="1">
      <c r="A33" s="706">
        <v>29</v>
      </c>
      <c r="B33" s="177" t="s">
        <v>1098</v>
      </c>
      <c r="C33" s="186">
        <v>4030</v>
      </c>
      <c r="D33" s="693" t="s">
        <v>226</v>
      </c>
      <c r="E33" s="771"/>
      <c r="F33" s="87" t="s">
        <v>19</v>
      </c>
      <c r="G33" s="177" t="s">
        <v>1230</v>
      </c>
      <c r="H33" s="188" t="s">
        <v>2702</v>
      </c>
      <c r="I33" s="747" t="s">
        <v>2703</v>
      </c>
      <c r="J33" s="87" t="s">
        <v>89</v>
      </c>
      <c r="K33" s="177" t="s">
        <v>89</v>
      </c>
      <c r="L33" s="388"/>
      <c r="M33" s="764">
        <f>C33</f>
        <v>4030</v>
      </c>
      <c r="N33" s="433"/>
      <c r="O33" s="433"/>
    </row>
    <row r="34" spans="1:16" s="1" customFormat="1" ht="61.5" customHeight="1">
      <c r="A34" s="723">
        <v>30</v>
      </c>
      <c r="B34" s="182" t="s">
        <v>2207</v>
      </c>
      <c r="C34" s="724">
        <v>1800</v>
      </c>
      <c r="D34" s="113" t="s">
        <v>226</v>
      </c>
      <c r="E34" s="782"/>
      <c r="F34" s="87" t="s">
        <v>19</v>
      </c>
      <c r="G34" s="87" t="s">
        <v>172</v>
      </c>
      <c r="H34" s="513" t="s">
        <v>2704</v>
      </c>
      <c r="I34" s="744" t="s">
        <v>2705</v>
      </c>
      <c r="J34" s="113" t="s">
        <v>16</v>
      </c>
      <c r="K34" s="113" t="s">
        <v>16</v>
      </c>
      <c r="L34" s="113"/>
      <c r="M34" s="755"/>
      <c r="N34" s="433"/>
      <c r="O34" s="433"/>
    </row>
    <row r="35" spans="1:16" s="1" customFormat="1" ht="101.25" customHeight="1">
      <c r="A35" s="745">
        <v>31</v>
      </c>
      <c r="B35" s="730" t="s">
        <v>2706</v>
      </c>
      <c r="C35" s="746">
        <v>3050</v>
      </c>
      <c r="D35" s="130" t="s">
        <v>226</v>
      </c>
      <c r="E35" s="781"/>
      <c r="F35" s="91" t="s">
        <v>19</v>
      </c>
      <c r="G35" s="115" t="s">
        <v>172</v>
      </c>
      <c r="H35" s="184" t="s">
        <v>2707</v>
      </c>
      <c r="I35" s="707"/>
      <c r="J35" s="126" t="s">
        <v>16</v>
      </c>
      <c r="K35" s="130" t="s">
        <v>16</v>
      </c>
      <c r="L35" s="113"/>
      <c r="M35" s="755"/>
      <c r="N35" s="433"/>
      <c r="O35" s="433"/>
    </row>
    <row r="36" spans="1:16" s="434" customFormat="1" ht="84" customHeight="1">
      <c r="A36" s="706">
        <v>32</v>
      </c>
      <c r="B36" s="177" t="s">
        <v>2708</v>
      </c>
      <c r="C36" s="186">
        <v>2600</v>
      </c>
      <c r="D36" s="87" t="s">
        <v>226</v>
      </c>
      <c r="E36" s="771"/>
      <c r="F36" s="87" t="s">
        <v>19</v>
      </c>
      <c r="G36" s="177" t="s">
        <v>623</v>
      </c>
      <c r="H36" s="188" t="s">
        <v>2709</v>
      </c>
      <c r="I36" s="147"/>
      <c r="J36" s="177" t="s">
        <v>16</v>
      </c>
      <c r="K36" s="177" t="s">
        <v>16</v>
      </c>
      <c r="L36" s="390"/>
      <c r="M36" s="765">
        <f>C36</f>
        <v>2600</v>
      </c>
      <c r="N36" s="433"/>
      <c r="O36" s="433"/>
    </row>
    <row r="37" spans="1:16" s="1" customFormat="1" ht="46.5" customHeight="1">
      <c r="A37" s="741">
        <v>33</v>
      </c>
      <c r="B37" s="748" t="s">
        <v>2710</v>
      </c>
      <c r="C37" s="749">
        <v>3750</v>
      </c>
      <c r="D37" s="750" t="s">
        <v>675</v>
      </c>
      <c r="E37" s="783"/>
      <c r="F37" s="750" t="s">
        <v>19</v>
      </c>
      <c r="G37" s="750" t="s">
        <v>2711</v>
      </c>
      <c r="H37" s="743"/>
      <c r="I37" s="751"/>
      <c r="J37" s="750" t="s">
        <v>16</v>
      </c>
      <c r="K37" s="750" t="s">
        <v>16</v>
      </c>
      <c r="L37" s="742"/>
      <c r="M37" s="755">
        <f>C37</f>
        <v>3750</v>
      </c>
      <c r="N37" s="433"/>
      <c r="O37" s="433"/>
      <c r="P37" s="1" t="s">
        <v>2712</v>
      </c>
    </row>
    <row r="38" spans="1:16" s="336" customFormat="1" ht="104.25" customHeight="1">
      <c r="A38" s="786">
        <v>34</v>
      </c>
      <c r="B38" s="87" t="s">
        <v>1565</v>
      </c>
      <c r="C38" s="94">
        <v>3050</v>
      </c>
      <c r="D38" s="133" t="s">
        <v>226</v>
      </c>
      <c r="E38" s="777"/>
      <c r="F38" s="87" t="s">
        <v>19</v>
      </c>
      <c r="G38" s="87" t="s">
        <v>172</v>
      </c>
      <c r="H38" s="93" t="s">
        <v>2713</v>
      </c>
      <c r="I38" s="787"/>
      <c r="J38" s="87" t="s">
        <v>54</v>
      </c>
      <c r="K38" s="87" t="s">
        <v>89</v>
      </c>
      <c r="M38" s="788">
        <f>C38</f>
        <v>3050</v>
      </c>
    </row>
    <row r="39" spans="1:16" s="336" customFormat="1" ht="68.25" customHeight="1">
      <c r="A39" s="789">
        <v>35</v>
      </c>
      <c r="B39" s="113" t="s">
        <v>1681</v>
      </c>
      <c r="C39" s="114">
        <v>3650</v>
      </c>
      <c r="D39" s="384" t="s">
        <v>226</v>
      </c>
      <c r="E39" s="790" t="s">
        <v>2714</v>
      </c>
      <c r="F39" s="87" t="s">
        <v>19</v>
      </c>
      <c r="G39" s="87" t="s">
        <v>172</v>
      </c>
      <c r="H39" s="340" t="s">
        <v>2715</v>
      </c>
      <c r="I39" s="791"/>
      <c r="J39" s="113" t="s">
        <v>84</v>
      </c>
      <c r="K39" s="113" t="s">
        <v>84</v>
      </c>
      <c r="M39" s="788">
        <f>C39</f>
        <v>3650</v>
      </c>
    </row>
    <row r="40" spans="1:16" s="336" customFormat="1" ht="73.5" customHeight="1">
      <c r="A40" s="786">
        <v>36</v>
      </c>
      <c r="B40" s="125" t="s">
        <v>2005</v>
      </c>
      <c r="C40" s="114">
        <v>3340</v>
      </c>
      <c r="D40" s="113" t="s">
        <v>226</v>
      </c>
      <c r="E40" s="790"/>
      <c r="F40" s="113" t="s">
        <v>19</v>
      </c>
      <c r="G40" s="125" t="s">
        <v>172</v>
      </c>
      <c r="H40" s="792" t="s">
        <v>2716</v>
      </c>
      <c r="I40" s="793"/>
      <c r="J40" s="113" t="s">
        <v>43</v>
      </c>
      <c r="K40" s="113" t="s">
        <v>483</v>
      </c>
      <c r="M40" s="788"/>
    </row>
    <row r="41" spans="1:16" s="336" customFormat="1" ht="69.75" customHeight="1">
      <c r="A41" s="789">
        <v>37</v>
      </c>
      <c r="B41" s="113" t="s">
        <v>1032</v>
      </c>
      <c r="C41" s="114">
        <v>2980</v>
      </c>
      <c r="D41" s="113" t="s">
        <v>226</v>
      </c>
      <c r="E41" s="790"/>
      <c r="F41" s="87" t="s">
        <v>19</v>
      </c>
      <c r="G41" s="87" t="s">
        <v>199</v>
      </c>
      <c r="H41" s="340" t="s">
        <v>2717</v>
      </c>
      <c r="I41" s="795" t="s">
        <v>2718</v>
      </c>
      <c r="J41" s="113" t="s">
        <v>1625</v>
      </c>
      <c r="K41" s="113" t="s">
        <v>483</v>
      </c>
      <c r="M41" s="788"/>
    </row>
    <row r="42" spans="1:16" s="336" customFormat="1" ht="79.5" customHeight="1">
      <c r="A42" s="789">
        <v>38</v>
      </c>
      <c r="B42" s="796" t="s">
        <v>2719</v>
      </c>
      <c r="C42" s="114">
        <v>3070</v>
      </c>
      <c r="D42" s="113" t="s">
        <v>226</v>
      </c>
      <c r="E42" s="790" t="s">
        <v>2720</v>
      </c>
      <c r="F42" s="87" t="s">
        <v>19</v>
      </c>
      <c r="G42" s="87" t="s">
        <v>172</v>
      </c>
      <c r="H42" s="340" t="s">
        <v>2721</v>
      </c>
      <c r="I42" s="791"/>
      <c r="J42" s="113" t="s">
        <v>89</v>
      </c>
      <c r="K42" s="113" t="s">
        <v>89</v>
      </c>
      <c r="M42" s="788">
        <f>C42</f>
        <v>3070</v>
      </c>
    </row>
    <row r="43" spans="1:16" s="336" customFormat="1" ht="184.5" customHeight="1">
      <c r="A43" s="797">
        <v>39</v>
      </c>
      <c r="B43" s="91" t="s">
        <v>697</v>
      </c>
      <c r="C43" s="94">
        <v>14000</v>
      </c>
      <c r="D43" s="87" t="s">
        <v>226</v>
      </c>
      <c r="E43" s="777" t="s">
        <v>2722</v>
      </c>
      <c r="F43" s="87" t="s">
        <v>19</v>
      </c>
      <c r="G43" s="87" t="s">
        <v>421</v>
      </c>
      <c r="H43" s="93" t="s">
        <v>2723</v>
      </c>
      <c r="I43" s="798">
        <f>16000-2000-350-1000-1100-1488-2000-600-4600</f>
        <v>2862</v>
      </c>
      <c r="J43" s="87" t="s">
        <v>43</v>
      </c>
      <c r="K43" s="87" t="s">
        <v>16</v>
      </c>
      <c r="L43" s="799"/>
      <c r="M43" s="788">
        <f>C43</f>
        <v>14000</v>
      </c>
    </row>
    <row r="44" spans="1:16" s="336" customFormat="1" ht="102.75" customHeight="1">
      <c r="A44" s="797">
        <v>40</v>
      </c>
      <c r="B44" s="91" t="s">
        <v>1072</v>
      </c>
      <c r="C44" s="800">
        <v>4000</v>
      </c>
      <c r="D44" s="130" t="s">
        <v>226</v>
      </c>
      <c r="E44" s="781" t="s">
        <v>2724</v>
      </c>
      <c r="F44" s="130" t="s">
        <v>19</v>
      </c>
      <c r="G44" s="126" t="s">
        <v>172</v>
      </c>
      <c r="H44" s="131" t="s">
        <v>2725</v>
      </c>
      <c r="I44" s="801"/>
      <c r="J44" s="130" t="s">
        <v>89</v>
      </c>
      <c r="K44" s="113" t="s">
        <v>89</v>
      </c>
      <c r="M44" s="788">
        <f>C44</f>
        <v>4000</v>
      </c>
    </row>
    <row r="45" spans="1:16" s="336" customFormat="1" ht="90.75" customHeight="1">
      <c r="A45" s="786">
        <v>41</v>
      </c>
      <c r="B45" s="87" t="s">
        <v>503</v>
      </c>
      <c r="C45" s="94">
        <v>4050</v>
      </c>
      <c r="D45" s="87" t="s">
        <v>226</v>
      </c>
      <c r="E45" s="133" t="s">
        <v>2726</v>
      </c>
      <c r="F45" s="87" t="s">
        <v>19</v>
      </c>
      <c r="G45" s="87" t="s">
        <v>1230</v>
      </c>
      <c r="H45" s="93" t="s">
        <v>2727</v>
      </c>
      <c r="I45" s="802"/>
      <c r="J45" s="87" t="s">
        <v>43</v>
      </c>
      <c r="K45" s="125" t="s">
        <v>89</v>
      </c>
      <c r="M45" s="788"/>
    </row>
    <row r="46" spans="1:16" s="336" customFormat="1" ht="70.5" customHeight="1">
      <c r="A46" s="786">
        <v>42</v>
      </c>
      <c r="B46" s="87" t="s">
        <v>2728</v>
      </c>
      <c r="C46" s="94">
        <v>1850</v>
      </c>
      <c r="D46" s="87" t="s">
        <v>226</v>
      </c>
      <c r="E46" s="777" t="s">
        <v>2729</v>
      </c>
      <c r="F46" s="87" t="s">
        <v>19</v>
      </c>
      <c r="G46" s="87" t="s">
        <v>172</v>
      </c>
      <c r="H46" s="93" t="s">
        <v>2730</v>
      </c>
      <c r="I46" s="290" t="s">
        <v>2731</v>
      </c>
      <c r="J46" s="87" t="s">
        <v>16</v>
      </c>
      <c r="K46" s="125" t="s">
        <v>16</v>
      </c>
      <c r="M46" s="788"/>
    </row>
    <row r="47" spans="1:16" s="336" customFormat="1" ht="70.5" customHeight="1">
      <c r="A47" s="786">
        <v>43</v>
      </c>
      <c r="B47" s="87" t="s">
        <v>566</v>
      </c>
      <c r="C47" s="94">
        <v>3100</v>
      </c>
      <c r="D47" s="133" t="s">
        <v>226</v>
      </c>
      <c r="E47" s="777" t="s">
        <v>2732</v>
      </c>
      <c r="F47" s="87" t="s">
        <v>19</v>
      </c>
      <c r="G47" s="87" t="s">
        <v>20</v>
      </c>
      <c r="H47" s="119" t="s">
        <v>2733</v>
      </c>
      <c r="I47" s="290" t="s">
        <v>2734</v>
      </c>
      <c r="J47" s="87" t="s">
        <v>84</v>
      </c>
      <c r="K47" s="125" t="s">
        <v>84</v>
      </c>
      <c r="M47" s="788">
        <f>C47</f>
        <v>3100</v>
      </c>
    </row>
    <row r="48" spans="1:16" s="336" customFormat="1" ht="64.5" customHeight="1">
      <c r="A48" s="789">
        <v>44</v>
      </c>
      <c r="B48" s="816" t="s">
        <v>496</v>
      </c>
      <c r="C48" s="114">
        <v>3200</v>
      </c>
      <c r="D48" s="113" t="s">
        <v>226</v>
      </c>
      <c r="E48" s="790"/>
      <c r="F48" s="113" t="s">
        <v>19</v>
      </c>
      <c r="G48" s="339" t="s">
        <v>172</v>
      </c>
      <c r="H48" s="93" t="s">
        <v>2735</v>
      </c>
      <c r="I48" s="823"/>
      <c r="J48" s="125" t="s">
        <v>84</v>
      </c>
      <c r="K48" s="125" t="s">
        <v>84</v>
      </c>
      <c r="M48" s="788"/>
    </row>
    <row r="49" spans="1:16" s="336" customFormat="1" ht="34.5" customHeight="1">
      <c r="A49" s="789">
        <v>45</v>
      </c>
      <c r="B49" s="814" t="s">
        <v>1224</v>
      </c>
      <c r="C49" s="114">
        <v>2200</v>
      </c>
      <c r="D49" s="113" t="s">
        <v>226</v>
      </c>
      <c r="E49" s="815" t="s">
        <v>2736</v>
      </c>
      <c r="F49" s="113" t="s">
        <v>19</v>
      </c>
      <c r="G49" s="339" t="s">
        <v>172</v>
      </c>
      <c r="H49" s="93" t="s">
        <v>2737</v>
      </c>
      <c r="I49" s="824" t="s">
        <v>251</v>
      </c>
      <c r="J49" s="125" t="s">
        <v>54</v>
      </c>
      <c r="K49" s="125" t="s">
        <v>483</v>
      </c>
      <c r="M49" s="788"/>
    </row>
    <row r="50" spans="1:16" s="336" customFormat="1" ht="88.5" customHeight="1">
      <c r="A50" s="789">
        <v>46</v>
      </c>
      <c r="B50" s="125" t="s">
        <v>1774</v>
      </c>
      <c r="C50" s="114">
        <v>2630</v>
      </c>
      <c r="D50" s="113" t="s">
        <v>226</v>
      </c>
      <c r="E50" s="113" t="s">
        <v>2738</v>
      </c>
      <c r="F50" s="113" t="s">
        <v>19</v>
      </c>
      <c r="G50" s="339" t="s">
        <v>172</v>
      </c>
      <c r="H50" s="93" t="s">
        <v>2739</v>
      </c>
      <c r="I50" s="825"/>
      <c r="J50" s="125" t="s">
        <v>43</v>
      </c>
      <c r="K50" s="125" t="s">
        <v>89</v>
      </c>
      <c r="M50" s="788"/>
    </row>
    <row r="51" spans="1:16" s="336" customFormat="1" ht="70.5" customHeight="1">
      <c r="A51" s="789">
        <v>47</v>
      </c>
      <c r="B51" s="125" t="s">
        <v>2740</v>
      </c>
      <c r="C51" s="114">
        <v>3020</v>
      </c>
      <c r="D51" s="113" t="s">
        <v>226</v>
      </c>
      <c r="E51" s="113" t="s">
        <v>2741</v>
      </c>
      <c r="F51" s="113" t="s">
        <v>19</v>
      </c>
      <c r="G51" s="339" t="s">
        <v>172</v>
      </c>
      <c r="H51" s="119" t="s">
        <v>2742</v>
      </c>
      <c r="I51" s="285" t="s">
        <v>251</v>
      </c>
      <c r="J51" s="125" t="s">
        <v>54</v>
      </c>
      <c r="K51" s="125" t="s">
        <v>483</v>
      </c>
      <c r="M51" s="788"/>
    </row>
    <row r="52" spans="1:16" s="835" customFormat="1">
      <c r="A52" s="828">
        <v>48</v>
      </c>
      <c r="B52" s="829" t="s">
        <v>626</v>
      </c>
      <c r="C52" s="830" t="s">
        <v>675</v>
      </c>
      <c r="D52" s="831" t="s">
        <v>2743</v>
      </c>
      <c r="E52" s="831"/>
      <c r="F52" s="831" t="s">
        <v>19</v>
      </c>
      <c r="G52" s="832" t="s">
        <v>172</v>
      </c>
      <c r="H52" s="833" t="s">
        <v>2744</v>
      </c>
      <c r="I52" s="834"/>
      <c r="J52" s="829" t="s">
        <v>84</v>
      </c>
      <c r="K52" s="829" t="s">
        <v>84</v>
      </c>
      <c r="M52" s="836"/>
    </row>
    <row r="53" spans="1:16" s="336" customFormat="1" ht="70.5" customHeight="1">
      <c r="A53" s="789">
        <v>49</v>
      </c>
      <c r="B53" s="177" t="s">
        <v>1147</v>
      </c>
      <c r="C53" s="186">
        <v>5250</v>
      </c>
      <c r="D53" s="693" t="s">
        <v>226</v>
      </c>
      <c r="E53" s="771"/>
      <c r="F53" s="87" t="s">
        <v>19</v>
      </c>
      <c r="G53" s="177" t="s">
        <v>172</v>
      </c>
      <c r="H53" s="93" t="s">
        <v>2745</v>
      </c>
      <c r="I53" s="147" t="s">
        <v>2746</v>
      </c>
      <c r="J53" s="177" t="s">
        <v>16</v>
      </c>
      <c r="K53" s="177" t="s">
        <v>16</v>
      </c>
      <c r="M53" s="788"/>
    </row>
    <row r="54" spans="1:16" s="841" customFormat="1" ht="93.75">
      <c r="A54" s="840">
        <v>50</v>
      </c>
      <c r="B54" s="843" t="s">
        <v>697</v>
      </c>
      <c r="C54" s="844">
        <v>17000</v>
      </c>
      <c r="D54" s="845" t="s">
        <v>353</v>
      </c>
      <c r="E54" s="845"/>
      <c r="F54" s="845" t="s">
        <v>19</v>
      </c>
      <c r="G54" s="846" t="s">
        <v>172</v>
      </c>
      <c r="H54" s="684" t="s">
        <v>2747</v>
      </c>
      <c r="I54" s="847" t="s">
        <v>2748</v>
      </c>
      <c r="J54" s="843" t="s">
        <v>43</v>
      </c>
      <c r="K54" s="843" t="s">
        <v>2749</v>
      </c>
      <c r="M54" s="842"/>
    </row>
    <row r="55" spans="1:16" s="358" customFormat="1" ht="70.5" hidden="1" customHeight="1">
      <c r="A55" s="817"/>
      <c r="B55" s="818" t="s">
        <v>1789</v>
      </c>
      <c r="C55" s="819" t="s">
        <v>675</v>
      </c>
      <c r="D55" s="386" t="s">
        <v>2743</v>
      </c>
      <c r="E55" s="386"/>
      <c r="F55" s="386" t="s">
        <v>19</v>
      </c>
      <c r="G55" s="826" t="s">
        <v>172</v>
      </c>
      <c r="H55" s="355" t="s">
        <v>2750</v>
      </c>
      <c r="I55" s="827"/>
      <c r="J55" s="818" t="s">
        <v>89</v>
      </c>
      <c r="K55" s="818" t="s">
        <v>89</v>
      </c>
      <c r="M55" s="822"/>
    </row>
    <row r="56" spans="1:16" s="358" customFormat="1" ht="70.5" hidden="1" customHeight="1">
      <c r="A56" s="817"/>
      <c r="B56" s="818" t="s">
        <v>921</v>
      </c>
      <c r="C56" s="819" t="s">
        <v>675</v>
      </c>
      <c r="D56" s="386" t="s">
        <v>2751</v>
      </c>
      <c r="E56" s="386" t="s">
        <v>2741</v>
      </c>
      <c r="F56" s="386" t="s">
        <v>19</v>
      </c>
      <c r="G56" s="818" t="s">
        <v>1230</v>
      </c>
      <c r="H56" s="820" t="s">
        <v>2752</v>
      </c>
      <c r="I56" s="821" t="s">
        <v>2753</v>
      </c>
      <c r="J56" s="818" t="s">
        <v>89</v>
      </c>
      <c r="K56" s="386" t="s">
        <v>89</v>
      </c>
      <c r="M56" s="822"/>
    </row>
    <row r="57" spans="1:16" ht="57.75" customHeight="1">
      <c r="A57" s="738"/>
      <c r="B57" s="128"/>
      <c r="C57" s="752"/>
      <c r="D57" s="112"/>
      <c r="E57" s="784"/>
      <c r="F57" s="112"/>
      <c r="G57" s="128"/>
      <c r="H57" s="767"/>
      <c r="I57" s="794"/>
      <c r="J57" s="128"/>
      <c r="K57" s="768"/>
      <c r="L57" s="3"/>
      <c r="M57" s="838"/>
    </row>
    <row r="58" spans="1:16" s="1" customFormat="1">
      <c r="A58" s="359"/>
      <c r="C58" s="2"/>
      <c r="D58" s="3645" t="s">
        <v>1490</v>
      </c>
      <c r="E58" s="3646"/>
      <c r="F58" s="3647"/>
      <c r="G58" s="3647"/>
      <c r="H58" s="3647"/>
      <c r="I58" s="3648"/>
      <c r="M58" s="667"/>
      <c r="N58" s="3"/>
      <c r="O58" s="3"/>
      <c r="P58" s="3"/>
    </row>
    <row r="59" spans="1:16" s="1" customFormat="1">
      <c r="A59" s="359"/>
      <c r="C59" s="2"/>
      <c r="D59" s="3649"/>
      <c r="E59" s="3647"/>
      <c r="F59" s="3647"/>
      <c r="G59" s="3647"/>
      <c r="H59" s="3647"/>
      <c r="I59" s="3650"/>
      <c r="M59" s="667"/>
      <c r="N59" s="3"/>
      <c r="O59" s="3"/>
      <c r="P59" s="3"/>
    </row>
    <row r="60" spans="1:16" s="1" customFormat="1">
      <c r="A60" s="359"/>
      <c r="C60" s="2"/>
      <c r="D60" s="3649"/>
      <c r="E60" s="3647"/>
      <c r="F60" s="3647"/>
      <c r="G60" s="3647"/>
      <c r="H60" s="3647"/>
      <c r="I60" s="3650"/>
      <c r="M60" s="667"/>
      <c r="N60" s="3"/>
      <c r="O60" s="3"/>
      <c r="P60" s="3"/>
    </row>
    <row r="61" spans="1:16" s="1" customFormat="1">
      <c r="A61" s="359"/>
      <c r="C61" s="2"/>
      <c r="D61" s="3651"/>
      <c r="E61" s="3652"/>
      <c r="F61" s="3652"/>
      <c r="G61" s="3652"/>
      <c r="H61" s="3652"/>
      <c r="I61" s="3653"/>
      <c r="M61" s="667"/>
      <c r="N61" s="3"/>
      <c r="O61" s="3"/>
      <c r="P61" s="3"/>
    </row>
  </sheetData>
  <autoFilter ref="A4:Q13" xr:uid="{00000000-0009-0000-0000-000006000000}"/>
  <mergeCells count="4">
    <mergeCell ref="C1:I1"/>
    <mergeCell ref="A2:I2"/>
    <mergeCell ref="I3:J3"/>
    <mergeCell ref="D58:I61"/>
  </mergeCells>
  <conditionalFormatting sqref="A1:A3 A5 A13 A15 A20 A26:A35 A37:A57">
    <cfRule type="duplicateValues" dxfId="521" priority="510"/>
  </conditionalFormatting>
  <conditionalFormatting sqref="A4">
    <cfRule type="duplicateValues" dxfId="520" priority="21"/>
  </conditionalFormatting>
  <conditionalFormatting sqref="A6">
    <cfRule type="duplicateValues" dxfId="519" priority="478"/>
  </conditionalFormatting>
  <conditionalFormatting sqref="A7">
    <cfRule type="duplicateValues" dxfId="518" priority="11"/>
  </conditionalFormatting>
  <conditionalFormatting sqref="A8">
    <cfRule type="duplicateValues" dxfId="517" priority="10"/>
  </conditionalFormatting>
  <conditionalFormatting sqref="A9">
    <cfRule type="duplicateValues" dxfId="516" priority="17"/>
  </conditionalFormatting>
  <conditionalFormatting sqref="A10">
    <cfRule type="duplicateValues" dxfId="515" priority="9"/>
  </conditionalFormatting>
  <conditionalFormatting sqref="A11:A12 A14 A16:A18">
    <cfRule type="duplicateValues" dxfId="514" priority="497"/>
  </conditionalFormatting>
  <conditionalFormatting sqref="A19">
    <cfRule type="duplicateValues" dxfId="513" priority="6"/>
  </conditionalFormatting>
  <conditionalFormatting sqref="A21 A23">
    <cfRule type="duplicateValues" dxfId="512" priority="4"/>
  </conditionalFormatting>
  <conditionalFormatting sqref="A22">
    <cfRule type="duplicateValues" dxfId="511" priority="5"/>
  </conditionalFormatting>
  <conditionalFormatting sqref="A24">
    <cfRule type="duplicateValues" dxfId="510" priority="2"/>
  </conditionalFormatting>
  <conditionalFormatting sqref="A25">
    <cfRule type="duplicateValues" dxfId="509" priority="3"/>
  </conditionalFormatting>
  <conditionalFormatting sqref="A36">
    <cfRule type="duplicateValues" dxfId="508" priority="1"/>
  </conditionalFormatting>
  <conditionalFormatting sqref="B3">
    <cfRule type="duplicateValues" dxfId="507" priority="25"/>
    <cfRule type="duplicateValues" dxfId="506" priority="26"/>
    <cfRule type="duplicateValues" dxfId="505" priority="27"/>
  </conditionalFormatting>
  <conditionalFormatting sqref="B4">
    <cfRule type="duplicateValues" dxfId="504" priority="18"/>
    <cfRule type="duplicateValues" dxfId="503" priority="19"/>
    <cfRule type="duplicateValues" dxfId="502" priority="20"/>
  </conditionalFormatting>
  <pageMargins left="0.7" right="0.7" top="0.75" bottom="0.75" header="0.3" footer="0.3"/>
  <pageSetup paperSize="9" scale="63" orientation="landscape"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pageSetUpPr fitToPage="1"/>
  </sheetPr>
  <dimension ref="A1:O45"/>
  <sheetViews>
    <sheetView topLeftCell="A2" zoomScale="70" zoomScaleNormal="70" workbookViewId="0">
      <pane xSplit="3" ySplit="3" topLeftCell="D8" activePane="bottomRight" state="frozen"/>
      <selection pane="topRight"/>
      <selection pane="bottomLeft"/>
      <selection pane="bottomRight"/>
    </sheetView>
  </sheetViews>
  <sheetFormatPr defaultColWidth="25.5703125" defaultRowHeight="18.75"/>
  <cols>
    <col min="1" max="1" width="8.7109375" style="359" customWidth="1"/>
    <col min="2" max="2" width="26.7109375" style="1" customWidth="1"/>
    <col min="3" max="3" width="11.42578125" style="2" customWidth="1"/>
    <col min="4" max="4" width="25.42578125" style="271" customWidth="1"/>
    <col min="5" max="5" width="19" style="271" bestFit="1" customWidth="1"/>
    <col min="6" max="6" width="27.140625" style="1" customWidth="1"/>
    <col min="7" max="7" width="21.140625" style="1" customWidth="1"/>
    <col min="8" max="8" width="52.5703125" style="9" customWidth="1"/>
    <col min="9" max="9" width="60.42578125" style="9" customWidth="1"/>
    <col min="10" max="10" width="20.5703125" style="1" customWidth="1"/>
    <col min="11" max="11" width="19.28515625" style="1" customWidth="1"/>
    <col min="12" max="12" width="12.85546875" style="1" customWidth="1"/>
    <col min="13" max="13" width="17.28515625" style="508" hidden="1" customWidth="1"/>
    <col min="14" max="14" width="52.5703125" style="3" bestFit="1" customWidth="1"/>
    <col min="15" max="15" width="15.42578125" style="3" customWidth="1"/>
    <col min="16" max="16" width="34.5703125" style="3" customWidth="1"/>
    <col min="17" max="16384" width="25.5703125" style="3"/>
  </cols>
  <sheetData>
    <row r="1" spans="1:15" ht="17.25" hidden="1" customHeight="1">
      <c r="B1" s="10"/>
      <c r="C1" s="3657"/>
      <c r="D1" s="3657"/>
      <c r="E1" s="3657"/>
      <c r="F1" s="3657"/>
      <c r="G1" s="3657"/>
      <c r="H1" s="3657"/>
      <c r="I1" s="3657"/>
    </row>
    <row r="2" spans="1:15" ht="39.75" customHeight="1">
      <c r="A2" s="3637" t="s">
        <v>2754</v>
      </c>
      <c r="B2" s="3637"/>
      <c r="C2" s="3637"/>
      <c r="D2" s="3637"/>
      <c r="E2" s="3637"/>
      <c r="F2" s="3637"/>
      <c r="G2" s="3637"/>
      <c r="H2" s="3637"/>
      <c r="I2" s="3637"/>
      <c r="J2" s="194"/>
      <c r="K2" s="194"/>
      <c r="L2" s="195"/>
      <c r="M2" s="509"/>
      <c r="N2" s="196"/>
      <c r="O2" s="197"/>
    </row>
    <row r="3" spans="1:15" ht="24" customHeight="1">
      <c r="A3" s="360"/>
      <c r="B3" s="385"/>
      <c r="C3" s="504">
        <f>SUBTOTAL(9,C5:C199)</f>
        <v>207387</v>
      </c>
      <c r="D3" s="378"/>
      <c r="E3" s="378"/>
      <c r="F3" s="201"/>
      <c r="G3" s="199"/>
      <c r="H3" s="202"/>
      <c r="I3" s="3658">
        <f ca="1">TODAY()</f>
        <v>45960</v>
      </c>
      <c r="J3" s="3658"/>
      <c r="K3" s="203"/>
      <c r="L3" s="203"/>
      <c r="M3" s="510"/>
      <c r="N3" s="197"/>
      <c r="O3" s="197"/>
    </row>
    <row r="4" spans="1:15" s="7" customFormat="1" ht="48" customHeight="1">
      <c r="A4" s="361" t="s">
        <v>1</v>
      </c>
      <c r="B4" s="204" t="s">
        <v>1384</v>
      </c>
      <c r="C4" s="205" t="s">
        <v>3</v>
      </c>
      <c r="D4" s="204" t="s">
        <v>4</v>
      </c>
      <c r="E4" s="204" t="s">
        <v>6</v>
      </c>
      <c r="F4" s="204" t="s">
        <v>8</v>
      </c>
      <c r="G4" s="204" t="s">
        <v>9</v>
      </c>
      <c r="H4" s="206" t="s">
        <v>10</v>
      </c>
      <c r="I4" s="204" t="s">
        <v>11</v>
      </c>
      <c r="J4" s="204" t="s">
        <v>5</v>
      </c>
      <c r="K4" s="204" t="s">
        <v>1053</v>
      </c>
      <c r="L4" s="204" t="s">
        <v>1215</v>
      </c>
      <c r="M4" s="511" t="s">
        <v>340</v>
      </c>
      <c r="N4" s="325" t="s">
        <v>341</v>
      </c>
      <c r="O4" s="207">
        <f>SUM(O5:O11)</f>
        <v>134450</v>
      </c>
    </row>
    <row r="5" spans="1:15" s="333" customFormat="1" ht="300">
      <c r="A5" s="553" cm="1">
        <f t="array" ref="A5:A39">_xlfn.SEQUENCE(35,1,1,)</f>
        <v>1</v>
      </c>
      <c r="B5" s="554" t="s">
        <v>2755</v>
      </c>
      <c r="C5" s="555">
        <v>26500</v>
      </c>
      <c r="D5" s="556" t="s">
        <v>226</v>
      </c>
      <c r="E5" s="533" t="s">
        <v>2756</v>
      </c>
      <c r="F5" s="554" t="s">
        <v>19</v>
      </c>
      <c r="G5" s="557" t="s">
        <v>623</v>
      </c>
      <c r="H5" s="558" t="s">
        <v>2757</v>
      </c>
      <c r="I5" s="559" t="s">
        <v>2758</v>
      </c>
      <c r="J5" s="556" t="s">
        <v>2759</v>
      </c>
      <c r="K5" s="554" t="s">
        <v>16</v>
      </c>
      <c r="L5" s="556"/>
      <c r="M5" s="560">
        <f>C5</f>
        <v>26500</v>
      </c>
      <c r="N5" s="561" t="s">
        <v>84</v>
      </c>
      <c r="O5" s="562">
        <f t="shared" ref="O5:O10" si="0">SUMIF($J:$J,N5,M:M)</f>
        <v>57350</v>
      </c>
    </row>
    <row r="6" spans="1:15" s="542" customFormat="1" ht="86.25" customHeight="1">
      <c r="A6" s="530">
        <v>2</v>
      </c>
      <c r="B6" s="531" t="s">
        <v>608</v>
      </c>
      <c r="C6" s="532">
        <v>4300</v>
      </c>
      <c r="D6" s="533" t="s">
        <v>226</v>
      </c>
      <c r="E6" s="534" t="s">
        <v>2760</v>
      </c>
      <c r="F6" s="535" t="s">
        <v>19</v>
      </c>
      <c r="G6" s="536" t="s">
        <v>172</v>
      </c>
      <c r="H6" s="537" t="s">
        <v>2761</v>
      </c>
      <c r="I6" s="538" t="s">
        <v>2762</v>
      </c>
      <c r="J6" s="533" t="s">
        <v>89</v>
      </c>
      <c r="K6" s="531" t="s">
        <v>89</v>
      </c>
      <c r="L6" s="539"/>
      <c r="M6" s="540">
        <f>C6</f>
        <v>4300</v>
      </c>
      <c r="N6" s="535" t="s">
        <v>514</v>
      </c>
      <c r="O6" s="541">
        <f t="shared" si="0"/>
        <v>0</v>
      </c>
    </row>
    <row r="7" spans="1:15" s="552" customFormat="1" ht="153.75" customHeight="1">
      <c r="A7" s="530">
        <v>3</v>
      </c>
      <c r="B7" s="543" t="s">
        <v>1590</v>
      </c>
      <c r="C7" s="544">
        <v>7300</v>
      </c>
      <c r="D7" s="543" t="s">
        <v>226</v>
      </c>
      <c r="E7" s="543" t="s">
        <v>2763</v>
      </c>
      <c r="F7" s="545" t="s">
        <v>19</v>
      </c>
      <c r="G7" s="543" t="s">
        <v>927</v>
      </c>
      <c r="H7" s="546" t="s">
        <v>2764</v>
      </c>
      <c r="I7" s="547" t="s">
        <v>2765</v>
      </c>
      <c r="J7" s="545" t="s">
        <v>16</v>
      </c>
      <c r="K7" s="548" t="s">
        <v>16</v>
      </c>
      <c r="L7" s="535" t="s">
        <v>1523</v>
      </c>
      <c r="M7" s="549">
        <f>C7</f>
        <v>7300</v>
      </c>
      <c r="N7" s="550" t="s">
        <v>54</v>
      </c>
      <c r="O7" s="551">
        <f t="shared" si="0"/>
        <v>7800</v>
      </c>
    </row>
    <row r="8" spans="1:15" s="333" customFormat="1" ht="225.75" customHeight="1">
      <c r="A8" s="567">
        <v>4</v>
      </c>
      <c r="B8" s="545" t="s">
        <v>2766</v>
      </c>
      <c r="C8" s="568">
        <v>12000</v>
      </c>
      <c r="D8" s="569" t="s">
        <v>226</v>
      </c>
      <c r="E8" s="569" t="s">
        <v>2767</v>
      </c>
      <c r="F8" s="545" t="s">
        <v>19</v>
      </c>
      <c r="G8" s="570" t="s">
        <v>172</v>
      </c>
      <c r="H8" s="571" t="s">
        <v>2768</v>
      </c>
      <c r="I8" s="572" t="s">
        <v>2769</v>
      </c>
      <c r="J8" s="569" t="s">
        <v>84</v>
      </c>
      <c r="K8" s="569" t="s">
        <v>84</v>
      </c>
      <c r="L8" s="569"/>
      <c r="M8" s="573">
        <f t="shared" ref="M8" si="1">C8</f>
        <v>12000</v>
      </c>
      <c r="N8" s="574" t="s">
        <v>16</v>
      </c>
      <c r="O8" s="562">
        <f t="shared" si="0"/>
        <v>18800</v>
      </c>
    </row>
    <row r="9" spans="1:15" s="333" customFormat="1" ht="70.5" customHeight="1">
      <c r="A9" s="567">
        <v>5</v>
      </c>
      <c r="B9" s="545" t="s">
        <v>1213</v>
      </c>
      <c r="C9" s="568">
        <v>4420</v>
      </c>
      <c r="D9" s="569" t="s">
        <v>226</v>
      </c>
      <c r="E9" s="569" t="s">
        <v>2770</v>
      </c>
      <c r="F9" s="545" t="s">
        <v>19</v>
      </c>
      <c r="G9" s="570" t="s">
        <v>20</v>
      </c>
      <c r="H9" s="571" t="s">
        <v>2771</v>
      </c>
      <c r="I9" s="572"/>
      <c r="J9" s="569" t="s">
        <v>89</v>
      </c>
      <c r="K9" s="570" t="s">
        <v>89</v>
      </c>
      <c r="L9" s="556" t="s">
        <v>1528</v>
      </c>
      <c r="M9" s="630">
        <f t="shared" ref="M9:M32" si="2">C9</f>
        <v>4420</v>
      </c>
      <c r="N9" s="611" t="s">
        <v>43</v>
      </c>
      <c r="O9" s="562">
        <f t="shared" si="0"/>
        <v>34960</v>
      </c>
    </row>
    <row r="10" spans="1:15" s="564" customFormat="1" ht="102.75" customHeight="1">
      <c r="A10" s="563">
        <v>6</v>
      </c>
      <c r="B10" s="354" t="s">
        <v>2772</v>
      </c>
      <c r="C10" s="353" t="s">
        <v>675</v>
      </c>
      <c r="D10" s="381" t="s">
        <v>2773</v>
      </c>
      <c r="E10" s="381">
        <v>7.12</v>
      </c>
      <c r="F10" s="354" t="s">
        <v>19</v>
      </c>
      <c r="G10" s="381" t="s">
        <v>1264</v>
      </c>
      <c r="H10" s="566" t="s">
        <v>2774</v>
      </c>
      <c r="I10" s="565" t="s">
        <v>2775</v>
      </c>
      <c r="J10" s="352" t="s">
        <v>43</v>
      </c>
      <c r="K10" s="628" t="s">
        <v>89</v>
      </c>
      <c r="L10" s="381"/>
      <c r="M10" s="631" t="str">
        <f t="shared" si="2"/>
        <v>HỦY</v>
      </c>
      <c r="N10" s="535" t="s">
        <v>89</v>
      </c>
      <c r="O10" s="610">
        <f t="shared" si="0"/>
        <v>15540</v>
      </c>
    </row>
    <row r="11" spans="1:15" s="552" customFormat="1" ht="74.25" customHeight="1">
      <c r="A11" s="575">
        <v>7</v>
      </c>
      <c r="B11" s="576" t="s">
        <v>1087</v>
      </c>
      <c r="C11" s="577">
        <v>4800</v>
      </c>
      <c r="D11" s="578" t="s">
        <v>226</v>
      </c>
      <c r="E11" s="578" t="s">
        <v>2776</v>
      </c>
      <c r="F11" s="545" t="s">
        <v>19</v>
      </c>
      <c r="G11" s="569" t="s">
        <v>101</v>
      </c>
      <c r="H11" s="579" t="s">
        <v>2777</v>
      </c>
      <c r="I11" s="580" t="s">
        <v>2778</v>
      </c>
      <c r="J11" s="581" t="s">
        <v>43</v>
      </c>
      <c r="K11" s="629" t="s">
        <v>89</v>
      </c>
      <c r="L11" s="556" t="s">
        <v>417</v>
      </c>
      <c r="M11" s="630">
        <f t="shared" si="2"/>
        <v>4800</v>
      </c>
      <c r="O11" s="582"/>
    </row>
    <row r="12" spans="1:15" s="552" customFormat="1" ht="74.25" customHeight="1">
      <c r="A12" s="575">
        <v>8</v>
      </c>
      <c r="B12" s="576" t="s">
        <v>1411</v>
      </c>
      <c r="C12" s="577">
        <v>2300</v>
      </c>
      <c r="D12" s="578" t="s">
        <v>226</v>
      </c>
      <c r="E12" s="578" t="s">
        <v>2779</v>
      </c>
      <c r="F12" s="545" t="s">
        <v>19</v>
      </c>
      <c r="G12" s="569" t="s">
        <v>172</v>
      </c>
      <c r="H12" s="579" t="s">
        <v>2780</v>
      </c>
      <c r="I12" s="580" t="s">
        <v>2781</v>
      </c>
      <c r="J12" s="581" t="s">
        <v>54</v>
      </c>
      <c r="K12" s="629" t="s">
        <v>89</v>
      </c>
      <c r="L12" s="556" t="s">
        <v>1523</v>
      </c>
      <c r="M12" s="630">
        <f t="shared" si="2"/>
        <v>2300</v>
      </c>
      <c r="O12" s="582"/>
    </row>
    <row r="13" spans="1:15" s="552" customFormat="1" ht="74.25" customHeight="1">
      <c r="A13" s="575">
        <v>9</v>
      </c>
      <c r="B13" s="576" t="s">
        <v>2782</v>
      </c>
      <c r="C13" s="577">
        <v>2800</v>
      </c>
      <c r="D13" s="585" t="s">
        <v>226</v>
      </c>
      <c r="E13" s="585" t="s">
        <v>2783</v>
      </c>
      <c r="F13" s="545" t="s">
        <v>19</v>
      </c>
      <c r="G13" s="569" t="s">
        <v>172</v>
      </c>
      <c r="H13" s="579" t="s">
        <v>2784</v>
      </c>
      <c r="I13" s="586"/>
      <c r="J13" s="581" t="s">
        <v>89</v>
      </c>
      <c r="K13" s="629" t="s">
        <v>89</v>
      </c>
      <c r="L13" s="556"/>
      <c r="M13" s="630">
        <f t="shared" si="2"/>
        <v>2800</v>
      </c>
      <c r="O13" s="582"/>
    </row>
    <row r="14" spans="1:15" s="552" customFormat="1" ht="92.25" customHeight="1">
      <c r="A14" s="575">
        <v>10</v>
      </c>
      <c r="B14" s="576" t="s">
        <v>1666</v>
      </c>
      <c r="C14" s="584">
        <v>4020</v>
      </c>
      <c r="D14" s="556" t="s">
        <v>226</v>
      </c>
      <c r="E14" s="556" t="s">
        <v>2785</v>
      </c>
      <c r="F14" s="554" t="s">
        <v>19</v>
      </c>
      <c r="G14" s="556" t="s">
        <v>172</v>
      </c>
      <c r="H14" s="558" t="s">
        <v>2786</v>
      </c>
      <c r="I14" s="580" t="s">
        <v>2787</v>
      </c>
      <c r="J14" s="554" t="s">
        <v>89</v>
      </c>
      <c r="K14" s="591" t="s">
        <v>89</v>
      </c>
      <c r="L14" s="556"/>
      <c r="M14" s="613">
        <f t="shared" si="2"/>
        <v>4020</v>
      </c>
      <c r="O14" s="582"/>
    </row>
    <row r="15" spans="1:15" s="552" customFormat="1" ht="93" customHeight="1">
      <c r="A15" s="575">
        <v>11</v>
      </c>
      <c r="B15" s="554" t="s">
        <v>1457</v>
      </c>
      <c r="C15" s="584">
        <v>4200</v>
      </c>
      <c r="D15" s="556" t="s">
        <v>226</v>
      </c>
      <c r="E15" s="556" t="s">
        <v>2788</v>
      </c>
      <c r="F15" s="554" t="s">
        <v>19</v>
      </c>
      <c r="G15" s="556" t="s">
        <v>1264</v>
      </c>
      <c r="H15" s="558" t="s">
        <v>2789</v>
      </c>
      <c r="I15" s="580"/>
      <c r="J15" s="554" t="s">
        <v>16</v>
      </c>
      <c r="K15" s="554" t="s">
        <v>16</v>
      </c>
      <c r="L15" s="585"/>
      <c r="M15" s="583">
        <f t="shared" si="2"/>
        <v>4200</v>
      </c>
      <c r="O15" s="582"/>
    </row>
    <row r="16" spans="1:15" s="552" customFormat="1" ht="93" customHeight="1">
      <c r="A16" s="575">
        <v>12</v>
      </c>
      <c r="B16" s="554" t="s">
        <v>2790</v>
      </c>
      <c r="C16" s="584">
        <v>4860</v>
      </c>
      <c r="D16" s="556" t="s">
        <v>226</v>
      </c>
      <c r="E16" s="556" t="s">
        <v>2791</v>
      </c>
      <c r="F16" s="554" t="s">
        <v>19</v>
      </c>
      <c r="G16" s="556" t="s">
        <v>1404</v>
      </c>
      <c r="H16" s="571" t="s">
        <v>2792</v>
      </c>
      <c r="I16" s="580" t="s">
        <v>2793</v>
      </c>
      <c r="J16" s="554" t="s">
        <v>43</v>
      </c>
      <c r="K16" s="591" t="s">
        <v>89</v>
      </c>
      <c r="L16" s="556"/>
      <c r="M16" s="613">
        <f t="shared" si="2"/>
        <v>4860</v>
      </c>
      <c r="O16" s="582"/>
    </row>
    <row r="17" spans="1:15" s="552" customFormat="1" ht="98.25" customHeight="1">
      <c r="A17" s="575">
        <v>13</v>
      </c>
      <c r="B17" s="554" t="s">
        <v>1150</v>
      </c>
      <c r="C17" s="555">
        <v>5000</v>
      </c>
      <c r="D17" s="557" t="s">
        <v>226</v>
      </c>
      <c r="E17" s="557" t="s">
        <v>2794</v>
      </c>
      <c r="F17" s="554" t="s">
        <v>19</v>
      </c>
      <c r="G17" s="556" t="s">
        <v>2270</v>
      </c>
      <c r="H17" s="571" t="s">
        <v>2795</v>
      </c>
      <c r="I17" s="588" t="s">
        <v>2796</v>
      </c>
      <c r="J17" s="589" t="s">
        <v>84</v>
      </c>
      <c r="K17" s="591" t="s">
        <v>1284</v>
      </c>
      <c r="L17" s="556"/>
      <c r="M17" s="613">
        <f>C17</f>
        <v>5000</v>
      </c>
      <c r="O17" s="582"/>
    </row>
    <row r="18" spans="1:15" s="552" customFormat="1" ht="97.5" customHeight="1">
      <c r="A18" s="590">
        <v>14</v>
      </c>
      <c r="B18" s="554" t="s">
        <v>1093</v>
      </c>
      <c r="C18" s="555">
        <v>3300</v>
      </c>
      <c r="D18" s="557" t="s">
        <v>226</v>
      </c>
      <c r="E18" s="556" t="s">
        <v>2797</v>
      </c>
      <c r="F18" s="591" t="s">
        <v>19</v>
      </c>
      <c r="G18" s="556" t="s">
        <v>2270</v>
      </c>
      <c r="H18" s="592" t="s">
        <v>2798</v>
      </c>
      <c r="I18" s="593" t="s">
        <v>2799</v>
      </c>
      <c r="J18" s="554" t="s">
        <v>54</v>
      </c>
      <c r="K18" s="591" t="s">
        <v>1284</v>
      </c>
      <c r="L18" s="556"/>
      <c r="M18" s="613">
        <f t="shared" si="2"/>
        <v>3300</v>
      </c>
      <c r="O18" s="582"/>
    </row>
    <row r="19" spans="1:15" s="552" customFormat="1" ht="82.5" customHeight="1">
      <c r="A19" s="590">
        <v>15</v>
      </c>
      <c r="B19" s="554" t="s">
        <v>2800</v>
      </c>
      <c r="C19" s="555">
        <v>5200</v>
      </c>
      <c r="D19" s="557" t="s">
        <v>226</v>
      </c>
      <c r="E19" s="599" t="s">
        <v>2801</v>
      </c>
      <c r="F19" s="554" t="s">
        <v>19</v>
      </c>
      <c r="G19" s="600" t="s">
        <v>741</v>
      </c>
      <c r="H19" s="601" t="s">
        <v>2802</v>
      </c>
      <c r="I19" s="533" t="s">
        <v>2803</v>
      </c>
      <c r="J19" s="589" t="s">
        <v>43</v>
      </c>
      <c r="K19" s="591" t="s">
        <v>89</v>
      </c>
      <c r="L19" s="556"/>
      <c r="M19" s="613">
        <f>C19</f>
        <v>5200</v>
      </c>
      <c r="O19" s="598"/>
    </row>
    <row r="20" spans="1:15" s="552" customFormat="1" ht="133.5" customHeight="1">
      <c r="A20" s="575">
        <v>16</v>
      </c>
      <c r="B20" s="594" t="s">
        <v>1590</v>
      </c>
      <c r="C20" s="577">
        <v>7300</v>
      </c>
      <c r="D20" s="557" t="s">
        <v>226</v>
      </c>
      <c r="E20" s="595" t="s">
        <v>2804</v>
      </c>
      <c r="F20" s="596" t="s">
        <v>19</v>
      </c>
      <c r="G20" s="556" t="s">
        <v>1404</v>
      </c>
      <c r="H20" s="597" t="s">
        <v>2805</v>
      </c>
      <c r="I20" s="588"/>
      <c r="J20" s="576" t="s">
        <v>16</v>
      </c>
      <c r="K20" s="596" t="s">
        <v>16</v>
      </c>
      <c r="L20" s="556" t="s">
        <v>2019</v>
      </c>
      <c r="M20" s="627">
        <f t="shared" si="2"/>
        <v>7300</v>
      </c>
      <c r="O20" s="598"/>
    </row>
    <row r="21" spans="1:15" s="552" customFormat="1" ht="109.5" customHeight="1">
      <c r="A21" s="590">
        <v>17</v>
      </c>
      <c r="B21" s="554" t="s">
        <v>2806</v>
      </c>
      <c r="C21" s="555">
        <v>7250</v>
      </c>
      <c r="D21" s="557" t="s">
        <v>226</v>
      </c>
      <c r="E21" s="602" t="s">
        <v>2807</v>
      </c>
      <c r="F21" s="554" t="s">
        <v>19</v>
      </c>
      <c r="G21" s="578" t="s">
        <v>2808</v>
      </c>
      <c r="H21" s="603" t="s">
        <v>2809</v>
      </c>
      <c r="I21" s="533" t="s">
        <v>2810</v>
      </c>
      <c r="J21" s="554" t="s">
        <v>84</v>
      </c>
      <c r="K21" s="591" t="s">
        <v>84</v>
      </c>
      <c r="L21" s="556" t="s">
        <v>2019</v>
      </c>
      <c r="M21" s="613">
        <f>C21</f>
        <v>7250</v>
      </c>
      <c r="O21" s="582"/>
    </row>
    <row r="22" spans="1:15" s="552" customFormat="1" ht="90" customHeight="1">
      <c r="A22" s="575">
        <v>18</v>
      </c>
      <c r="B22" s="554" t="s">
        <v>2020</v>
      </c>
      <c r="C22" s="555">
        <v>5050</v>
      </c>
      <c r="D22" s="604" t="s">
        <v>226</v>
      </c>
      <c r="E22" s="604"/>
      <c r="F22" s="554" t="s">
        <v>19</v>
      </c>
      <c r="G22" s="600" t="s">
        <v>172</v>
      </c>
      <c r="H22" s="605" t="s">
        <v>2811</v>
      </c>
      <c r="I22" s="606" t="s">
        <v>2812</v>
      </c>
      <c r="J22" s="589" t="s">
        <v>84</v>
      </c>
      <c r="K22" s="591" t="s">
        <v>84</v>
      </c>
      <c r="L22" s="556"/>
      <c r="M22" s="613">
        <f>C22</f>
        <v>5050</v>
      </c>
      <c r="O22" s="598"/>
    </row>
    <row r="23" spans="1:15" s="552" customFormat="1" ht="88.5" customHeight="1">
      <c r="A23" s="575">
        <v>19</v>
      </c>
      <c r="B23" s="554" t="s">
        <v>1702</v>
      </c>
      <c r="C23" s="555">
        <v>3100</v>
      </c>
      <c r="D23" s="604" t="s">
        <v>1599</v>
      </c>
      <c r="E23" s="604"/>
      <c r="F23" s="554" t="s">
        <v>19</v>
      </c>
      <c r="G23" s="600" t="s">
        <v>199</v>
      </c>
      <c r="H23" s="605" t="s">
        <v>2813</v>
      </c>
      <c r="I23" s="606" t="s">
        <v>2814</v>
      </c>
      <c r="J23" s="589" t="s">
        <v>43</v>
      </c>
      <c r="K23" s="591" t="s">
        <v>483</v>
      </c>
      <c r="L23" s="556"/>
      <c r="M23" s="613">
        <f>C23</f>
        <v>3100</v>
      </c>
      <c r="O23" s="582"/>
    </row>
    <row r="24" spans="1:15" s="552" customFormat="1" ht="88.5" customHeight="1">
      <c r="A24" s="575">
        <v>20</v>
      </c>
      <c r="B24" s="554" t="s">
        <v>1224</v>
      </c>
      <c r="C24" s="555">
        <v>2200</v>
      </c>
      <c r="D24" s="604" t="s">
        <v>1599</v>
      </c>
      <c r="E24" s="604" t="s">
        <v>2815</v>
      </c>
      <c r="F24" s="554" t="s">
        <v>19</v>
      </c>
      <c r="G24" s="600" t="s">
        <v>172</v>
      </c>
      <c r="H24" s="605" t="s">
        <v>2816</v>
      </c>
      <c r="I24" s="606"/>
      <c r="J24" s="589" t="s">
        <v>54</v>
      </c>
      <c r="K24" s="591" t="s">
        <v>89</v>
      </c>
      <c r="L24" s="556"/>
      <c r="M24" s="613">
        <f>C24</f>
        <v>2200</v>
      </c>
      <c r="O24" s="582"/>
    </row>
    <row r="25" spans="1:15" s="640" customFormat="1" ht="186" customHeight="1">
      <c r="A25" s="632">
        <v>21</v>
      </c>
      <c r="B25" s="633" t="s">
        <v>1420</v>
      </c>
      <c r="C25" s="634">
        <v>17000</v>
      </c>
      <c r="D25" s="635" t="s">
        <v>1599</v>
      </c>
      <c r="E25" s="635" t="s">
        <v>2817</v>
      </c>
      <c r="F25" s="633" t="s">
        <v>19</v>
      </c>
      <c r="G25" s="636" t="s">
        <v>421</v>
      </c>
      <c r="H25" s="601" t="s">
        <v>2818</v>
      </c>
      <c r="I25" s="580" t="s">
        <v>2819</v>
      </c>
      <c r="J25" s="637" t="s">
        <v>84</v>
      </c>
      <c r="K25" s="638" t="s">
        <v>84</v>
      </c>
      <c r="L25" s="602"/>
      <c r="M25" s="639">
        <f t="shared" si="2"/>
        <v>17000</v>
      </c>
      <c r="O25" s="641"/>
    </row>
    <row r="26" spans="1:15" s="552" customFormat="1" ht="150">
      <c r="A26" s="575">
        <v>22</v>
      </c>
      <c r="B26" s="554" t="s">
        <v>697</v>
      </c>
      <c r="C26" s="555">
        <v>17000</v>
      </c>
      <c r="D26" s="604" t="s">
        <v>226</v>
      </c>
      <c r="E26" s="604" t="s">
        <v>2820</v>
      </c>
      <c r="F26" s="554" t="s">
        <v>19</v>
      </c>
      <c r="G26" s="600" t="s">
        <v>172</v>
      </c>
      <c r="H26" s="605" t="s">
        <v>2821</v>
      </c>
      <c r="I26" s="580"/>
      <c r="J26" s="589" t="s">
        <v>43</v>
      </c>
      <c r="K26" s="591" t="s">
        <v>16</v>
      </c>
      <c r="L26" s="556"/>
      <c r="M26" s="613">
        <f>C26</f>
        <v>17000</v>
      </c>
      <c r="O26" s="582"/>
    </row>
    <row r="27" spans="1:15" s="333" customFormat="1" ht="150">
      <c r="A27" s="643">
        <v>23</v>
      </c>
      <c r="B27" s="554" t="s">
        <v>1681</v>
      </c>
      <c r="C27" s="555">
        <v>3650</v>
      </c>
      <c r="D27" s="556" t="s">
        <v>226</v>
      </c>
      <c r="E27" s="556" t="s">
        <v>2822</v>
      </c>
      <c r="F27" s="554" t="s">
        <v>19</v>
      </c>
      <c r="G27" s="600" t="s">
        <v>2808</v>
      </c>
      <c r="H27" s="558" t="s">
        <v>2823</v>
      </c>
      <c r="I27" s="606"/>
      <c r="J27" s="589" t="s">
        <v>84</v>
      </c>
      <c r="K27" s="591" t="s">
        <v>84</v>
      </c>
      <c r="L27" s="578"/>
      <c r="M27" s="613">
        <f t="shared" si="2"/>
        <v>3650</v>
      </c>
      <c r="N27" s="644"/>
      <c r="O27" s="644"/>
    </row>
    <row r="28" spans="1:15" s="626" customFormat="1" ht="45" hidden="1" customHeight="1">
      <c r="A28" s="614">
        <v>24</v>
      </c>
      <c r="B28" s="615" t="s">
        <v>1666</v>
      </c>
      <c r="C28" s="616" t="s">
        <v>675</v>
      </c>
      <c r="D28" s="617" t="s">
        <v>2824</v>
      </c>
      <c r="E28" s="617" t="s">
        <v>2822</v>
      </c>
      <c r="F28" s="618" t="s">
        <v>19</v>
      </c>
      <c r="G28" s="619" t="s">
        <v>172</v>
      </c>
      <c r="H28" s="620"/>
      <c r="I28" s="621"/>
      <c r="J28" s="622" t="s">
        <v>89</v>
      </c>
      <c r="K28" s="615" t="s">
        <v>89</v>
      </c>
      <c r="L28" s="623"/>
      <c r="M28" s="624" t="str">
        <f>C28</f>
        <v>HỦY</v>
      </c>
      <c r="N28" s="625"/>
      <c r="O28" s="625"/>
    </row>
    <row r="29" spans="1:15" s="542" customFormat="1" ht="45" customHeight="1">
      <c r="A29" s="645">
        <v>25</v>
      </c>
      <c r="B29" s="646" t="s">
        <v>1001</v>
      </c>
      <c r="C29" s="647">
        <v>3400</v>
      </c>
      <c r="D29" s="648" t="s">
        <v>226</v>
      </c>
      <c r="E29" s="648" t="s">
        <v>2825</v>
      </c>
      <c r="F29" s="554" t="s">
        <v>19</v>
      </c>
      <c r="G29" s="535" t="s">
        <v>172</v>
      </c>
      <c r="H29" s="649" t="s">
        <v>2826</v>
      </c>
      <c r="I29" s="650"/>
      <c r="J29" s="651" t="s">
        <v>84</v>
      </c>
      <c r="K29" s="646" t="s">
        <v>84</v>
      </c>
      <c r="L29" s="533"/>
      <c r="M29" s="613">
        <f t="shared" si="2"/>
        <v>3400</v>
      </c>
      <c r="N29" s="644"/>
      <c r="O29" s="644"/>
    </row>
    <row r="30" spans="1:15" s="661" customFormat="1" ht="95.25" customHeight="1">
      <c r="A30" s="665">
        <v>26</v>
      </c>
      <c r="B30" s="545" t="s">
        <v>531</v>
      </c>
      <c r="C30" s="662">
        <v>2787</v>
      </c>
      <c r="D30" s="545" t="s">
        <v>226</v>
      </c>
      <c r="E30" s="545" t="s">
        <v>2827</v>
      </c>
      <c r="F30" s="545" t="s">
        <v>19</v>
      </c>
      <c r="G30" s="581" t="s">
        <v>20</v>
      </c>
      <c r="H30" s="571" t="s">
        <v>2828</v>
      </c>
      <c r="I30" s="660"/>
      <c r="J30" s="554" t="s">
        <v>514</v>
      </c>
      <c r="K30" s="554" t="s">
        <v>483</v>
      </c>
      <c r="L30" s="554" t="s">
        <v>2169</v>
      </c>
      <c r="M30" s="613"/>
      <c r="N30" s="644"/>
      <c r="O30" s="644"/>
    </row>
    <row r="31" spans="1:15" s="659" customFormat="1" ht="204.75" customHeight="1">
      <c r="A31" s="673">
        <v>27</v>
      </c>
      <c r="B31" s="653" t="s">
        <v>788</v>
      </c>
      <c r="C31" s="664">
        <v>28300</v>
      </c>
      <c r="D31" s="653" t="s">
        <v>353</v>
      </c>
      <c r="E31" s="653" t="s">
        <v>2829</v>
      </c>
      <c r="F31" s="653" t="s">
        <v>19</v>
      </c>
      <c r="G31" s="653" t="s">
        <v>421</v>
      </c>
      <c r="H31" s="654" t="s">
        <v>2830</v>
      </c>
      <c r="I31" s="655" t="s">
        <v>2831</v>
      </c>
      <c r="J31" s="656" t="s">
        <v>2832</v>
      </c>
      <c r="K31" s="652" t="s">
        <v>483</v>
      </c>
      <c r="L31" s="653"/>
      <c r="M31" s="657">
        <f t="shared" si="2"/>
        <v>28300</v>
      </c>
      <c r="N31" s="658"/>
      <c r="O31" s="658"/>
    </row>
    <row r="32" spans="1:15" s="333" customFormat="1" ht="89.25" customHeight="1">
      <c r="A32" s="643">
        <v>28</v>
      </c>
      <c r="B32" s="545" t="s">
        <v>82</v>
      </c>
      <c r="C32" s="568">
        <v>4000</v>
      </c>
      <c r="D32" s="545" t="s">
        <v>226</v>
      </c>
      <c r="E32" s="545"/>
      <c r="F32" s="545" t="s">
        <v>19</v>
      </c>
      <c r="G32" s="545" t="s">
        <v>2808</v>
      </c>
      <c r="H32" s="678" t="s">
        <v>2833</v>
      </c>
      <c r="I32" s="678" t="s">
        <v>2834</v>
      </c>
      <c r="J32" s="554" t="s">
        <v>84</v>
      </c>
      <c r="K32" s="554" t="s">
        <v>84</v>
      </c>
      <c r="L32" s="674"/>
      <c r="M32" s="613">
        <f t="shared" si="2"/>
        <v>4000</v>
      </c>
      <c r="N32" s="644"/>
      <c r="O32" s="644"/>
    </row>
    <row r="33" spans="1:15" s="661" customFormat="1" ht="86.25" customHeight="1">
      <c r="A33" s="677">
        <v>29</v>
      </c>
      <c r="B33" s="554" t="s">
        <v>1590</v>
      </c>
      <c r="C33" s="675">
        <v>7300</v>
      </c>
      <c r="D33" s="554" t="s">
        <v>226</v>
      </c>
      <c r="E33" s="554"/>
      <c r="F33" s="554" t="s">
        <v>19</v>
      </c>
      <c r="G33" s="554" t="s">
        <v>172</v>
      </c>
      <c r="H33" s="649" t="s">
        <v>2835</v>
      </c>
      <c r="I33" s="650" t="s">
        <v>2836</v>
      </c>
      <c r="J33" s="589" t="s">
        <v>16</v>
      </c>
      <c r="K33" s="554" t="s">
        <v>16</v>
      </c>
      <c r="L33" s="554"/>
      <c r="M33" s="676"/>
      <c r="N33" s="644"/>
      <c r="O33" s="644"/>
    </row>
    <row r="34" spans="1:15" s="659" customFormat="1" ht="71.25" customHeight="1">
      <c r="A34" s="681">
        <v>30</v>
      </c>
      <c r="B34" s="682" t="s">
        <v>2020</v>
      </c>
      <c r="C34" s="683">
        <v>5050</v>
      </c>
      <c r="D34" s="682" t="s">
        <v>353</v>
      </c>
      <c r="E34" s="682"/>
      <c r="F34" s="682" t="s">
        <v>19</v>
      </c>
      <c r="G34" s="682" t="s">
        <v>172</v>
      </c>
      <c r="H34" s="684" t="s">
        <v>2837</v>
      </c>
      <c r="I34" s="682"/>
      <c r="J34" s="685" t="s">
        <v>84</v>
      </c>
      <c r="K34" s="682" t="s">
        <v>1284</v>
      </c>
      <c r="L34" s="682"/>
      <c r="M34" s="686"/>
      <c r="N34" s="658"/>
      <c r="O34" s="658"/>
    </row>
    <row r="35" spans="1:15" s="434" customFormat="1" ht="82.5" customHeight="1">
      <c r="A35" s="668">
        <v>31</v>
      </c>
      <c r="B35" s="680" t="s">
        <v>1213</v>
      </c>
      <c r="C35" s="193">
        <v>3000</v>
      </c>
      <c r="D35" s="607" t="s">
        <v>2838</v>
      </c>
      <c r="E35" s="669"/>
      <c r="F35" s="102" t="s">
        <v>19</v>
      </c>
      <c r="G35" s="608" t="s">
        <v>20</v>
      </c>
      <c r="H35" s="670" t="s">
        <v>2649</v>
      </c>
      <c r="I35" s="672"/>
      <c r="J35" s="608" t="s">
        <v>89</v>
      </c>
      <c r="K35" s="608" t="s">
        <v>89</v>
      </c>
      <c r="L35" s="612"/>
      <c r="M35" s="667"/>
      <c r="N35" s="433"/>
      <c r="O35" s="433"/>
    </row>
    <row r="36" spans="1:15" ht="99.75" customHeight="1">
      <c r="A36" s="671">
        <v>32</v>
      </c>
      <c r="B36" s="609"/>
      <c r="C36" s="666"/>
      <c r="D36" s="609"/>
      <c r="E36" s="609"/>
      <c r="F36" s="609"/>
      <c r="G36" s="642" t="s">
        <v>421</v>
      </c>
      <c r="H36" s="663" t="s">
        <v>2839</v>
      </c>
      <c r="I36" s="609"/>
      <c r="J36" s="609"/>
      <c r="K36" s="609"/>
      <c r="L36" s="609"/>
      <c r="M36" s="506"/>
      <c r="N36" s="433"/>
      <c r="O36" s="433"/>
    </row>
    <row r="37" spans="1:15">
      <c r="A37" s="360">
        <v>33</v>
      </c>
      <c r="B37" s="41"/>
      <c r="C37" s="37"/>
      <c r="D37" s="90"/>
      <c r="E37" s="90"/>
      <c r="F37" s="37"/>
      <c r="G37" s="41"/>
      <c r="H37" s="507" t="s">
        <v>2840</v>
      </c>
      <c r="I37" s="505"/>
      <c r="J37" s="41"/>
      <c r="K37" s="41"/>
      <c r="L37" s="41"/>
      <c r="M37" s="506"/>
      <c r="N37" s="433"/>
      <c r="O37" s="433"/>
    </row>
    <row r="38" spans="1:15">
      <c r="A38" s="360">
        <v>34</v>
      </c>
      <c r="B38" s="39"/>
      <c r="C38" s="37"/>
      <c r="D38" s="90"/>
      <c r="E38" s="90"/>
      <c r="F38" s="41"/>
      <c r="G38" s="41"/>
      <c r="H38" s="44" t="s">
        <v>2841</v>
      </c>
      <c r="I38" s="505"/>
      <c r="J38" s="41"/>
      <c r="K38" s="41"/>
      <c r="L38" s="41"/>
      <c r="M38" s="506"/>
      <c r="N38" s="433"/>
      <c r="O38" s="433"/>
    </row>
    <row r="39" spans="1:15">
      <c r="A39" s="360">
        <v>35</v>
      </c>
      <c r="B39" s="41"/>
      <c r="C39" s="37"/>
      <c r="D39" s="90"/>
      <c r="E39" s="90"/>
      <c r="F39" s="41"/>
      <c r="G39" s="41"/>
      <c r="H39" s="587"/>
      <c r="I39" s="505"/>
      <c r="J39" s="41"/>
      <c r="K39" s="41"/>
      <c r="L39" s="41"/>
      <c r="M39" s="506"/>
    </row>
    <row r="40" spans="1:15">
      <c r="A40" s="360"/>
      <c r="B40" s="41"/>
      <c r="C40" s="37"/>
      <c r="D40" s="90"/>
      <c r="E40" s="90"/>
      <c r="F40" s="41"/>
      <c r="G40" s="41"/>
      <c r="H40" s="507"/>
      <c r="I40" s="505"/>
      <c r="J40" s="41"/>
      <c r="K40" s="41"/>
      <c r="L40" s="41"/>
      <c r="M40" s="506"/>
    </row>
    <row r="41" spans="1:15" s="433" customFormat="1">
      <c r="A41" s="359"/>
      <c r="B41" s="1"/>
      <c r="C41" s="2"/>
      <c r="D41" s="271"/>
      <c r="E41" s="271"/>
      <c r="F41" s="1"/>
      <c r="G41" s="1"/>
      <c r="H41" s="9"/>
      <c r="I41" s="9"/>
      <c r="J41" s="1"/>
      <c r="K41" s="1"/>
      <c r="L41" s="1"/>
      <c r="M41" s="508"/>
      <c r="N41" s="3"/>
      <c r="O41" s="3"/>
    </row>
    <row r="42" spans="1:15" s="1" customFormat="1">
      <c r="A42" s="359"/>
      <c r="C42" s="2"/>
      <c r="D42" s="3680" t="s">
        <v>1490</v>
      </c>
      <c r="E42" s="3681"/>
      <c r="F42" s="3682"/>
      <c r="G42" s="3682"/>
      <c r="H42" s="3682"/>
      <c r="I42" s="3648"/>
      <c r="M42" s="508"/>
      <c r="N42" s="3"/>
      <c r="O42" s="3"/>
    </row>
    <row r="43" spans="1:15" s="1" customFormat="1">
      <c r="A43" s="359"/>
      <c r="C43" s="2"/>
      <c r="D43" s="3649"/>
      <c r="E43" s="3647"/>
      <c r="F43" s="3647"/>
      <c r="G43" s="3647"/>
      <c r="H43" s="3647"/>
      <c r="I43" s="3650"/>
      <c r="M43" s="508"/>
      <c r="N43" s="3"/>
      <c r="O43" s="3"/>
    </row>
    <row r="44" spans="1:15" s="1" customFormat="1">
      <c r="A44" s="359"/>
      <c r="C44" s="2"/>
      <c r="D44" s="3649"/>
      <c r="E44" s="3647"/>
      <c r="F44" s="3647"/>
      <c r="G44" s="3647"/>
      <c r="H44" s="3647"/>
      <c r="I44" s="3650"/>
      <c r="M44" s="508"/>
      <c r="N44" s="3"/>
      <c r="O44" s="3"/>
    </row>
    <row r="45" spans="1:15" s="1" customFormat="1">
      <c r="A45" s="359"/>
      <c r="C45" s="2"/>
      <c r="D45" s="3651"/>
      <c r="E45" s="3652"/>
      <c r="F45" s="3652"/>
      <c r="G45" s="3652"/>
      <c r="H45" s="3652"/>
      <c r="I45" s="3653"/>
      <c r="M45" s="508"/>
      <c r="N45" s="3"/>
      <c r="O45" s="3"/>
    </row>
  </sheetData>
  <autoFilter ref="A4:Q27" xr:uid="{00000000-0009-0000-0000-000011000000}"/>
  <mergeCells count="4">
    <mergeCell ref="C1:I1"/>
    <mergeCell ref="A2:I2"/>
    <mergeCell ref="I3:J3"/>
    <mergeCell ref="D42:I45"/>
  </mergeCells>
  <conditionalFormatting sqref="A1:A3 A5 A10 A12 A15 A17:A21 A23:A25 A28:A40">
    <cfRule type="duplicateValues" dxfId="501" priority="472"/>
  </conditionalFormatting>
  <conditionalFormatting sqref="A4">
    <cfRule type="duplicateValues" dxfId="500" priority="16"/>
  </conditionalFormatting>
  <conditionalFormatting sqref="A6 A27">
    <cfRule type="duplicateValues" dxfId="499" priority="26"/>
  </conditionalFormatting>
  <conditionalFormatting sqref="A7">
    <cfRule type="duplicateValues" dxfId="498" priority="25"/>
  </conditionalFormatting>
  <conditionalFormatting sqref="A8">
    <cfRule type="duplicateValues" dxfId="497" priority="27"/>
  </conditionalFormatting>
  <conditionalFormatting sqref="A9">
    <cfRule type="duplicateValues" dxfId="496" priority="7"/>
  </conditionalFormatting>
  <conditionalFormatting sqref="A11">
    <cfRule type="duplicateValues" dxfId="495" priority="6"/>
  </conditionalFormatting>
  <conditionalFormatting sqref="A13">
    <cfRule type="duplicateValues" dxfId="494" priority="5"/>
  </conditionalFormatting>
  <conditionalFormatting sqref="A14">
    <cfRule type="duplicateValues" dxfId="493" priority="4"/>
  </conditionalFormatting>
  <conditionalFormatting sqref="A16">
    <cfRule type="duplicateValues" dxfId="492" priority="3"/>
  </conditionalFormatting>
  <conditionalFormatting sqref="A22">
    <cfRule type="duplicateValues" dxfId="491" priority="466"/>
  </conditionalFormatting>
  <conditionalFormatting sqref="A26">
    <cfRule type="duplicateValues" dxfId="490" priority="1"/>
  </conditionalFormatting>
  <conditionalFormatting sqref="B3">
    <cfRule type="duplicateValues" dxfId="489" priority="28"/>
    <cfRule type="duplicateValues" dxfId="488" priority="29"/>
    <cfRule type="duplicateValues" dxfId="487" priority="30"/>
  </conditionalFormatting>
  <conditionalFormatting sqref="B4">
    <cfRule type="duplicateValues" dxfId="486" priority="13"/>
    <cfRule type="duplicateValues" dxfId="485" priority="14"/>
    <cfRule type="duplicateValues" dxfId="484" priority="15"/>
  </conditionalFormatting>
  <pageMargins left="0.7" right="0.7" top="0.75" bottom="0.75" header="0.3" footer="0.3"/>
  <pageSetup paperSize="9" scale="18" orientation="landscape"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N64"/>
  <sheetViews>
    <sheetView topLeftCell="A2" zoomScale="70" zoomScaleNormal="70" workbookViewId="0">
      <pane xSplit="3" ySplit="3" topLeftCell="D5" activePane="bottomRight" state="frozen"/>
      <selection pane="topRight"/>
      <selection pane="bottomLeft"/>
      <selection pane="bottomRight"/>
    </sheetView>
  </sheetViews>
  <sheetFormatPr defaultColWidth="25.5703125" defaultRowHeight="18.75"/>
  <cols>
    <col min="1" max="1" width="5" style="359" customWidth="1"/>
    <col min="2" max="2" width="22" style="1" bestFit="1" customWidth="1"/>
    <col min="3" max="3" width="18.7109375" style="1138" customWidth="1"/>
    <col min="4" max="4" width="22.28515625" style="271" customWidth="1"/>
    <col min="5" max="5" width="25.85546875" style="271" bestFit="1" customWidth="1"/>
    <col min="6" max="6" width="15.140625" style="1" customWidth="1"/>
    <col min="7" max="7" width="24.140625" style="1" customWidth="1"/>
    <col min="8" max="8" width="90.42578125" style="9" customWidth="1"/>
    <col min="9" max="9" width="75.28515625" style="9" bestFit="1" customWidth="1"/>
    <col min="10" max="10" width="17.42578125" style="1" customWidth="1"/>
    <col min="11" max="11" width="10.28515625" style="804" hidden="1" customWidth="1"/>
    <col min="12" max="12" width="25.140625" style="3" customWidth="1"/>
    <col min="13" max="13" width="12.42578125" style="3" hidden="1" customWidth="1"/>
    <col min="14" max="14" width="34.5703125" style="3" customWidth="1"/>
    <col min="15" max="16384" width="25.5703125" style="3"/>
  </cols>
  <sheetData>
    <row r="1" spans="1:14" ht="17.25" customHeight="1">
      <c r="B1" s="10"/>
      <c r="C1" s="3624"/>
      <c r="D1" s="3624"/>
      <c r="E1" s="3624"/>
      <c r="F1" s="3624"/>
      <c r="G1" s="3624"/>
      <c r="H1" s="3624"/>
      <c r="I1" s="3624"/>
    </row>
    <row r="2" spans="1:14" ht="34.5" customHeight="1">
      <c r="A2" s="3637" t="s">
        <v>2842</v>
      </c>
      <c r="B2" s="3637"/>
      <c r="C2" s="3637"/>
      <c r="D2" s="3637"/>
      <c r="E2" s="3637"/>
      <c r="F2" s="3637"/>
      <c r="G2" s="3637"/>
      <c r="H2" s="3637"/>
      <c r="I2" s="3637"/>
      <c r="J2" s="1176"/>
      <c r="K2" s="805"/>
      <c r="L2" s="1180"/>
      <c r="M2" s="287"/>
    </row>
    <row r="3" spans="1:14" ht="36" customHeight="1">
      <c r="A3" s="360"/>
      <c r="B3" s="385"/>
      <c r="C3" s="1177">
        <f>SUBTOTAL(9,C6:C324)</f>
        <v>229669</v>
      </c>
      <c r="D3" s="849"/>
      <c r="E3" s="849"/>
      <c r="F3" s="199"/>
      <c r="G3" s="199"/>
      <c r="H3" s="202"/>
      <c r="I3" s="3639">
        <f ca="1">TODAY()</f>
        <v>45960</v>
      </c>
      <c r="J3" s="3639"/>
      <c r="K3" s="808"/>
      <c r="L3" s="287"/>
      <c r="M3" s="287"/>
    </row>
    <row r="4" spans="1:14" s="7" customFormat="1" ht="33">
      <c r="A4" s="810" t="s">
        <v>1</v>
      </c>
      <c r="B4" s="679" t="s">
        <v>339</v>
      </c>
      <c r="C4" s="1178" t="s">
        <v>3</v>
      </c>
      <c r="D4" s="679" t="s">
        <v>4</v>
      </c>
      <c r="E4" s="679" t="s">
        <v>6</v>
      </c>
      <c r="F4" s="679" t="s">
        <v>8</v>
      </c>
      <c r="G4" s="679" t="s">
        <v>9</v>
      </c>
      <c r="H4" s="812" t="s">
        <v>10</v>
      </c>
      <c r="I4" s="679" t="s">
        <v>11</v>
      </c>
      <c r="J4" s="679" t="s">
        <v>5</v>
      </c>
      <c r="K4" s="813" t="s">
        <v>340</v>
      </c>
      <c r="L4" s="753" t="s">
        <v>341</v>
      </c>
      <c r="M4" s="1181" t="e">
        <f>SUM(#REF!)</f>
        <v>#REF!</v>
      </c>
    </row>
    <row r="5" spans="1:14" s="467" customFormat="1" ht="65.25" customHeight="1">
      <c r="A5" s="786" cm="1">
        <f t="array" ref="A5:A64">_xlfn.SEQUENCE(60,1,1,)</f>
        <v>1</v>
      </c>
      <c r="B5" s="87" t="s">
        <v>279</v>
      </c>
      <c r="C5" s="1146">
        <v>12800</v>
      </c>
      <c r="D5" s="133" t="s">
        <v>226</v>
      </c>
      <c r="E5" s="133" t="s">
        <v>2843</v>
      </c>
      <c r="F5" s="87" t="s">
        <v>19</v>
      </c>
      <c r="G5" s="87" t="s">
        <v>517</v>
      </c>
      <c r="H5" s="188" t="s">
        <v>816</v>
      </c>
      <c r="I5" s="87" t="s">
        <v>817</v>
      </c>
      <c r="J5" s="87" t="s">
        <v>43</v>
      </c>
      <c r="K5" s="1204"/>
      <c r="L5" s="87"/>
      <c r="M5" s="1214">
        <f>C5</f>
        <v>12800</v>
      </c>
      <c r="N5" s="139"/>
    </row>
    <row r="6" spans="1:14" s="367" customFormat="1" ht="160.5" customHeight="1">
      <c r="A6" s="786">
        <v>2</v>
      </c>
      <c r="B6" s="87" t="s">
        <v>818</v>
      </c>
      <c r="C6" s="1146">
        <v>14370</v>
      </c>
      <c r="D6" s="133" t="s">
        <v>226</v>
      </c>
      <c r="E6" s="133" t="s">
        <v>2844</v>
      </c>
      <c r="F6" s="87" t="s">
        <v>19</v>
      </c>
      <c r="G6" s="87" t="s">
        <v>517</v>
      </c>
      <c r="H6" s="188" t="s">
        <v>2845</v>
      </c>
      <c r="I6" s="133" t="s">
        <v>821</v>
      </c>
      <c r="J6" s="87" t="s">
        <v>43</v>
      </c>
      <c r="K6" s="1204"/>
      <c r="L6" s="1211"/>
      <c r="M6" s="1151"/>
      <c r="N6" s="336"/>
    </row>
    <row r="7" spans="1:14" s="367" customFormat="1" ht="69.75" customHeight="1">
      <c r="A7" s="786">
        <v>3</v>
      </c>
      <c r="B7" s="87" t="s">
        <v>366</v>
      </c>
      <c r="C7" s="1146">
        <v>7000</v>
      </c>
      <c r="D7" s="133" t="s">
        <v>226</v>
      </c>
      <c r="E7" s="133" t="s">
        <v>2846</v>
      </c>
      <c r="F7" s="87" t="s">
        <v>19</v>
      </c>
      <c r="G7" s="87" t="s">
        <v>172</v>
      </c>
      <c r="H7" s="188" t="s">
        <v>2847</v>
      </c>
      <c r="I7" s="403"/>
      <c r="J7" s="87" t="s">
        <v>43</v>
      </c>
      <c r="K7" s="1204"/>
      <c r="L7" s="1211">
        <v>12000</v>
      </c>
      <c r="M7" s="1151"/>
      <c r="N7" s="336"/>
    </row>
    <row r="8" spans="1:14" s="1219" customFormat="1">
      <c r="A8" s="1220">
        <v>4</v>
      </c>
      <c r="B8" s="1221" t="s">
        <v>824</v>
      </c>
      <c r="C8" s="1222" t="s">
        <v>669</v>
      </c>
      <c r="D8" s="1223" t="s">
        <v>825</v>
      </c>
      <c r="E8" s="1223"/>
      <c r="F8" s="1221" t="s">
        <v>19</v>
      </c>
      <c r="G8" s="1221" t="s">
        <v>517</v>
      </c>
      <c r="H8" s="1229"/>
      <c r="I8" s="1221"/>
      <c r="J8" s="1221" t="s">
        <v>84</v>
      </c>
      <c r="K8" s="1224"/>
      <c r="L8" s="1221"/>
      <c r="M8" s="1218" t="str">
        <f>C8</f>
        <v>hủy</v>
      </c>
      <c r="N8" s="376"/>
    </row>
    <row r="9" spans="1:14" s="1" customFormat="1" ht="60" customHeight="1">
      <c r="A9" s="786">
        <v>5</v>
      </c>
      <c r="B9" s="87" t="s">
        <v>775</v>
      </c>
      <c r="C9" s="1146">
        <v>400</v>
      </c>
      <c r="D9" s="133" t="s">
        <v>827</v>
      </c>
      <c r="E9" s="133" t="s">
        <v>226</v>
      </c>
      <c r="F9" s="87" t="s">
        <v>828</v>
      </c>
      <c r="G9" s="87" t="s">
        <v>172</v>
      </c>
      <c r="H9" s="1230" t="s">
        <v>2848</v>
      </c>
      <c r="I9" s="87" t="s">
        <v>830</v>
      </c>
      <c r="J9" s="87" t="s">
        <v>54</v>
      </c>
      <c r="K9" s="1204"/>
      <c r="L9" s="87"/>
      <c r="M9" s="1147"/>
      <c r="N9" s="3"/>
    </row>
    <row r="10" spans="1:14" s="336" customFormat="1" ht="222" customHeight="1">
      <c r="A10" s="786">
        <v>6</v>
      </c>
      <c r="B10" s="87" t="s">
        <v>812</v>
      </c>
      <c r="C10" s="1146">
        <v>12500</v>
      </c>
      <c r="D10" s="133" t="s">
        <v>226</v>
      </c>
      <c r="E10" s="133" t="s">
        <v>2849</v>
      </c>
      <c r="F10" s="87" t="s">
        <v>19</v>
      </c>
      <c r="G10" s="87" t="s">
        <v>959</v>
      </c>
      <c r="H10" s="93" t="s">
        <v>2850</v>
      </c>
      <c r="I10" s="1227"/>
      <c r="J10" s="87" t="s">
        <v>16</v>
      </c>
      <c r="K10" s="1204"/>
      <c r="L10" s="87">
        <f>12500-1000-830-200-500-2600-100-1000-1000-1000-2275</f>
        <v>1995</v>
      </c>
      <c r="M10" s="367"/>
    </row>
    <row r="11" spans="1:14" s="336" customFormat="1" ht="102" customHeight="1">
      <c r="A11" s="797">
        <v>7</v>
      </c>
      <c r="B11" s="91" t="s">
        <v>366</v>
      </c>
      <c r="C11" s="1140">
        <v>8895</v>
      </c>
      <c r="D11" s="133" t="s">
        <v>226</v>
      </c>
      <c r="E11" s="380" t="s">
        <v>2851</v>
      </c>
      <c r="F11" s="91" t="s">
        <v>19</v>
      </c>
      <c r="G11" s="87" t="s">
        <v>1138</v>
      </c>
      <c r="H11" s="184" t="s">
        <v>2852</v>
      </c>
      <c r="I11" s="1227"/>
      <c r="J11" s="91" t="s">
        <v>43</v>
      </c>
      <c r="K11" s="1206"/>
      <c r="L11" s="1228">
        <f>C11-1900-3950</f>
        <v>3045</v>
      </c>
      <c r="M11" s="367"/>
    </row>
    <row r="12" spans="1:14" s="367" customFormat="1" ht="158.25" customHeight="1">
      <c r="A12" s="786">
        <v>8</v>
      </c>
      <c r="B12" s="87" t="s">
        <v>279</v>
      </c>
      <c r="C12" s="1146">
        <v>12800</v>
      </c>
      <c r="D12" s="133" t="s">
        <v>226</v>
      </c>
      <c r="E12" s="133" t="s">
        <v>2853</v>
      </c>
      <c r="F12" s="87" t="s">
        <v>19</v>
      </c>
      <c r="G12" s="87" t="s">
        <v>172</v>
      </c>
      <c r="H12" s="188" t="s">
        <v>2854</v>
      </c>
      <c r="I12" s="1227"/>
      <c r="J12" s="91" t="s">
        <v>43</v>
      </c>
      <c r="K12" s="1204"/>
      <c r="L12" s="1211">
        <f>12800-3200-3700-550</f>
        <v>5350</v>
      </c>
      <c r="N12" s="336"/>
    </row>
    <row r="13" spans="1:14" ht="153" customHeight="1">
      <c r="A13" s="786">
        <v>9</v>
      </c>
      <c r="B13" s="87" t="s">
        <v>771</v>
      </c>
      <c r="C13" s="1146">
        <v>8895</v>
      </c>
      <c r="D13" s="133" t="s">
        <v>226</v>
      </c>
      <c r="E13" s="133" t="s">
        <v>2855</v>
      </c>
      <c r="F13" s="87" t="s">
        <v>19</v>
      </c>
      <c r="G13" s="87" t="s">
        <v>1138</v>
      </c>
      <c r="H13" s="188" t="s">
        <v>2856</v>
      </c>
      <c r="I13" s="1227"/>
      <c r="J13" s="87" t="s">
        <v>43</v>
      </c>
      <c r="K13" s="1226"/>
      <c r="L13" s="1248">
        <f>8900-1200-325-1000-2000</f>
        <v>4375</v>
      </c>
      <c r="M13" s="1"/>
      <c r="N13" s="1225">
        <f>13200-L13-L12</f>
        <v>3475</v>
      </c>
    </row>
    <row r="14" spans="1:14" s="1251" customFormat="1" ht="183" customHeight="1">
      <c r="A14" s="1242">
        <v>10</v>
      </c>
      <c r="B14" s="158" t="s">
        <v>2857</v>
      </c>
      <c r="C14" s="1243">
        <v>14370</v>
      </c>
      <c r="D14" s="1244" t="s">
        <v>226</v>
      </c>
      <c r="E14" s="1244" t="s">
        <v>2858</v>
      </c>
      <c r="F14" s="158" t="s">
        <v>19</v>
      </c>
      <c r="G14" s="158" t="s">
        <v>172</v>
      </c>
      <c r="H14" s="1245" t="s">
        <v>2859</v>
      </c>
      <c r="I14" s="1246" t="s">
        <v>2860</v>
      </c>
      <c r="J14" s="158" t="s">
        <v>43</v>
      </c>
      <c r="K14" s="1247"/>
      <c r="L14" s="1248">
        <f>1978+4975+1886+1421+1000+1000-14370</f>
        <v>-2110</v>
      </c>
      <c r="M14" s="1249"/>
      <c r="N14" s="1250"/>
    </row>
    <row r="15" spans="1:14" s="1249" customFormat="1" ht="111" customHeight="1">
      <c r="A15" s="1242">
        <v>11</v>
      </c>
      <c r="B15" s="158" t="s">
        <v>366</v>
      </c>
      <c r="C15" s="1243">
        <v>8750</v>
      </c>
      <c r="D15" s="1244" t="s">
        <v>226</v>
      </c>
      <c r="E15" s="1244" t="s">
        <v>2861</v>
      </c>
      <c r="F15" s="158" t="s">
        <v>19</v>
      </c>
      <c r="G15" s="158" t="s">
        <v>123</v>
      </c>
      <c r="H15" s="1252" t="s">
        <v>2862</v>
      </c>
      <c r="I15" s="1253" t="s">
        <v>2863</v>
      </c>
      <c r="J15" s="310" t="s">
        <v>43</v>
      </c>
      <c r="K15" s="1247"/>
      <c r="L15" s="158"/>
      <c r="N15" s="1251"/>
    </row>
    <row r="16" spans="1:14" s="1249" customFormat="1" ht="243.75">
      <c r="A16" s="1262">
        <v>12</v>
      </c>
      <c r="B16" s="310" t="s">
        <v>724</v>
      </c>
      <c r="C16" s="1263">
        <v>20217</v>
      </c>
      <c r="D16" s="1244" t="s">
        <v>226</v>
      </c>
      <c r="E16" s="1264" t="s">
        <v>2864</v>
      </c>
      <c r="F16" s="310" t="s">
        <v>19</v>
      </c>
      <c r="G16" s="310" t="s">
        <v>828</v>
      </c>
      <c r="H16" s="1265" t="s">
        <v>2865</v>
      </c>
      <c r="I16" s="1266" t="s">
        <v>2866</v>
      </c>
      <c r="J16" s="310" t="s">
        <v>43</v>
      </c>
      <c r="K16" s="1267"/>
      <c r="L16" s="1268">
        <f>C16-6000-600-1100-2500-4200-650-300-500-1000-1000-2000-350</f>
        <v>17</v>
      </c>
      <c r="N16" s="1251"/>
    </row>
    <row r="17" spans="1:14" s="1249" customFormat="1" ht="144.75" customHeight="1">
      <c r="A17" s="1255">
        <v>13</v>
      </c>
      <c r="B17" s="1256" t="s">
        <v>818</v>
      </c>
      <c r="C17" s="1257">
        <v>14370</v>
      </c>
      <c r="D17" s="1244" t="s">
        <v>226</v>
      </c>
      <c r="E17" s="1258" t="s">
        <v>2867</v>
      </c>
      <c r="F17" s="1256" t="s">
        <v>19</v>
      </c>
      <c r="G17" s="1256" t="s">
        <v>172</v>
      </c>
      <c r="H17" s="1259" t="s">
        <v>2868</v>
      </c>
      <c r="I17" s="1269"/>
      <c r="J17" s="1256" t="s">
        <v>43</v>
      </c>
      <c r="K17" s="1260"/>
      <c r="L17" s="1261">
        <f>4900+375+500+3000+1000+4000-14370</f>
        <v>-595</v>
      </c>
      <c r="N17" s="1251"/>
    </row>
    <row r="18" spans="1:14" s="1249" customFormat="1" ht="52.5" customHeight="1">
      <c r="A18" s="1255">
        <v>14</v>
      </c>
      <c r="B18" s="1256" t="s">
        <v>274</v>
      </c>
      <c r="C18" s="1257">
        <v>4250</v>
      </c>
      <c r="D18" s="1244" t="s">
        <v>226</v>
      </c>
      <c r="E18" s="1258" t="s">
        <v>2869</v>
      </c>
      <c r="F18" s="1256" t="s">
        <v>19</v>
      </c>
      <c r="G18" s="1256" t="s">
        <v>101</v>
      </c>
      <c r="H18" s="1259" t="s">
        <v>2870</v>
      </c>
      <c r="I18" s="1258" t="s">
        <v>2871</v>
      </c>
      <c r="J18" s="1256" t="s">
        <v>84</v>
      </c>
      <c r="K18" s="1260"/>
      <c r="L18" s="1261"/>
      <c r="N18" s="1251"/>
    </row>
    <row r="19" spans="1:14" s="1249" customFormat="1" ht="80.25" customHeight="1">
      <c r="A19" s="1255">
        <v>15</v>
      </c>
      <c r="B19" s="1256" t="s">
        <v>812</v>
      </c>
      <c r="C19" s="1257">
        <v>12500</v>
      </c>
      <c r="D19" s="1244" t="s">
        <v>226</v>
      </c>
      <c r="E19" s="1258" t="s">
        <v>2872</v>
      </c>
      <c r="F19" s="1256" t="s">
        <v>19</v>
      </c>
      <c r="G19" s="1256" t="s">
        <v>172</v>
      </c>
      <c r="H19" s="1259" t="s">
        <v>2873</v>
      </c>
      <c r="I19" s="1258"/>
      <c r="J19" s="1256" t="s">
        <v>16</v>
      </c>
      <c r="K19" s="1260"/>
      <c r="L19" s="1261">
        <f>4800+4800+2900</f>
        <v>12500</v>
      </c>
      <c r="N19" s="1251"/>
    </row>
    <row r="20" spans="1:14" s="1249" customFormat="1" ht="141" customHeight="1">
      <c r="A20" s="1255">
        <v>16</v>
      </c>
      <c r="B20" s="1256" t="s">
        <v>279</v>
      </c>
      <c r="C20" s="1257">
        <v>12800</v>
      </c>
      <c r="D20" s="1244" t="s">
        <v>2130</v>
      </c>
      <c r="E20" s="1258" t="s">
        <v>2874</v>
      </c>
      <c r="F20" s="1256" t="s">
        <v>19</v>
      </c>
      <c r="G20" s="1256" t="s">
        <v>172</v>
      </c>
      <c r="H20" s="1259" t="s">
        <v>2875</v>
      </c>
      <c r="I20" s="1258" t="s">
        <v>2876</v>
      </c>
      <c r="J20" s="1256" t="s">
        <v>43</v>
      </c>
      <c r="K20" s="1260"/>
      <c r="L20" s="1261" t="s">
        <v>2877</v>
      </c>
      <c r="N20" s="1251">
        <f>1500+4100+2100+2300-C20</f>
        <v>-2800</v>
      </c>
    </row>
    <row r="21" spans="1:14" s="367" customFormat="1" ht="162" customHeight="1">
      <c r="A21" s="362">
        <v>17</v>
      </c>
      <c r="B21" s="185" t="s">
        <v>697</v>
      </c>
      <c r="C21" s="1270">
        <v>16000</v>
      </c>
      <c r="D21" s="133" t="s">
        <v>2130</v>
      </c>
      <c r="E21" s="1271" t="s">
        <v>2878</v>
      </c>
      <c r="F21" s="185" t="s">
        <v>19</v>
      </c>
      <c r="G21" s="185" t="s">
        <v>517</v>
      </c>
      <c r="H21" s="1276" t="s">
        <v>2879</v>
      </c>
      <c r="I21" s="1271"/>
      <c r="J21" s="185" t="s">
        <v>43</v>
      </c>
      <c r="K21" s="1272"/>
      <c r="L21" s="1273">
        <f>C21-1600-400-500-8000</f>
        <v>5500</v>
      </c>
      <c r="N21" s="336" t="s">
        <v>222</v>
      </c>
    </row>
    <row r="22" spans="1:14" s="367" customFormat="1" ht="143.25" customHeight="1">
      <c r="A22" s="362">
        <v>18</v>
      </c>
      <c r="B22" s="185" t="s">
        <v>274</v>
      </c>
      <c r="C22" s="1270">
        <v>4300</v>
      </c>
      <c r="D22" s="133" t="s">
        <v>2130</v>
      </c>
      <c r="E22" s="1271"/>
      <c r="F22" s="185" t="s">
        <v>19</v>
      </c>
      <c r="G22" s="185" t="s">
        <v>2880</v>
      </c>
      <c r="H22" s="1276" t="s">
        <v>2881</v>
      </c>
      <c r="I22" s="1274" t="s">
        <v>2882</v>
      </c>
      <c r="J22" s="185" t="s">
        <v>84</v>
      </c>
      <c r="K22" s="1272"/>
      <c r="L22" s="1273">
        <f>C22-250-200-300-500-1200</f>
        <v>1850</v>
      </c>
      <c r="N22" s="336"/>
    </row>
    <row r="23" spans="1:14" s="367" customFormat="1" ht="76.5" customHeight="1">
      <c r="A23" s="362">
        <v>19</v>
      </c>
      <c r="B23" s="185" t="s">
        <v>2883</v>
      </c>
      <c r="C23" s="1270">
        <v>10000</v>
      </c>
      <c r="D23" s="133" t="s">
        <v>2130</v>
      </c>
      <c r="E23" s="1271" t="s">
        <v>2884</v>
      </c>
      <c r="F23" s="185" t="s">
        <v>19</v>
      </c>
      <c r="G23" s="185" t="s">
        <v>286</v>
      </c>
      <c r="H23" s="1276" t="s">
        <v>2885</v>
      </c>
      <c r="I23" s="1274" t="s">
        <v>2886</v>
      </c>
      <c r="J23" s="185" t="s">
        <v>387</v>
      </c>
      <c r="K23" s="1272"/>
      <c r="L23" s="1273"/>
      <c r="N23" s="336"/>
    </row>
    <row r="24" spans="1:14" s="367" customFormat="1" ht="96" customHeight="1">
      <c r="A24" s="362">
        <v>20</v>
      </c>
      <c r="B24" s="185" t="s">
        <v>279</v>
      </c>
      <c r="C24" s="1270">
        <v>16000</v>
      </c>
      <c r="D24" s="133" t="s">
        <v>2130</v>
      </c>
      <c r="E24" s="1271" t="s">
        <v>2887</v>
      </c>
      <c r="F24" s="185" t="s">
        <v>19</v>
      </c>
      <c r="G24" s="185" t="s">
        <v>172</v>
      </c>
      <c r="H24" s="1276" t="s">
        <v>2888</v>
      </c>
      <c r="I24" s="1274"/>
      <c r="J24" s="185" t="s">
        <v>43</v>
      </c>
      <c r="K24" s="1272"/>
      <c r="L24" s="1273"/>
      <c r="N24" s="336"/>
    </row>
    <row r="25" spans="1:14" s="367" customFormat="1" ht="96" customHeight="1">
      <c r="A25" s="362">
        <v>21</v>
      </c>
      <c r="B25" s="185" t="s">
        <v>366</v>
      </c>
      <c r="C25" s="1270">
        <v>10452</v>
      </c>
      <c r="D25" s="133" t="s">
        <v>2130</v>
      </c>
      <c r="E25" s="1271" t="s">
        <v>2889</v>
      </c>
      <c r="F25" s="185" t="s">
        <v>19</v>
      </c>
      <c r="G25" s="185" t="s">
        <v>172</v>
      </c>
      <c r="H25" s="1276" t="s">
        <v>2890</v>
      </c>
      <c r="I25" s="1274" t="s">
        <v>2891</v>
      </c>
      <c r="J25" s="185" t="s">
        <v>43</v>
      </c>
      <c r="K25" s="1272"/>
      <c r="L25" s="1273">
        <f>C25-5000-1920-1230-1200</f>
        <v>1102</v>
      </c>
      <c r="N25" s="336"/>
    </row>
    <row r="26" spans="1:14" s="367" customFormat="1" ht="96" customHeight="1">
      <c r="A26" s="362">
        <v>22</v>
      </c>
      <c r="B26" s="185" t="s">
        <v>274</v>
      </c>
      <c r="C26" s="1270">
        <v>4300</v>
      </c>
      <c r="D26" s="133" t="s">
        <v>2130</v>
      </c>
      <c r="E26" s="1271" t="s">
        <v>2892</v>
      </c>
      <c r="F26" s="185" t="s">
        <v>19</v>
      </c>
      <c r="G26" s="185" t="s">
        <v>2893</v>
      </c>
      <c r="H26" s="1276" t="s">
        <v>2894</v>
      </c>
      <c r="I26" s="1274" t="s">
        <v>2895</v>
      </c>
      <c r="J26" s="185" t="s">
        <v>84</v>
      </c>
      <c r="K26" s="1272"/>
      <c r="L26" s="1273">
        <f>C26-1200-1050</f>
        <v>2050</v>
      </c>
      <c r="N26" s="336"/>
    </row>
    <row r="27" spans="1:14" s="367" customFormat="1" ht="201" customHeight="1">
      <c r="A27" s="362">
        <v>23</v>
      </c>
      <c r="B27" s="185" t="s">
        <v>697</v>
      </c>
      <c r="C27" s="1270">
        <v>16500</v>
      </c>
      <c r="D27" s="133" t="s">
        <v>2130</v>
      </c>
      <c r="E27" s="1271" t="s">
        <v>2896</v>
      </c>
      <c r="F27" s="185" t="s">
        <v>19</v>
      </c>
      <c r="G27" s="185" t="s">
        <v>172</v>
      </c>
      <c r="H27" s="1276" t="s">
        <v>2897</v>
      </c>
      <c r="I27" s="1274" t="s">
        <v>2898</v>
      </c>
      <c r="J27" s="185" t="s">
        <v>43</v>
      </c>
      <c r="K27" s="1272"/>
      <c r="L27" s="1273">
        <f>1200+1400+2000+835+1500-16800</f>
        <v>-9865</v>
      </c>
      <c r="N27" s="336"/>
    </row>
    <row r="28" spans="1:14" s="1" customFormat="1" ht="99" customHeight="1">
      <c r="A28" s="359">
        <v>24</v>
      </c>
      <c r="B28" s="608"/>
      <c r="C28" s="1277"/>
      <c r="D28" s="109"/>
      <c r="E28" s="109"/>
      <c r="F28" s="102"/>
      <c r="G28" s="102" t="s">
        <v>927</v>
      </c>
      <c r="H28" s="670" t="s">
        <v>2899</v>
      </c>
      <c r="I28" s="102">
        <f>2250+2000+3000+1000+3000</f>
        <v>11250</v>
      </c>
      <c r="K28" s="804"/>
      <c r="N28" s="3"/>
    </row>
    <row r="29" spans="1:14" s="1" customFormat="1" ht="57.75" customHeight="1">
      <c r="A29" s="359">
        <v>25</v>
      </c>
      <c r="C29" s="1179"/>
      <c r="D29" s="271"/>
      <c r="E29" s="271"/>
      <c r="G29" s="1" t="s">
        <v>172</v>
      </c>
      <c r="H29" s="477" t="s">
        <v>2900</v>
      </c>
      <c r="K29" s="804"/>
      <c r="N29" s="3"/>
    </row>
    <row r="30" spans="1:14" s="1" customFormat="1" ht="33" customHeight="1">
      <c r="A30" s="359">
        <v>26</v>
      </c>
      <c r="C30" s="1179"/>
      <c r="D30" s="271"/>
      <c r="E30" s="271"/>
      <c r="H30" s="9" t="s">
        <v>2901</v>
      </c>
      <c r="K30" s="804"/>
      <c r="N30" s="3"/>
    </row>
    <row r="31" spans="1:14" s="1" customFormat="1">
      <c r="A31" s="359">
        <v>27</v>
      </c>
      <c r="C31" s="1179"/>
      <c r="D31" s="271"/>
      <c r="E31" s="271"/>
      <c r="H31" s="3683"/>
      <c r="K31" s="804"/>
      <c r="N31" s="3"/>
    </row>
    <row r="32" spans="1:14" s="1" customFormat="1">
      <c r="A32" s="359">
        <v>28</v>
      </c>
      <c r="C32" s="1179"/>
      <c r="D32" s="271"/>
      <c r="E32" s="271"/>
      <c r="H32" s="3683"/>
      <c r="K32" s="804"/>
      <c r="N32" s="3"/>
    </row>
    <row r="33" spans="1:14" s="1" customFormat="1">
      <c r="A33" s="359">
        <v>29</v>
      </c>
      <c r="C33" s="1179"/>
      <c r="D33" s="271"/>
      <c r="E33" s="271"/>
      <c r="H33" s="3683"/>
      <c r="K33" s="804"/>
      <c r="N33" s="3"/>
    </row>
    <row r="34" spans="1:14" s="1" customFormat="1">
      <c r="A34" s="359">
        <v>30</v>
      </c>
      <c r="C34" s="1179"/>
      <c r="D34" s="271"/>
      <c r="E34" s="271"/>
      <c r="H34" s="9"/>
      <c r="K34" s="804"/>
      <c r="N34" s="3"/>
    </row>
    <row r="35" spans="1:14" s="1" customFormat="1">
      <c r="A35" s="359">
        <v>31</v>
      </c>
      <c r="C35" s="1179"/>
      <c r="D35" s="271"/>
      <c r="E35" s="271"/>
      <c r="H35" s="9"/>
      <c r="K35" s="804"/>
      <c r="N35" s="3"/>
    </row>
    <row r="36" spans="1:14" s="1" customFormat="1">
      <c r="A36" s="359">
        <v>32</v>
      </c>
      <c r="C36" s="1179"/>
      <c r="D36" s="271"/>
      <c r="E36" s="271"/>
      <c r="H36" s="9"/>
      <c r="K36" s="804"/>
      <c r="N36" s="3"/>
    </row>
    <row r="37" spans="1:14" s="1" customFormat="1">
      <c r="A37" s="359">
        <v>33</v>
      </c>
      <c r="C37" s="1179"/>
      <c r="D37" s="271"/>
      <c r="E37" s="271"/>
      <c r="H37" s="9"/>
      <c r="K37" s="804"/>
      <c r="N37" s="3"/>
    </row>
    <row r="38" spans="1:14" s="1" customFormat="1">
      <c r="A38" s="359">
        <v>34</v>
      </c>
      <c r="C38" s="1179"/>
      <c r="D38" s="271"/>
      <c r="E38" s="271"/>
      <c r="H38" s="9"/>
      <c r="K38" s="804"/>
      <c r="N38" s="3"/>
    </row>
    <row r="39" spans="1:14" s="1" customFormat="1">
      <c r="A39" s="359">
        <v>35</v>
      </c>
      <c r="C39" s="1179"/>
      <c r="D39" s="271"/>
      <c r="E39" s="271"/>
      <c r="H39" s="9"/>
      <c r="K39" s="804"/>
      <c r="N39" s="3"/>
    </row>
    <row r="40" spans="1:14" s="1" customFormat="1">
      <c r="A40" s="359">
        <v>36</v>
      </c>
      <c r="C40" s="1179"/>
      <c r="D40" s="271"/>
      <c r="E40" s="271"/>
      <c r="H40" s="9"/>
      <c r="K40" s="804"/>
      <c r="N40" s="3"/>
    </row>
    <row r="41" spans="1:14" s="1" customFormat="1">
      <c r="A41" s="359">
        <v>37</v>
      </c>
      <c r="C41" s="1179"/>
      <c r="D41" s="271"/>
      <c r="E41" s="271"/>
      <c r="H41" s="9"/>
      <c r="K41" s="804"/>
      <c r="N41" s="3"/>
    </row>
    <row r="42" spans="1:14" s="1" customFormat="1">
      <c r="A42" s="359">
        <v>38</v>
      </c>
      <c r="C42" s="1179"/>
      <c r="D42" s="271"/>
      <c r="E42" s="271"/>
      <c r="H42" s="9"/>
      <c r="K42" s="804"/>
      <c r="N42" s="3"/>
    </row>
    <row r="43" spans="1:14" s="1" customFormat="1">
      <c r="A43" s="359">
        <v>39</v>
      </c>
      <c r="C43" s="1179"/>
      <c r="D43" s="271"/>
      <c r="E43" s="271"/>
      <c r="H43" s="9"/>
      <c r="K43" s="804"/>
      <c r="N43" s="3"/>
    </row>
    <row r="44" spans="1:14" s="1" customFormat="1">
      <c r="A44" s="359">
        <v>40</v>
      </c>
      <c r="C44" s="1179"/>
      <c r="D44" s="271"/>
      <c r="E44" s="271"/>
      <c r="H44" s="9"/>
      <c r="K44" s="804"/>
      <c r="N44" s="3"/>
    </row>
    <row r="45" spans="1:14" s="1" customFormat="1">
      <c r="A45" s="359">
        <v>41</v>
      </c>
      <c r="C45" s="1179"/>
      <c r="D45" s="271"/>
      <c r="E45" s="271"/>
      <c r="H45" s="9"/>
      <c r="K45" s="804"/>
      <c r="N45" s="3"/>
    </row>
    <row r="46" spans="1:14" s="1" customFormat="1">
      <c r="A46" s="359">
        <v>42</v>
      </c>
      <c r="C46" s="1179"/>
      <c r="D46" s="271"/>
      <c r="E46" s="271"/>
      <c r="H46" s="9"/>
      <c r="K46" s="804"/>
      <c r="N46" s="3"/>
    </row>
    <row r="47" spans="1:14" s="1" customFormat="1">
      <c r="A47" s="359">
        <v>43</v>
      </c>
      <c r="C47" s="1179"/>
      <c r="D47" s="271"/>
      <c r="E47" s="271"/>
      <c r="H47" s="9"/>
      <c r="K47" s="804"/>
      <c r="N47" s="3"/>
    </row>
    <row r="48" spans="1:14" s="1" customFormat="1">
      <c r="A48" s="359">
        <v>44</v>
      </c>
      <c r="C48" s="1179"/>
      <c r="D48" s="271"/>
      <c r="E48" s="271"/>
      <c r="H48" s="9"/>
      <c r="K48" s="804"/>
      <c r="N48" s="3"/>
    </row>
    <row r="49" spans="1:14" s="1" customFormat="1">
      <c r="A49" s="359">
        <v>45</v>
      </c>
      <c r="C49" s="1179"/>
      <c r="D49" s="271"/>
      <c r="E49" s="271"/>
      <c r="H49" s="9"/>
      <c r="K49" s="804"/>
      <c r="N49" s="3"/>
    </row>
    <row r="50" spans="1:14" s="1" customFormat="1">
      <c r="A50" s="359">
        <v>46</v>
      </c>
      <c r="C50" s="1179"/>
      <c r="D50" s="271"/>
      <c r="E50" s="271"/>
      <c r="H50" s="9"/>
      <c r="K50" s="804"/>
      <c r="N50" s="3"/>
    </row>
    <row r="51" spans="1:14" s="1" customFormat="1">
      <c r="A51" s="359">
        <v>47</v>
      </c>
      <c r="C51" s="1179"/>
      <c r="D51" s="271"/>
      <c r="E51" s="271"/>
      <c r="H51" s="9"/>
      <c r="K51" s="804"/>
      <c r="N51" s="3"/>
    </row>
    <row r="52" spans="1:14" s="1" customFormat="1">
      <c r="A52" s="359">
        <v>48</v>
      </c>
      <c r="C52" s="1179"/>
      <c r="D52" s="271"/>
      <c r="E52" s="271"/>
      <c r="H52" s="9"/>
      <c r="K52" s="804"/>
      <c r="N52" s="3"/>
    </row>
    <row r="53" spans="1:14" s="1" customFormat="1">
      <c r="A53" s="359">
        <v>49</v>
      </c>
      <c r="C53" s="1179"/>
      <c r="D53" s="271"/>
      <c r="E53" s="271"/>
      <c r="H53" s="9"/>
      <c r="K53" s="804"/>
      <c r="N53" s="3"/>
    </row>
    <row r="54" spans="1:14" s="1" customFormat="1">
      <c r="A54" s="359">
        <v>50</v>
      </c>
      <c r="C54" s="1179"/>
      <c r="D54" s="271"/>
      <c r="E54" s="271"/>
      <c r="H54" s="9"/>
      <c r="K54" s="804"/>
      <c r="N54" s="3"/>
    </row>
    <row r="55" spans="1:14" s="1" customFormat="1">
      <c r="A55" s="359">
        <v>51</v>
      </c>
      <c r="C55" s="1179"/>
      <c r="D55" s="271"/>
      <c r="E55" s="271"/>
      <c r="H55" s="9"/>
      <c r="K55" s="804"/>
      <c r="N55" s="3"/>
    </row>
    <row r="56" spans="1:14" s="1" customFormat="1">
      <c r="A56" s="359">
        <v>52</v>
      </c>
      <c r="C56" s="1179"/>
      <c r="D56" s="271"/>
      <c r="E56" s="271"/>
      <c r="H56" s="9"/>
      <c r="K56" s="804"/>
      <c r="N56" s="3"/>
    </row>
    <row r="57" spans="1:14" s="1" customFormat="1">
      <c r="A57" s="359">
        <v>53</v>
      </c>
      <c r="C57" s="1179"/>
      <c r="D57" s="271"/>
      <c r="E57" s="271"/>
      <c r="H57" s="9"/>
      <c r="K57" s="804"/>
      <c r="N57" s="3"/>
    </row>
    <row r="58" spans="1:14" s="1" customFormat="1">
      <c r="A58" s="359">
        <v>54</v>
      </c>
      <c r="C58" s="1179"/>
      <c r="D58" s="271"/>
      <c r="E58" s="271"/>
      <c r="H58" s="9"/>
      <c r="K58" s="804"/>
      <c r="N58" s="3"/>
    </row>
    <row r="59" spans="1:14" s="1" customFormat="1">
      <c r="A59" s="359">
        <v>55</v>
      </c>
      <c r="C59" s="1179"/>
      <c r="D59" s="271"/>
      <c r="E59" s="271"/>
      <c r="H59" s="9"/>
      <c r="K59" s="804"/>
      <c r="N59" s="3"/>
    </row>
    <row r="60" spans="1:14" s="1" customFormat="1">
      <c r="A60" s="359">
        <v>56</v>
      </c>
      <c r="C60" s="1179"/>
      <c r="D60" s="271"/>
      <c r="E60" s="271"/>
      <c r="H60" s="9"/>
      <c r="K60" s="804"/>
      <c r="N60" s="3"/>
    </row>
    <row r="61" spans="1:14" s="1" customFormat="1">
      <c r="A61" s="359">
        <v>57</v>
      </c>
      <c r="C61" s="1179"/>
      <c r="D61" s="271"/>
      <c r="E61" s="271"/>
      <c r="H61" s="9"/>
      <c r="K61" s="804"/>
      <c r="N61" s="3"/>
    </row>
    <row r="62" spans="1:14" s="1" customFormat="1">
      <c r="A62" s="359">
        <v>58</v>
      </c>
      <c r="C62" s="1179"/>
      <c r="D62" s="271"/>
      <c r="E62" s="271"/>
      <c r="H62" s="9"/>
      <c r="K62" s="804"/>
      <c r="N62" s="3"/>
    </row>
    <row r="63" spans="1:14" s="1" customFormat="1">
      <c r="A63" s="359">
        <v>59</v>
      </c>
      <c r="C63" s="1179"/>
      <c r="D63" s="271"/>
      <c r="E63" s="271"/>
      <c r="H63" s="9"/>
      <c r="K63" s="804"/>
      <c r="N63" s="3"/>
    </row>
    <row r="64" spans="1:14" s="1" customFormat="1">
      <c r="A64" s="359">
        <v>60</v>
      </c>
      <c r="C64" s="1179"/>
      <c r="D64" s="271"/>
      <c r="E64" s="271"/>
      <c r="H64" s="9"/>
      <c r="K64" s="804"/>
      <c r="N64" s="3"/>
    </row>
  </sheetData>
  <autoFilter ref="A4:O72" xr:uid="{00000000-0009-0000-0000-000001000000}"/>
  <mergeCells count="4">
    <mergeCell ref="C1:I1"/>
    <mergeCell ref="A2:I2"/>
    <mergeCell ref="I3:J3"/>
    <mergeCell ref="H31:H33"/>
  </mergeCells>
  <conditionalFormatting sqref="A1:A3">
    <cfRule type="duplicateValues" dxfId="483" priority="10"/>
  </conditionalFormatting>
  <conditionalFormatting sqref="A4">
    <cfRule type="duplicateValues" dxfId="482" priority="6"/>
  </conditionalFormatting>
  <conditionalFormatting sqref="B3">
    <cfRule type="duplicateValues" dxfId="481" priority="7"/>
    <cfRule type="duplicateValues" dxfId="480" priority="8"/>
    <cfRule type="duplicateValues" dxfId="479" priority="9"/>
  </conditionalFormatting>
  <conditionalFormatting sqref="B4">
    <cfRule type="duplicateValues" dxfId="478" priority="3"/>
    <cfRule type="duplicateValues" dxfId="477" priority="4"/>
    <cfRule type="duplicateValues" dxfId="476" priority="5"/>
  </conditionalFormatting>
  <pageMargins left="0.7" right="0.7" top="0.75" bottom="0.75" header="0.3" footer="0.3"/>
  <pageSetup paperSize="9" scale="58" orientation="landscape"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D637AF-9772-4590-9EE5-EDF4C0CAADA6}">
  <sheetPr>
    <tabColor theme="2"/>
    <pageSetUpPr fitToPage="1"/>
  </sheetPr>
  <dimension ref="A1:N34"/>
  <sheetViews>
    <sheetView topLeftCell="A2" zoomScale="70" zoomScaleNormal="70" workbookViewId="0">
      <pane xSplit="3" ySplit="4" topLeftCell="D11" activePane="bottomRight" state="frozen"/>
      <selection pane="topRight"/>
      <selection pane="bottomLeft"/>
      <selection pane="bottomRight"/>
    </sheetView>
  </sheetViews>
  <sheetFormatPr defaultColWidth="25.5703125" defaultRowHeight="18.75"/>
  <cols>
    <col min="1" max="1" width="10" style="359" customWidth="1"/>
    <col min="2" max="2" width="35.42578125" style="1" customWidth="1"/>
    <col min="3" max="3" width="15.85546875" style="1138" customWidth="1"/>
    <col min="4" max="4" width="28" style="271" customWidth="1"/>
    <col min="5" max="5" width="21.42578125" style="1" customWidth="1"/>
    <col min="6" max="6" width="17.42578125" style="271" customWidth="1"/>
    <col min="7" max="7" width="17.28515625" style="271" customWidth="1"/>
    <col min="8" max="8" width="16.42578125" style="1" customWidth="1"/>
    <col min="9" max="9" width="23.42578125" style="1" customWidth="1"/>
    <col min="10" max="10" width="107.140625" style="9" customWidth="1"/>
    <col min="11" max="11" width="85.42578125" style="9" customWidth="1"/>
    <col min="12" max="12" width="25.85546875" style="1" customWidth="1"/>
    <col min="13" max="13" width="18.85546875" style="9" customWidth="1"/>
    <col min="14" max="14" width="12.42578125" style="3" hidden="1" customWidth="1"/>
    <col min="15" max="15" width="34.5703125" style="3" customWidth="1"/>
    <col min="16" max="16384" width="25.5703125" style="3"/>
  </cols>
  <sheetData>
    <row r="1" spans="1:14" ht="17.25" customHeight="1">
      <c r="B1" s="10"/>
      <c r="C1" s="3624"/>
      <c r="D1" s="3624"/>
      <c r="E1" s="3624"/>
      <c r="F1" s="3624"/>
      <c r="G1" s="3624"/>
      <c r="H1" s="3624"/>
      <c r="I1" s="3624"/>
      <c r="J1" s="3624"/>
      <c r="K1" s="3624"/>
      <c r="M1" s="1487"/>
    </row>
    <row r="2" spans="1:14" ht="34.5" customHeight="1">
      <c r="A2" s="3630" t="s">
        <v>2902</v>
      </c>
      <c r="B2" s="3630"/>
      <c r="C2" s="3630"/>
      <c r="D2" s="3630"/>
      <c r="E2" s="3630"/>
      <c r="F2" s="3630"/>
      <c r="G2" s="3630"/>
      <c r="H2" s="3630"/>
      <c r="I2" s="3630"/>
      <c r="J2" s="3630"/>
      <c r="K2" s="3630"/>
      <c r="L2" s="3630"/>
      <c r="M2" s="3630"/>
      <c r="N2" s="287"/>
    </row>
    <row r="3" spans="1:14" ht="57" customHeight="1">
      <c r="A3" s="1536"/>
      <c r="B3" s="3684" t="s">
        <v>2903</v>
      </c>
      <c r="C3" s="3685"/>
      <c r="D3" s="3685"/>
      <c r="E3" s="3685"/>
      <c r="F3" s="3685"/>
      <c r="G3" s="3685"/>
      <c r="H3" s="3685"/>
      <c r="I3" s="3685"/>
      <c r="J3" s="3685"/>
      <c r="K3" s="3685"/>
      <c r="L3" s="3685"/>
      <c r="M3" s="3686"/>
      <c r="N3" s="287"/>
    </row>
    <row r="4" spans="1:14" ht="35.25" customHeight="1">
      <c r="A4" s="3629"/>
      <c r="B4" s="3629"/>
      <c r="C4" s="1502">
        <f>SUBTOTAL(9,C6:C1013)</f>
        <v>245395</v>
      </c>
      <c r="D4" s="1503"/>
      <c r="E4" s="1504"/>
      <c r="F4" s="1503"/>
      <c r="G4" s="1503"/>
      <c r="H4" s="1503"/>
      <c r="I4" s="1503"/>
      <c r="J4" s="1504">
        <f ca="1">TODAY()</f>
        <v>45960</v>
      </c>
      <c r="L4" s="1504"/>
      <c r="M4" s="1504"/>
      <c r="N4" s="287"/>
    </row>
    <row r="5" spans="1:14" s="1535" customFormat="1" ht="56.25" customHeight="1">
      <c r="A5" s="361" t="s">
        <v>1</v>
      </c>
      <c r="B5" s="204" t="s">
        <v>2</v>
      </c>
      <c r="C5" s="1432" t="s">
        <v>3</v>
      </c>
      <c r="D5" s="204" t="s">
        <v>4</v>
      </c>
      <c r="E5" s="204" t="s">
        <v>5</v>
      </c>
      <c r="F5" s="204" t="s">
        <v>6</v>
      </c>
      <c r="G5" s="204" t="s">
        <v>221</v>
      </c>
      <c r="H5" s="204" t="s">
        <v>8</v>
      </c>
      <c r="I5" s="204" t="s">
        <v>9</v>
      </c>
      <c r="J5" s="204" t="s">
        <v>10</v>
      </c>
      <c r="K5" s="204" t="s">
        <v>11</v>
      </c>
      <c r="L5" s="204" t="s">
        <v>12</v>
      </c>
      <c r="M5" s="204" t="s">
        <v>13</v>
      </c>
      <c r="N5" s="1534" t="e">
        <f>SUM(#REF!)</f>
        <v>#REF!</v>
      </c>
    </row>
    <row r="6" spans="1:14" s="1548" customFormat="1" ht="99" customHeight="1">
      <c r="A6" s="1553" t="e" cm="1">
        <f t="array" aca="1" ref="A6" ca="1">_xlfn.SEQUENCE(30,1,1)</f>
        <v>#NAME?</v>
      </c>
      <c r="B6" s="1554" t="s">
        <v>211</v>
      </c>
      <c r="C6" s="1555">
        <v>3950</v>
      </c>
      <c r="D6" s="1554" t="s">
        <v>2904</v>
      </c>
      <c r="E6" s="1556" t="s">
        <v>61</v>
      </c>
      <c r="F6" s="1538" t="s">
        <v>18</v>
      </c>
      <c r="G6" s="1557"/>
      <c r="H6" s="1462" t="s">
        <v>19</v>
      </c>
      <c r="I6" s="1543" t="s">
        <v>45</v>
      </c>
      <c r="J6" s="1546" t="s">
        <v>2905</v>
      </c>
      <c r="K6" s="1558">
        <f>C6-2000-1100-700</f>
        <v>150</v>
      </c>
      <c r="L6" s="1545"/>
      <c r="M6" s="1558"/>
      <c r="N6" s="1559"/>
    </row>
    <row r="7" spans="1:14" s="1564" customFormat="1" ht="78" customHeight="1">
      <c r="A7" s="1565"/>
      <c r="B7" s="1495" t="s">
        <v>2906</v>
      </c>
      <c r="C7" s="1494">
        <v>3500</v>
      </c>
      <c r="D7" s="1560" t="s">
        <v>2907</v>
      </c>
      <c r="E7" s="1561" t="s">
        <v>84</v>
      </c>
      <c r="F7" s="1562" t="s">
        <v>18</v>
      </c>
      <c r="G7" s="1563"/>
      <c r="H7" s="1493" t="s">
        <v>19</v>
      </c>
      <c r="I7" s="1495" t="s">
        <v>240</v>
      </c>
      <c r="J7" s="1496" t="s">
        <v>2908</v>
      </c>
      <c r="K7" s="1498"/>
      <c r="L7" s="1493"/>
      <c r="M7" s="1498"/>
      <c r="N7" s="1548"/>
    </row>
    <row r="8" spans="1:14" s="1564" customFormat="1" ht="78" customHeight="1">
      <c r="A8" s="1565"/>
      <c r="B8" s="1495" t="s">
        <v>117</v>
      </c>
      <c r="C8" s="1494">
        <v>3950</v>
      </c>
      <c r="D8" s="1560" t="s">
        <v>2909</v>
      </c>
      <c r="E8" s="1561" t="s">
        <v>84</v>
      </c>
      <c r="F8" s="1562" t="s">
        <v>18</v>
      </c>
      <c r="G8" s="1563"/>
      <c r="H8" s="1493" t="s">
        <v>19</v>
      </c>
      <c r="I8" s="1495" t="s">
        <v>2910</v>
      </c>
      <c r="J8" s="1496" t="s">
        <v>2911</v>
      </c>
      <c r="K8" s="1498"/>
      <c r="L8" s="1493"/>
      <c r="M8" s="1498"/>
      <c r="N8" s="1548"/>
    </row>
    <row r="9" spans="1:14" s="1564" customFormat="1" ht="78" customHeight="1">
      <c r="A9" s="1542"/>
      <c r="B9" s="1568" t="s">
        <v>2912</v>
      </c>
      <c r="C9" s="1494">
        <v>4000</v>
      </c>
      <c r="D9" s="1560" t="s">
        <v>2913</v>
      </c>
      <c r="E9" s="1561" t="s">
        <v>61</v>
      </c>
      <c r="F9" s="1562" t="s">
        <v>18</v>
      </c>
      <c r="G9" s="1563"/>
      <c r="H9" s="1493" t="s">
        <v>19</v>
      </c>
      <c r="I9" s="1495" t="s">
        <v>101</v>
      </c>
      <c r="J9" s="1496" t="s">
        <v>2914</v>
      </c>
      <c r="K9" s="1498"/>
      <c r="L9" s="1493"/>
      <c r="M9" s="1498"/>
      <c r="N9" s="1548"/>
    </row>
    <row r="10" spans="1:14" s="139" customFormat="1" ht="92.25" customHeight="1">
      <c r="A10" s="1569"/>
      <c r="B10" s="1570" t="s">
        <v>2915</v>
      </c>
      <c r="C10" s="1571">
        <v>3290</v>
      </c>
      <c r="D10" s="1572" t="s">
        <v>2916</v>
      </c>
      <c r="E10" s="1573" t="s">
        <v>61</v>
      </c>
      <c r="F10" s="1574" t="s">
        <v>18</v>
      </c>
      <c r="G10" s="1575"/>
      <c r="H10" s="1576" t="s">
        <v>19</v>
      </c>
      <c r="I10" s="1572" t="s">
        <v>63</v>
      </c>
      <c r="J10" s="1615" t="s">
        <v>2917</v>
      </c>
      <c r="K10" s="1577">
        <f>3100-1400-1200</f>
        <v>500</v>
      </c>
      <c r="L10" s="1519"/>
      <c r="M10" s="1552"/>
    </row>
    <row r="11" spans="1:14" s="139" customFormat="1" ht="164.25" customHeight="1">
      <c r="A11" s="1569"/>
      <c r="B11" s="1570" t="s">
        <v>2918</v>
      </c>
      <c r="C11" s="1571">
        <v>7300</v>
      </c>
      <c r="D11" s="1572" t="s">
        <v>2919</v>
      </c>
      <c r="E11" s="1573" t="s">
        <v>54</v>
      </c>
      <c r="F11" s="1574" t="s">
        <v>18</v>
      </c>
      <c r="G11" s="1575"/>
      <c r="H11" s="1576" t="s">
        <v>19</v>
      </c>
      <c r="I11" s="1572" t="s">
        <v>63</v>
      </c>
      <c r="J11" s="1615" t="s">
        <v>2920</v>
      </c>
      <c r="K11" s="1578"/>
      <c r="L11" s="1519"/>
      <c r="M11" s="1552"/>
    </row>
    <row r="12" spans="1:14" s="139" customFormat="1" ht="121.5" customHeight="1">
      <c r="A12" s="1579"/>
      <c r="B12" s="682" t="s">
        <v>2921</v>
      </c>
      <c r="C12" s="1580">
        <v>6000</v>
      </c>
      <c r="D12" s="1581" t="s">
        <v>2922</v>
      </c>
      <c r="E12" s="682" t="s">
        <v>43</v>
      </c>
      <c r="F12" s="1574" t="s">
        <v>18</v>
      </c>
      <c r="G12" s="1582"/>
      <c r="H12" s="682" t="s">
        <v>19</v>
      </c>
      <c r="I12" s="1445" t="s">
        <v>240</v>
      </c>
      <c r="J12" s="1586" t="s">
        <v>2923</v>
      </c>
      <c r="K12" s="1583"/>
      <c r="L12" s="439"/>
      <c r="M12" s="1566"/>
      <c r="N12" s="1567"/>
    </row>
    <row r="13" spans="1:14" s="841" customFormat="1" ht="87" customHeight="1">
      <c r="A13" s="673"/>
      <c r="B13" s="682" t="s">
        <v>2924</v>
      </c>
      <c r="C13" s="1580">
        <v>12000</v>
      </c>
      <c r="D13" s="1445" t="s">
        <v>2925</v>
      </c>
      <c r="E13" s="682" t="s">
        <v>25</v>
      </c>
      <c r="F13" s="1584" t="s">
        <v>18</v>
      </c>
      <c r="G13" s="1585"/>
      <c r="H13" s="682" t="s">
        <v>19</v>
      </c>
      <c r="I13" s="1445" t="s">
        <v>286</v>
      </c>
      <c r="J13" s="1586" t="s">
        <v>2926</v>
      </c>
      <c r="K13" s="1583"/>
      <c r="L13" s="682"/>
      <c r="M13" s="1587"/>
      <c r="N13" s="1588"/>
    </row>
    <row r="14" spans="1:14" s="841" customFormat="1" ht="150.75" customHeight="1">
      <c r="A14" s="673"/>
      <c r="B14" s="1589" t="s">
        <v>2927</v>
      </c>
      <c r="C14" s="1580">
        <v>12300</v>
      </c>
      <c r="D14" s="1581" t="s">
        <v>2928</v>
      </c>
      <c r="E14" s="682" t="s">
        <v>43</v>
      </c>
      <c r="F14" s="1584" t="s">
        <v>18</v>
      </c>
      <c r="G14" s="1582"/>
      <c r="H14" s="682" t="s">
        <v>19</v>
      </c>
      <c r="I14" s="1445" t="s">
        <v>172</v>
      </c>
      <c r="J14" s="1616" t="s">
        <v>2929</v>
      </c>
      <c r="K14" s="1583"/>
      <c r="L14" s="682"/>
      <c r="M14" s="1587"/>
      <c r="N14" s="1588"/>
    </row>
    <row r="15" spans="1:14" s="929" customFormat="1" ht="50.25" customHeight="1">
      <c r="A15" s="1590"/>
      <c r="B15" s="1591" t="s">
        <v>2930</v>
      </c>
      <c r="C15" s="1592">
        <v>35000</v>
      </c>
      <c r="D15" s="1593" t="s">
        <v>2931</v>
      </c>
      <c r="E15" s="1591" t="s">
        <v>2932</v>
      </c>
      <c r="F15" s="1594" t="s">
        <v>18</v>
      </c>
      <c r="G15" s="1582"/>
      <c r="H15" s="1591" t="s">
        <v>19</v>
      </c>
      <c r="I15" s="1593" t="s">
        <v>2933</v>
      </c>
      <c r="J15" s="1586" t="s">
        <v>2934</v>
      </c>
      <c r="K15" s="1595"/>
      <c r="L15" s="1591"/>
      <c r="M15" s="1596"/>
      <c r="N15" s="1597"/>
    </row>
    <row r="16" spans="1:14" s="1467" customFormat="1" ht="60.75" customHeight="1">
      <c r="A16" s="1553"/>
      <c r="B16" s="1493" t="s">
        <v>2935</v>
      </c>
      <c r="C16" s="1494">
        <v>8000</v>
      </c>
      <c r="D16" s="1495" t="s">
        <v>2936</v>
      </c>
      <c r="E16" s="1493" t="s">
        <v>2260</v>
      </c>
      <c r="F16" s="1598" t="s">
        <v>18</v>
      </c>
      <c r="G16" s="1599" t="s">
        <v>2937</v>
      </c>
      <c r="H16" s="1493" t="s">
        <v>19</v>
      </c>
      <c r="I16" s="1495" t="s">
        <v>2938</v>
      </c>
      <c r="J16" s="1496" t="s">
        <v>2939</v>
      </c>
      <c r="K16" s="1600" t="s">
        <v>2940</v>
      </c>
      <c r="L16" s="1493"/>
      <c r="M16" s="1498"/>
      <c r="N16" s="1548"/>
    </row>
    <row r="17" spans="1:14" s="139" customFormat="1" ht="66" customHeight="1">
      <c r="A17" s="1553"/>
      <c r="B17" s="1601" t="s">
        <v>59</v>
      </c>
      <c r="C17" s="1602">
        <v>3200</v>
      </c>
      <c r="D17" s="1603" t="s">
        <v>2941</v>
      </c>
      <c r="E17" s="1545" t="s">
        <v>89</v>
      </c>
      <c r="F17" s="1598" t="s">
        <v>18</v>
      </c>
      <c r="G17" s="1604" t="s">
        <v>2942</v>
      </c>
      <c r="H17" s="1545" t="s">
        <v>19</v>
      </c>
      <c r="I17" s="1543" t="s">
        <v>123</v>
      </c>
      <c r="J17" s="1546" t="s">
        <v>2943</v>
      </c>
      <c r="K17" s="1605"/>
      <c r="L17" s="1493"/>
      <c r="M17" s="1498"/>
      <c r="N17" s="1567"/>
    </row>
    <row r="18" spans="1:14" s="841" customFormat="1" ht="146.25" customHeight="1">
      <c r="A18" s="1299"/>
      <c r="B18" s="685" t="s">
        <v>140</v>
      </c>
      <c r="C18" s="1606">
        <v>16300</v>
      </c>
      <c r="D18" s="1581" t="s">
        <v>2944</v>
      </c>
      <c r="E18" s="682" t="s">
        <v>43</v>
      </c>
      <c r="F18" s="1607" t="s">
        <v>18</v>
      </c>
      <c r="G18" s="1511" t="s">
        <v>2945</v>
      </c>
      <c r="H18" s="682" t="s">
        <v>19</v>
      </c>
      <c r="I18" s="1608" t="s">
        <v>45</v>
      </c>
      <c r="J18" s="1617" t="s">
        <v>2946</v>
      </c>
      <c r="K18" s="1609">
        <f>16300-8000-1000</f>
        <v>7300</v>
      </c>
      <c r="L18" s="682"/>
      <c r="M18" s="1587"/>
      <c r="N18" s="1588"/>
    </row>
    <row r="19" spans="1:14" s="841" customFormat="1" ht="60.75" customHeight="1">
      <c r="A19" s="1299"/>
      <c r="B19" s="1610" t="s">
        <v>2947</v>
      </c>
      <c r="C19" s="1301">
        <v>1500</v>
      </c>
      <c r="D19" s="1611" t="s">
        <v>2948</v>
      </c>
      <c r="E19" s="1300" t="s">
        <v>25</v>
      </c>
      <c r="F19" s="1607" t="s">
        <v>18</v>
      </c>
      <c r="G19" s="1511" t="s">
        <v>2945</v>
      </c>
      <c r="H19" s="1300" t="s">
        <v>19</v>
      </c>
      <c r="I19" s="1302" t="s">
        <v>2949</v>
      </c>
      <c r="J19" s="1612" t="s">
        <v>2950</v>
      </c>
      <c r="K19" s="1441"/>
      <c r="L19" s="682"/>
      <c r="M19" s="1587"/>
      <c r="N19" s="1588"/>
    </row>
    <row r="20" spans="1:14" s="841" customFormat="1" ht="68.25" customHeight="1">
      <c r="A20" s="1613"/>
      <c r="B20" s="682" t="s">
        <v>2915</v>
      </c>
      <c r="C20" s="1580">
        <v>3300</v>
      </c>
      <c r="D20" s="1445" t="s">
        <v>2951</v>
      </c>
      <c r="E20" s="682" t="s">
        <v>61</v>
      </c>
      <c r="F20" s="1511" t="s">
        <v>18</v>
      </c>
      <c r="G20" s="1594"/>
      <c r="H20" s="682" t="s">
        <v>19</v>
      </c>
      <c r="I20" s="1445" t="s">
        <v>172</v>
      </c>
      <c r="J20" s="1586" t="s">
        <v>2952</v>
      </c>
      <c r="K20" s="1614"/>
      <c r="L20" s="682"/>
      <c r="M20" s="1587"/>
      <c r="N20" s="1588"/>
    </row>
    <row r="21" spans="1:14" s="841" customFormat="1" ht="84" customHeight="1">
      <c r="A21" s="1613"/>
      <c r="B21" s="682" t="s">
        <v>2921</v>
      </c>
      <c r="C21" s="1580">
        <v>6000</v>
      </c>
      <c r="D21" s="1445" t="s">
        <v>2953</v>
      </c>
      <c r="E21" s="682" t="s">
        <v>16</v>
      </c>
      <c r="F21" s="1511" t="s">
        <v>18</v>
      </c>
      <c r="G21" s="1594"/>
      <c r="H21" s="682" t="s">
        <v>19</v>
      </c>
      <c r="I21" s="1445" t="s">
        <v>20</v>
      </c>
      <c r="J21" s="1586" t="s">
        <v>2954</v>
      </c>
      <c r="K21" s="1614"/>
      <c r="L21" s="682"/>
      <c r="M21" s="1587"/>
      <c r="N21" s="1588"/>
    </row>
    <row r="22" spans="1:14" s="841" customFormat="1" ht="60.75" customHeight="1">
      <c r="A22" s="1613"/>
      <c r="B22" s="682" t="s">
        <v>82</v>
      </c>
      <c r="C22" s="1580">
        <v>4250</v>
      </c>
      <c r="D22" s="1445" t="s">
        <v>2955</v>
      </c>
      <c r="E22" s="682" t="s">
        <v>84</v>
      </c>
      <c r="F22" s="1511" t="s">
        <v>18</v>
      </c>
      <c r="G22" s="1594"/>
      <c r="H22" s="682" t="s">
        <v>19</v>
      </c>
      <c r="I22" s="1445" t="s">
        <v>2956</v>
      </c>
      <c r="J22" s="1586" t="s">
        <v>2957</v>
      </c>
      <c r="K22" s="1614"/>
      <c r="L22" s="682"/>
      <c r="M22" s="1587"/>
      <c r="N22" s="1588"/>
    </row>
    <row r="23" spans="1:14" s="841" customFormat="1" ht="54.75" customHeight="1">
      <c r="A23" s="1613"/>
      <c r="B23" s="682" t="s">
        <v>52</v>
      </c>
      <c r="C23" s="1580">
        <v>4650</v>
      </c>
      <c r="D23" s="1445" t="s">
        <v>2958</v>
      </c>
      <c r="E23" s="682" t="s">
        <v>54</v>
      </c>
      <c r="F23" s="1511" t="s">
        <v>18</v>
      </c>
      <c r="G23" s="1594"/>
      <c r="H23" s="682" t="s">
        <v>19</v>
      </c>
      <c r="I23" s="1445" t="s">
        <v>74</v>
      </c>
      <c r="J23" s="1586" t="s">
        <v>2959</v>
      </c>
      <c r="K23" s="1614"/>
      <c r="L23" s="682"/>
      <c r="M23" s="1587"/>
      <c r="N23" s="1588"/>
    </row>
    <row r="24" spans="1:14" s="841" customFormat="1" ht="64.5" customHeight="1">
      <c r="A24" s="1613"/>
      <c r="B24" s="682" t="s">
        <v>93</v>
      </c>
      <c r="C24" s="1580">
        <v>2900</v>
      </c>
      <c r="D24" s="1445" t="s">
        <v>2960</v>
      </c>
      <c r="E24" s="682" t="s">
        <v>84</v>
      </c>
      <c r="F24" s="1511" t="s">
        <v>18</v>
      </c>
      <c r="G24" s="1594"/>
      <c r="H24" s="682" t="s">
        <v>19</v>
      </c>
      <c r="I24" s="1445" t="s">
        <v>240</v>
      </c>
      <c r="J24" s="1586" t="s">
        <v>2961</v>
      </c>
      <c r="K24" s="1614"/>
      <c r="L24" s="682"/>
      <c r="M24" s="1587"/>
      <c r="N24" s="1588"/>
    </row>
    <row r="25" spans="1:14" s="1467" customFormat="1" ht="60.75" customHeight="1">
      <c r="A25" s="1565"/>
      <c r="B25" s="1493" t="s">
        <v>2962</v>
      </c>
      <c r="C25" s="1494">
        <v>8000</v>
      </c>
      <c r="D25" s="1624" t="s">
        <v>2963</v>
      </c>
      <c r="E25" s="1493" t="s">
        <v>2260</v>
      </c>
      <c r="F25" s="1513" t="s">
        <v>18</v>
      </c>
      <c r="G25" s="1625"/>
      <c r="H25" s="1626" t="s">
        <v>19</v>
      </c>
      <c r="I25" s="1495" t="s">
        <v>2938</v>
      </c>
      <c r="J25" s="1496" t="s">
        <v>2964</v>
      </c>
      <c r="K25" s="1547" t="s">
        <v>2965</v>
      </c>
      <c r="L25" s="1493"/>
      <c r="M25" s="1498"/>
      <c r="N25" s="1548"/>
    </row>
    <row r="26" spans="1:14" s="1467" customFormat="1" ht="101.25" customHeight="1">
      <c r="A26" s="1542"/>
      <c r="B26" s="1493" t="s">
        <v>150</v>
      </c>
      <c r="C26" s="1494">
        <v>8375</v>
      </c>
      <c r="D26" s="1624" t="s">
        <v>2966</v>
      </c>
      <c r="E26" s="1495" t="s">
        <v>2967</v>
      </c>
      <c r="F26" s="1513" t="s">
        <v>18</v>
      </c>
      <c r="G26" s="1627"/>
      <c r="H26" s="1493" t="s">
        <v>19</v>
      </c>
      <c r="I26" s="1495" t="s">
        <v>172</v>
      </c>
      <c r="J26" s="1628" t="s">
        <v>2968</v>
      </c>
      <c r="K26" s="1547"/>
      <c r="L26" s="1493"/>
      <c r="M26" s="1498"/>
      <c r="N26" s="1548"/>
    </row>
    <row r="27" spans="1:14" s="1467" customFormat="1" ht="101.25" customHeight="1">
      <c r="A27" s="1542"/>
      <c r="B27" s="1493" t="s">
        <v>71</v>
      </c>
      <c r="C27" s="1494">
        <v>3650</v>
      </c>
      <c r="D27" s="1624" t="s">
        <v>2969</v>
      </c>
      <c r="E27" s="1495" t="s">
        <v>54</v>
      </c>
      <c r="F27" s="1513" t="s">
        <v>18</v>
      </c>
      <c r="G27" s="1627"/>
      <c r="H27" s="1493" t="s">
        <v>19</v>
      </c>
      <c r="I27" s="1495" t="s">
        <v>172</v>
      </c>
      <c r="J27" s="1628" t="s">
        <v>2970</v>
      </c>
      <c r="K27" s="1547"/>
      <c r="L27" s="1493"/>
      <c r="M27" s="1498"/>
      <c r="N27" s="1548"/>
    </row>
    <row r="28" spans="1:14" s="1467" customFormat="1" ht="66.75" customHeight="1">
      <c r="A28" s="1542"/>
      <c r="B28" s="1726" t="s">
        <v>2971</v>
      </c>
      <c r="C28" s="1631">
        <v>35000</v>
      </c>
      <c r="D28" s="1632" t="s">
        <v>2972</v>
      </c>
      <c r="E28" s="1630" t="s">
        <v>2932</v>
      </c>
      <c r="F28" s="1513" t="s">
        <v>18</v>
      </c>
      <c r="G28" s="1599"/>
      <c r="H28" s="1493" t="s">
        <v>19</v>
      </c>
      <c r="I28" s="1495" t="s">
        <v>2933</v>
      </c>
      <c r="J28" s="1496" t="s">
        <v>2973</v>
      </c>
      <c r="K28" s="1547" t="s">
        <v>2974</v>
      </c>
      <c r="L28" s="1493"/>
      <c r="M28" s="1498"/>
      <c r="N28" s="1548"/>
    </row>
    <row r="29" spans="1:14" s="1467" customFormat="1" ht="132" customHeight="1">
      <c r="A29" s="1667"/>
      <c r="B29" s="1493" t="s">
        <v>2975</v>
      </c>
      <c r="C29" s="1668">
        <v>8350</v>
      </c>
      <c r="D29" s="1624" t="s">
        <v>2976</v>
      </c>
      <c r="E29" s="1493" t="s">
        <v>25</v>
      </c>
      <c r="F29" s="1513" t="s">
        <v>18</v>
      </c>
      <c r="G29" s="1627"/>
      <c r="H29" s="1493" t="s">
        <v>19</v>
      </c>
      <c r="I29" s="1495" t="s">
        <v>40</v>
      </c>
      <c r="J29" s="1633" t="s">
        <v>2977</v>
      </c>
      <c r="K29" s="1547" t="s">
        <v>2978</v>
      </c>
      <c r="L29" s="1493"/>
      <c r="M29" s="1498"/>
      <c r="N29" s="1548"/>
    </row>
    <row r="30" spans="1:14" s="1467" customFormat="1" ht="138.75" customHeight="1">
      <c r="A30" s="1542"/>
      <c r="B30" s="1630" t="s">
        <v>2921</v>
      </c>
      <c r="C30" s="1494">
        <v>6000</v>
      </c>
      <c r="D30" s="1624" t="s">
        <v>2979</v>
      </c>
      <c r="E30" s="1493" t="s">
        <v>43</v>
      </c>
      <c r="F30" s="1513" t="s">
        <v>18</v>
      </c>
      <c r="G30" s="1627"/>
      <c r="H30" s="1493" t="s">
        <v>19</v>
      </c>
      <c r="I30" s="1495" t="s">
        <v>2980</v>
      </c>
      <c r="J30" s="1634" t="s">
        <v>2981</v>
      </c>
      <c r="K30" s="1547">
        <f>C30-2400-1000-1300-200-360-990</f>
        <v>-250</v>
      </c>
      <c r="L30" s="1493"/>
      <c r="M30" s="1498"/>
      <c r="N30" s="1548"/>
    </row>
    <row r="31" spans="1:14" s="1588" customFormat="1" ht="78" customHeight="1">
      <c r="A31" s="1569"/>
      <c r="B31" s="1593" t="s">
        <v>2982</v>
      </c>
      <c r="C31" s="1580">
        <v>3080</v>
      </c>
      <c r="D31" s="1445" t="s">
        <v>2983</v>
      </c>
      <c r="E31" s="682" t="s">
        <v>89</v>
      </c>
      <c r="F31" s="1637" t="s">
        <v>18</v>
      </c>
      <c r="G31" s="1440"/>
      <c r="H31" s="1300" t="s">
        <v>19</v>
      </c>
      <c r="I31" s="682" t="s">
        <v>172</v>
      </c>
      <c r="J31" s="1586" t="s">
        <v>2984</v>
      </c>
      <c r="K31" s="1583"/>
      <c r="L31" s="682"/>
      <c r="M31" s="1583"/>
    </row>
    <row r="32" spans="1:14" s="139" customFormat="1" ht="204" customHeight="1">
      <c r="A32" s="478"/>
      <c r="B32" s="1638" t="s">
        <v>140</v>
      </c>
      <c r="C32" s="1639">
        <v>16300</v>
      </c>
      <c r="D32" s="1640" t="s">
        <v>2985</v>
      </c>
      <c r="E32" s="1638" t="s">
        <v>43</v>
      </c>
      <c r="F32" s="1640" t="s">
        <v>2986</v>
      </c>
      <c r="G32" s="1641"/>
      <c r="H32" s="1638" t="s">
        <v>19</v>
      </c>
      <c r="I32" s="1642" t="s">
        <v>45</v>
      </c>
      <c r="J32" s="1643" t="s">
        <v>2987</v>
      </c>
      <c r="K32" s="1644" t="s">
        <v>2988</v>
      </c>
      <c r="L32" s="1638"/>
      <c r="M32" s="1645"/>
    </row>
    <row r="33" spans="1:13" s="1588" customFormat="1" ht="169.5" customHeight="1">
      <c r="A33" s="681"/>
      <c r="B33" s="1593" t="s">
        <v>2927</v>
      </c>
      <c r="C33" s="1580">
        <v>12300</v>
      </c>
      <c r="D33" s="1445" t="s">
        <v>2989</v>
      </c>
      <c r="E33" s="682" t="s">
        <v>43</v>
      </c>
      <c r="F33" s="1637" t="s">
        <v>18</v>
      </c>
      <c r="G33" s="1637"/>
      <c r="H33" s="682" t="s">
        <v>19</v>
      </c>
      <c r="I33" s="682" t="s">
        <v>240</v>
      </c>
      <c r="J33" s="684" t="s">
        <v>2990</v>
      </c>
      <c r="L33" s="682"/>
      <c r="M33" s="1583"/>
    </row>
    <row r="34" spans="1:13" s="1588" customFormat="1" ht="77.25" customHeight="1">
      <c r="A34" s="1593">
        <v>31</v>
      </c>
      <c r="B34" s="1593" t="s">
        <v>93</v>
      </c>
      <c r="C34" s="1593">
        <v>2950</v>
      </c>
      <c r="D34" s="1593" t="s">
        <v>2991</v>
      </c>
      <c r="E34" s="1593" t="s">
        <v>84</v>
      </c>
      <c r="F34" s="1637" t="s">
        <v>18</v>
      </c>
      <c r="G34" s="1593"/>
      <c r="H34" s="1593" t="s">
        <v>19</v>
      </c>
      <c r="I34" s="1593" t="s">
        <v>227</v>
      </c>
      <c r="J34" s="1586" t="s">
        <v>2992</v>
      </c>
      <c r="K34" s="1593" t="s">
        <v>2993</v>
      </c>
      <c r="L34" s="682"/>
      <c r="M34" s="1587"/>
    </row>
  </sheetData>
  <autoFilter ref="A5:P5" xr:uid="{00000000-0009-0000-0000-000001000000}"/>
  <mergeCells count="4">
    <mergeCell ref="C1:K1"/>
    <mergeCell ref="A2:M2"/>
    <mergeCell ref="A4:B4"/>
    <mergeCell ref="B3:M3"/>
  </mergeCells>
  <conditionalFormatting sqref="A1:A4">
    <cfRule type="duplicateValues" dxfId="475" priority="5"/>
  </conditionalFormatting>
  <conditionalFormatting sqref="A5">
    <cfRule type="duplicateValues" dxfId="474" priority="4"/>
  </conditionalFormatting>
  <conditionalFormatting sqref="B5">
    <cfRule type="duplicateValues" dxfId="473" priority="1"/>
    <cfRule type="duplicateValues" dxfId="472" priority="2"/>
    <cfRule type="duplicateValues" dxfId="471" priority="3"/>
  </conditionalFormatting>
  <pageMargins left="0.7" right="0.7" top="0.75" bottom="0.75" header="0.3" footer="0.3"/>
  <pageSetup paperSize="9" scale="40" orientation="landscape"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7C743A-EA7B-448E-BBDD-860952079E9B}">
  <sheetPr>
    <tabColor theme="2"/>
    <pageSetUpPr fitToPage="1"/>
  </sheetPr>
  <dimension ref="A1:N45"/>
  <sheetViews>
    <sheetView topLeftCell="A2" zoomScale="70" zoomScaleNormal="70" workbookViewId="0">
      <pane xSplit="3" ySplit="4" topLeftCell="D33" activePane="bottomRight" state="frozen"/>
      <selection pane="topRight"/>
      <selection pane="bottomLeft"/>
      <selection pane="bottomRight"/>
    </sheetView>
  </sheetViews>
  <sheetFormatPr defaultColWidth="25.5703125" defaultRowHeight="18.75"/>
  <cols>
    <col min="1" max="1" width="6.5703125" style="359" customWidth="1"/>
    <col min="2" max="2" width="32.5703125" style="1" customWidth="1"/>
    <col min="3" max="3" width="15.85546875" style="1138" customWidth="1"/>
    <col min="4" max="4" width="26.42578125" style="271" customWidth="1"/>
    <col min="5" max="5" width="21.42578125" style="1" customWidth="1"/>
    <col min="6" max="6" width="28.42578125" style="271" customWidth="1"/>
    <col min="7" max="7" width="17.28515625" style="271" customWidth="1"/>
    <col min="8" max="8" width="16.42578125" style="1" customWidth="1"/>
    <col min="9" max="9" width="23.42578125" style="1" customWidth="1"/>
    <col min="10" max="10" width="114.28515625" style="9" customWidth="1"/>
    <col min="11" max="11" width="85.42578125" style="9" customWidth="1"/>
    <col min="12" max="12" width="25.85546875" style="1" customWidth="1"/>
    <col min="13" max="13" width="18.85546875" style="9" customWidth="1"/>
    <col min="14" max="14" width="12.42578125" style="3" hidden="1" customWidth="1"/>
    <col min="15" max="15" width="34.5703125" style="3" customWidth="1"/>
    <col min="16" max="16384" width="25.5703125" style="3"/>
  </cols>
  <sheetData>
    <row r="1" spans="1:14" ht="17.25" customHeight="1">
      <c r="B1" s="10"/>
      <c r="C1" s="3624"/>
      <c r="D1" s="3624"/>
      <c r="E1" s="3624"/>
      <c r="F1" s="3624"/>
      <c r="G1" s="3624"/>
      <c r="H1" s="3624"/>
      <c r="I1" s="3624"/>
      <c r="J1" s="3624"/>
      <c r="K1" s="3624"/>
      <c r="M1" s="1487"/>
    </row>
    <row r="2" spans="1:14" ht="34.5" customHeight="1">
      <c r="A2" s="3630" t="s">
        <v>2994</v>
      </c>
      <c r="B2" s="3630"/>
      <c r="C2" s="3630"/>
      <c r="D2" s="3630"/>
      <c r="E2" s="3630"/>
      <c r="F2" s="3630"/>
      <c r="G2" s="3630"/>
      <c r="H2" s="3630"/>
      <c r="I2" s="3630"/>
      <c r="J2" s="3630"/>
      <c r="K2" s="3630"/>
      <c r="L2" s="3630"/>
      <c r="M2" s="3630"/>
      <c r="N2" s="287"/>
    </row>
    <row r="3" spans="1:14" ht="57" customHeight="1">
      <c r="A3" s="1536"/>
      <c r="B3" s="3687" t="s">
        <v>2995</v>
      </c>
      <c r="C3" s="3688"/>
      <c r="D3" s="3688"/>
      <c r="E3" s="3688"/>
      <c r="F3" s="3688"/>
      <c r="G3" s="3688"/>
      <c r="H3" s="3688"/>
      <c r="I3" s="3688"/>
      <c r="J3" s="3688"/>
      <c r="K3" s="3688"/>
      <c r="L3" s="3688"/>
      <c r="M3" s="3689"/>
      <c r="N3" s="287"/>
    </row>
    <row r="4" spans="1:14" ht="35.25" customHeight="1">
      <c r="A4" s="3629"/>
      <c r="B4" s="3629"/>
      <c r="C4" s="1502">
        <f>SUBTOTAL(9,C6:C40)</f>
        <v>254270</v>
      </c>
      <c r="D4" s="1503"/>
      <c r="E4" s="1504"/>
      <c r="F4" s="1503"/>
      <c r="G4" s="1503"/>
      <c r="H4" s="1503"/>
      <c r="I4" s="1503"/>
      <c r="J4" s="1504">
        <f ca="1">TODAY()</f>
        <v>45960</v>
      </c>
      <c r="L4" s="1504"/>
      <c r="M4" s="1504"/>
      <c r="N4" s="287"/>
    </row>
    <row r="5" spans="1:14" s="1535" customFormat="1" ht="56.25" customHeight="1">
      <c r="A5" s="361" t="s">
        <v>1</v>
      </c>
      <c r="B5" s="204" t="s">
        <v>2</v>
      </c>
      <c r="C5" s="1432" t="s">
        <v>3</v>
      </c>
      <c r="D5" s="204" t="s">
        <v>4</v>
      </c>
      <c r="E5" s="204" t="s">
        <v>5</v>
      </c>
      <c r="F5" s="204" t="s">
        <v>6</v>
      </c>
      <c r="G5" s="204" t="s">
        <v>221</v>
      </c>
      <c r="H5" s="204" t="s">
        <v>8</v>
      </c>
      <c r="I5" s="204" t="s">
        <v>9</v>
      </c>
      <c r="J5" s="204" t="s">
        <v>10</v>
      </c>
      <c r="K5" s="204" t="s">
        <v>11</v>
      </c>
      <c r="L5" s="204" t="s">
        <v>12</v>
      </c>
      <c r="M5" s="204" t="s">
        <v>13</v>
      </c>
      <c r="N5" s="1534" t="e">
        <f>SUM(#REF!)</f>
        <v>#REF!</v>
      </c>
    </row>
    <row r="6" spans="1:14" s="1652" customFormat="1" ht="56.25" customHeight="1">
      <c r="A6" s="1647" cm="1">
        <f t="array" ref="A6:A40">_xlfn.SEQUENCE(35,1,1,)</f>
        <v>1</v>
      </c>
      <c r="B6" s="1648" t="s">
        <v>82</v>
      </c>
      <c r="C6" s="1649">
        <v>4250</v>
      </c>
      <c r="D6" s="1572" t="s">
        <v>2996</v>
      </c>
      <c r="E6" s="845" t="s">
        <v>84</v>
      </c>
      <c r="F6" s="1678" t="s">
        <v>2997</v>
      </c>
      <c r="G6" s="1679" t="s">
        <v>2998</v>
      </c>
      <c r="H6" s="1576" t="s">
        <v>19</v>
      </c>
      <c r="I6" s="845" t="s">
        <v>2510</v>
      </c>
      <c r="J6" s="1615" t="s">
        <v>2999</v>
      </c>
      <c r="K6" s="1650" t="s">
        <v>3000</v>
      </c>
      <c r="L6" s="845"/>
      <c r="M6" s="1651"/>
    </row>
    <row r="7" spans="1:14" s="1588" customFormat="1" ht="101.25" customHeight="1">
      <c r="A7" s="1569">
        <v>2</v>
      </c>
      <c r="B7" s="682" t="s">
        <v>117</v>
      </c>
      <c r="C7" s="1580">
        <v>3800</v>
      </c>
      <c r="D7" s="1669" t="s">
        <v>3001</v>
      </c>
      <c r="E7" s="682" t="s">
        <v>84</v>
      </c>
      <c r="F7" s="1680" t="s">
        <v>3002</v>
      </c>
      <c r="G7" s="1681" t="s">
        <v>3003</v>
      </c>
      <c r="H7" s="682" t="s">
        <v>19</v>
      </c>
      <c r="I7" s="682" t="s">
        <v>393</v>
      </c>
      <c r="J7" s="1586" t="s">
        <v>3004</v>
      </c>
      <c r="K7" s="1653" t="s">
        <v>3005</v>
      </c>
      <c r="L7" s="682"/>
      <c r="M7" s="1583"/>
    </row>
    <row r="8" spans="1:14" s="1652" customFormat="1" ht="56.25" customHeight="1">
      <c r="A8" s="1647">
        <v>3</v>
      </c>
      <c r="B8" s="1648" t="s">
        <v>2912</v>
      </c>
      <c r="C8" s="1649">
        <v>4000</v>
      </c>
      <c r="D8" s="1670" t="s">
        <v>3006</v>
      </c>
      <c r="E8" s="845" t="s">
        <v>61</v>
      </c>
      <c r="F8" s="1680" t="s">
        <v>3007</v>
      </c>
      <c r="G8" s="1681" t="s">
        <v>3008</v>
      </c>
      <c r="H8" s="845" t="s">
        <v>19</v>
      </c>
      <c r="I8" s="845" t="s">
        <v>253</v>
      </c>
      <c r="J8" s="1615" t="s">
        <v>3009</v>
      </c>
      <c r="K8" s="847"/>
      <c r="L8" s="845"/>
      <c r="M8" s="1651"/>
    </row>
    <row r="9" spans="1:14" s="841" customFormat="1" ht="68.25" customHeight="1">
      <c r="A9" s="1299">
        <v>4</v>
      </c>
      <c r="B9" s="1302" t="s">
        <v>3010</v>
      </c>
      <c r="C9" s="1301">
        <v>35000</v>
      </c>
      <c r="D9" s="1302" t="s">
        <v>3011</v>
      </c>
      <c r="E9" s="1300" t="s">
        <v>3012</v>
      </c>
      <c r="F9" s="1680" t="s">
        <v>3013</v>
      </c>
      <c r="G9" s="1681" t="s">
        <v>3014</v>
      </c>
      <c r="H9" s="1300" t="s">
        <v>19</v>
      </c>
      <c r="I9" s="1300" t="s">
        <v>40</v>
      </c>
      <c r="J9" s="1440" t="s">
        <v>3015</v>
      </c>
      <c r="K9" s="1441"/>
      <c r="L9" s="1300"/>
      <c r="M9" s="1475"/>
      <c r="N9" s="1673"/>
    </row>
    <row r="10" spans="1:14" s="841" customFormat="1" ht="68.25" customHeight="1">
      <c r="A10" s="1299">
        <v>5</v>
      </c>
      <c r="B10" s="1300" t="s">
        <v>2906</v>
      </c>
      <c r="C10" s="1301">
        <v>3000</v>
      </c>
      <c r="D10" s="1675" t="s">
        <v>3016</v>
      </c>
      <c r="E10" s="1300" t="s">
        <v>16</v>
      </c>
      <c r="F10" s="1680" t="s">
        <v>3017</v>
      </c>
      <c r="G10" s="1681" t="s">
        <v>3018</v>
      </c>
      <c r="H10" s="1300" t="s">
        <v>19</v>
      </c>
      <c r="I10" s="1302" t="s">
        <v>20</v>
      </c>
      <c r="J10" s="1586" t="s">
        <v>3019</v>
      </c>
      <c r="K10" s="1304"/>
      <c r="L10" s="1300"/>
      <c r="M10" s="1475"/>
      <c r="N10" s="1676"/>
    </row>
    <row r="11" spans="1:14" s="1588" customFormat="1" ht="88.5" customHeight="1">
      <c r="A11" s="1299">
        <v>6</v>
      </c>
      <c r="B11" s="1490" t="s">
        <v>3020</v>
      </c>
      <c r="C11" s="1301">
        <v>4000</v>
      </c>
      <c r="D11" s="1611" t="s">
        <v>3021</v>
      </c>
      <c r="E11" s="1300" t="s">
        <v>61</v>
      </c>
      <c r="F11" s="1682" t="s">
        <v>3022</v>
      </c>
      <c r="G11" s="1681" t="s">
        <v>3023</v>
      </c>
      <c r="H11" s="1300" t="s">
        <v>19</v>
      </c>
      <c r="I11" s="1300" t="s">
        <v>172</v>
      </c>
      <c r="J11" s="1440" t="s">
        <v>3024</v>
      </c>
      <c r="K11" s="1671"/>
      <c r="L11" s="1300"/>
      <c r="M11" s="1441"/>
      <c r="N11" s="1672"/>
    </row>
    <row r="12" spans="1:14" s="841" customFormat="1" ht="75.75" customHeight="1">
      <c r="A12" s="1299">
        <v>7</v>
      </c>
      <c r="B12" s="1302" t="s">
        <v>71</v>
      </c>
      <c r="C12" s="1301">
        <v>3700</v>
      </c>
      <c r="D12" s="1675" t="s">
        <v>3025</v>
      </c>
      <c r="E12" s="1300" t="s">
        <v>54</v>
      </c>
      <c r="F12" s="1683" t="s">
        <v>3026</v>
      </c>
      <c r="G12" s="1302" t="s">
        <v>18</v>
      </c>
      <c r="H12" s="1300" t="s">
        <v>19</v>
      </c>
      <c r="I12" s="1300" t="s">
        <v>20</v>
      </c>
      <c r="J12" s="1440" t="s">
        <v>3027</v>
      </c>
      <c r="K12" s="1441"/>
      <c r="L12" s="1300"/>
      <c r="M12" s="1475"/>
      <c r="N12" s="1673"/>
    </row>
    <row r="13" spans="1:14" s="841" customFormat="1" ht="75.75" customHeight="1">
      <c r="A13" s="1299">
        <v>8</v>
      </c>
      <c r="B13" s="1300" t="s">
        <v>3028</v>
      </c>
      <c r="C13" s="1301">
        <v>3800</v>
      </c>
      <c r="D13" s="1684" t="s">
        <v>3029</v>
      </c>
      <c r="E13" s="1300" t="s">
        <v>151</v>
      </c>
      <c r="F13" s="1685" t="s">
        <v>3030</v>
      </c>
      <c r="G13" s="1302" t="s">
        <v>18</v>
      </c>
      <c r="H13" s="1300" t="s">
        <v>19</v>
      </c>
      <c r="I13" s="1300" t="s">
        <v>20</v>
      </c>
      <c r="J13" s="1440" t="s">
        <v>3031</v>
      </c>
      <c r="K13" s="1441"/>
      <c r="L13" s="1300"/>
      <c r="M13" s="1475"/>
      <c r="N13" s="1673"/>
    </row>
    <row r="14" spans="1:14" s="841" customFormat="1" ht="75.75" customHeight="1">
      <c r="A14" s="1299">
        <v>9</v>
      </c>
      <c r="B14" s="1302" t="s">
        <v>2915</v>
      </c>
      <c r="C14" s="1301">
        <v>3000</v>
      </c>
      <c r="D14" s="1675" t="s">
        <v>3032</v>
      </c>
      <c r="E14" s="1300" t="s">
        <v>16</v>
      </c>
      <c r="F14" s="1685" t="s">
        <v>3033</v>
      </c>
      <c r="G14" s="1302" t="s">
        <v>18</v>
      </c>
      <c r="H14" s="1300" t="s">
        <v>19</v>
      </c>
      <c r="I14" s="1300" t="s">
        <v>253</v>
      </c>
      <c r="J14" s="1440" t="s">
        <v>3034</v>
      </c>
      <c r="K14" s="1441"/>
      <c r="L14" s="1300"/>
      <c r="M14" s="1475"/>
      <c r="N14" s="1673"/>
    </row>
    <row r="15" spans="1:14" s="841" customFormat="1" ht="93.75">
      <c r="A15" s="1299">
        <v>10</v>
      </c>
      <c r="B15" s="1300" t="s">
        <v>2921</v>
      </c>
      <c r="C15" s="1301">
        <v>6000</v>
      </c>
      <c r="D15" s="1675" t="s">
        <v>3001</v>
      </c>
      <c r="E15" s="1300" t="s">
        <v>43</v>
      </c>
      <c r="F15" s="1302" t="s">
        <v>3035</v>
      </c>
      <c r="G15" s="1302" t="s">
        <v>18</v>
      </c>
      <c r="H15" s="1300" t="s">
        <v>19</v>
      </c>
      <c r="I15" s="1300" t="s">
        <v>3036</v>
      </c>
      <c r="J15" s="1440" t="s">
        <v>3037</v>
      </c>
      <c r="K15" s="1441"/>
      <c r="L15" s="1300"/>
      <c r="M15" s="1475"/>
      <c r="N15" s="1673"/>
    </row>
    <row r="16" spans="1:14" s="841" customFormat="1" ht="108" customHeight="1">
      <c r="A16" s="1299">
        <v>11</v>
      </c>
      <c r="B16" s="1300" t="s">
        <v>2927</v>
      </c>
      <c r="C16" s="1301">
        <v>12300</v>
      </c>
      <c r="D16" s="1685" t="s">
        <v>3038</v>
      </c>
      <c r="E16" s="1300" t="s">
        <v>43</v>
      </c>
      <c r="F16" s="1685" t="s">
        <v>3039</v>
      </c>
      <c r="G16" s="1302" t="s">
        <v>18</v>
      </c>
      <c r="H16" s="1300" t="s">
        <v>19</v>
      </c>
      <c r="I16" s="1300" t="s">
        <v>172</v>
      </c>
      <c r="J16" s="1440" t="s">
        <v>3040</v>
      </c>
      <c r="K16" s="1441" t="s">
        <v>3041</v>
      </c>
      <c r="L16" s="1300"/>
      <c r="M16" s="1475"/>
      <c r="N16" s="1673"/>
    </row>
    <row r="17" spans="1:14" s="841" customFormat="1" ht="162.75" customHeight="1">
      <c r="A17" s="1299">
        <v>12</v>
      </c>
      <c r="B17" s="1302" t="s">
        <v>3042</v>
      </c>
      <c r="C17" s="1301">
        <v>13000</v>
      </c>
      <c r="D17" s="1302" t="s">
        <v>3043</v>
      </c>
      <c r="E17" s="1300" t="s">
        <v>3012</v>
      </c>
      <c r="F17" s="1490" t="s">
        <v>3044</v>
      </c>
      <c r="G17" s="1302" t="s">
        <v>18</v>
      </c>
      <c r="H17" s="1300" t="s">
        <v>19</v>
      </c>
      <c r="I17" s="1300" t="s">
        <v>286</v>
      </c>
      <c r="J17" s="1440" t="s">
        <v>3045</v>
      </c>
      <c r="K17" s="1686" t="s">
        <v>3005</v>
      </c>
      <c r="L17" s="1300"/>
      <c r="M17" s="1475"/>
      <c r="N17" s="1673"/>
    </row>
    <row r="18" spans="1:14" s="841" customFormat="1" ht="75.75" customHeight="1">
      <c r="A18" s="1299">
        <v>13</v>
      </c>
      <c r="B18" s="1300" t="s">
        <v>2915</v>
      </c>
      <c r="C18" s="1301">
        <v>3000</v>
      </c>
      <c r="D18" s="1611" t="s">
        <v>3046</v>
      </c>
      <c r="E18" s="1300" t="s">
        <v>89</v>
      </c>
      <c r="F18" s="1685" t="s">
        <v>3047</v>
      </c>
      <c r="G18" s="1302" t="s">
        <v>18</v>
      </c>
      <c r="H18" s="1300" t="s">
        <v>19</v>
      </c>
      <c r="I18" s="1300" t="s">
        <v>20</v>
      </c>
      <c r="J18" s="1440" t="s">
        <v>3048</v>
      </c>
      <c r="K18" s="1441" t="s">
        <v>3049</v>
      </c>
      <c r="L18" s="1299"/>
      <c r="M18" s="1300"/>
      <c r="N18" s="1301"/>
    </row>
    <row r="19" spans="1:14" s="841" customFormat="1" ht="138.75" customHeight="1">
      <c r="A19" s="1299">
        <v>14</v>
      </c>
      <c r="B19" s="1300" t="s">
        <v>193</v>
      </c>
      <c r="C19" s="1301">
        <v>12000</v>
      </c>
      <c r="D19" s="1611">
        <v>45265</v>
      </c>
      <c r="E19" s="1300" t="s">
        <v>43</v>
      </c>
      <c r="F19" s="1685" t="s">
        <v>3050</v>
      </c>
      <c r="G19" s="1302" t="s">
        <v>18</v>
      </c>
      <c r="H19" s="1300" t="s">
        <v>19</v>
      </c>
      <c r="I19" s="1300" t="s">
        <v>172</v>
      </c>
      <c r="J19" s="1440" t="s">
        <v>3051</v>
      </c>
      <c r="K19" s="1441"/>
      <c r="L19" s="1300"/>
      <c r="M19" s="1475"/>
      <c r="N19" s="1673"/>
    </row>
    <row r="20" spans="1:14" s="841" customFormat="1" ht="68.25" customHeight="1">
      <c r="A20" s="1299">
        <v>15</v>
      </c>
      <c r="B20" s="1302" t="s">
        <v>3052</v>
      </c>
      <c r="C20" s="1301">
        <v>5000</v>
      </c>
      <c r="D20" s="1302" t="s">
        <v>3053</v>
      </c>
      <c r="E20" s="1300" t="s">
        <v>25</v>
      </c>
      <c r="F20" s="1490" t="s">
        <v>3054</v>
      </c>
      <c r="G20" s="1302" t="s">
        <v>18</v>
      </c>
      <c r="H20" s="1300" t="s">
        <v>19</v>
      </c>
      <c r="I20" s="1300" t="s">
        <v>3055</v>
      </c>
      <c r="J20" s="1440" t="s">
        <v>3056</v>
      </c>
      <c r="K20" s="1304" t="s">
        <v>3057</v>
      </c>
      <c r="L20" s="1300"/>
      <c r="M20" s="1475"/>
      <c r="N20" s="1673"/>
    </row>
    <row r="21" spans="1:14" s="1674" customFormat="1" ht="124.5" customHeight="1">
      <c r="A21" s="1299">
        <v>16</v>
      </c>
      <c r="B21" s="1300" t="s">
        <v>87</v>
      </c>
      <c r="C21" s="1301">
        <v>3080</v>
      </c>
      <c r="D21" s="1302" t="s">
        <v>3058</v>
      </c>
      <c r="E21" s="1300" t="s">
        <v>89</v>
      </c>
      <c r="F21" s="1688" t="s">
        <v>3059</v>
      </c>
      <c r="G21" s="1302" t="s">
        <v>18</v>
      </c>
      <c r="H21" s="1300" t="s">
        <v>19</v>
      </c>
      <c r="I21" s="1300" t="s">
        <v>393</v>
      </c>
      <c r="J21" s="1440" t="s">
        <v>3060</v>
      </c>
      <c r="K21" s="1499"/>
      <c r="L21" s="1300"/>
      <c r="M21" s="1441"/>
      <c r="N21" s="1673"/>
    </row>
    <row r="22" spans="1:14" s="841" customFormat="1" ht="68.25" customHeight="1">
      <c r="A22" s="1299">
        <v>17</v>
      </c>
      <c r="B22" s="1302" t="s">
        <v>71</v>
      </c>
      <c r="C22" s="1301">
        <v>3700</v>
      </c>
      <c r="D22" s="1302" t="s">
        <v>3061</v>
      </c>
      <c r="E22" s="1300" t="s">
        <v>54</v>
      </c>
      <c r="F22" s="1688" t="s">
        <v>3062</v>
      </c>
      <c r="G22" s="1302" t="s">
        <v>18</v>
      </c>
      <c r="H22" s="1300" t="s">
        <v>19</v>
      </c>
      <c r="I22" s="1300" t="s">
        <v>172</v>
      </c>
      <c r="J22" s="1440" t="s">
        <v>3063</v>
      </c>
      <c r="K22" s="1687"/>
      <c r="L22" s="1300"/>
      <c r="M22" s="1475"/>
      <c r="N22" s="1673"/>
    </row>
    <row r="23" spans="1:14" s="841" customFormat="1" ht="87.75" customHeight="1">
      <c r="A23" s="1299">
        <v>18</v>
      </c>
      <c r="B23" s="1302" t="s">
        <v>3064</v>
      </c>
      <c r="C23" s="1301">
        <v>12000</v>
      </c>
      <c r="D23" s="1302" t="s">
        <v>3065</v>
      </c>
      <c r="E23" s="1300" t="s">
        <v>25</v>
      </c>
      <c r="F23" s="1509" t="s">
        <v>18</v>
      </c>
      <c r="G23" s="1302"/>
      <c r="H23" s="1300" t="s">
        <v>19</v>
      </c>
      <c r="I23" s="1300" t="s">
        <v>286</v>
      </c>
      <c r="J23" s="1440" t="s">
        <v>3066</v>
      </c>
      <c r="K23" s="1693" t="s">
        <v>3067</v>
      </c>
      <c r="L23" s="1300"/>
      <c r="M23" s="1475"/>
      <c r="N23" s="1673"/>
    </row>
    <row r="24" spans="1:14" s="841" customFormat="1" ht="118.5" customHeight="1">
      <c r="A24" s="1299">
        <v>19</v>
      </c>
      <c r="B24" s="1302" t="s">
        <v>117</v>
      </c>
      <c r="C24" s="1301">
        <v>3800</v>
      </c>
      <c r="D24" s="1302" t="s">
        <v>313</v>
      </c>
      <c r="E24" s="1300" t="s">
        <v>84</v>
      </c>
      <c r="F24" s="1509" t="s">
        <v>18</v>
      </c>
      <c r="G24" s="1302"/>
      <c r="H24" s="1300" t="s">
        <v>19</v>
      </c>
      <c r="I24" s="1300" t="s">
        <v>172</v>
      </c>
      <c r="J24" s="1440" t="s">
        <v>3068</v>
      </c>
      <c r="K24" s="1687" t="s">
        <v>3069</v>
      </c>
      <c r="L24" s="1300"/>
      <c r="M24" s="1475"/>
      <c r="N24" s="1673"/>
    </row>
    <row r="25" spans="1:14" s="841" customFormat="1" ht="104.25" customHeight="1">
      <c r="A25" s="1299">
        <v>20</v>
      </c>
      <c r="B25" s="1302" t="s">
        <v>211</v>
      </c>
      <c r="C25" s="1301">
        <v>4000</v>
      </c>
      <c r="D25" s="1302" t="s">
        <v>3070</v>
      </c>
      <c r="E25" s="1300" t="s">
        <v>61</v>
      </c>
      <c r="F25" s="1509" t="s">
        <v>18</v>
      </c>
      <c r="G25" s="1302"/>
      <c r="H25" s="1300" t="s">
        <v>19</v>
      </c>
      <c r="I25" s="1300" t="s">
        <v>172</v>
      </c>
      <c r="J25" s="1440" t="s">
        <v>3071</v>
      </c>
      <c r="K25" s="1687"/>
      <c r="L25" s="1300"/>
      <c r="M25" s="1475"/>
      <c r="N25" s="1673"/>
    </row>
    <row r="26" spans="1:14" s="1702" customFormat="1" ht="87" customHeight="1">
      <c r="A26" s="1694">
        <v>21</v>
      </c>
      <c r="B26" s="1695" t="s">
        <v>3072</v>
      </c>
      <c r="C26" s="1696">
        <v>9620</v>
      </c>
      <c r="D26" s="1688" t="s">
        <v>3073</v>
      </c>
      <c r="E26" s="1695" t="s">
        <v>25</v>
      </c>
      <c r="F26" s="1683" t="s">
        <v>18</v>
      </c>
      <c r="G26" s="1697"/>
      <c r="H26" s="1695" t="s">
        <v>19</v>
      </c>
      <c r="I26" s="1695" t="s">
        <v>3074</v>
      </c>
      <c r="J26" s="1698" t="s">
        <v>3075</v>
      </c>
      <c r="K26" s="1699" t="s">
        <v>3076</v>
      </c>
      <c r="L26" s="1695"/>
      <c r="M26" s="1700"/>
      <c r="N26" s="1701"/>
    </row>
    <row r="27" spans="1:14" s="841" customFormat="1" ht="104.25" customHeight="1">
      <c r="A27" s="1299">
        <v>22</v>
      </c>
      <c r="B27" s="1302" t="s">
        <v>2921</v>
      </c>
      <c r="C27" s="1301">
        <v>6000</v>
      </c>
      <c r="D27" s="1302" t="s">
        <v>2951</v>
      </c>
      <c r="E27" s="1300" t="s">
        <v>43</v>
      </c>
      <c r="F27" s="1683" t="s">
        <v>18</v>
      </c>
      <c r="G27" s="1302"/>
      <c r="H27" s="1303" t="s">
        <v>19</v>
      </c>
      <c r="I27" s="1303" t="s">
        <v>172</v>
      </c>
      <c r="J27" s="1440" t="s">
        <v>3077</v>
      </c>
      <c r="K27" s="1687"/>
      <c r="L27" s="1300"/>
      <c r="M27" s="1475"/>
      <c r="N27" s="1673"/>
    </row>
    <row r="28" spans="1:14" s="841" customFormat="1" ht="63" customHeight="1">
      <c r="A28" s="1299">
        <v>23</v>
      </c>
      <c r="B28" s="1300" t="s">
        <v>3078</v>
      </c>
      <c r="C28" s="1301">
        <v>35000</v>
      </c>
      <c r="D28" s="1685" t="s">
        <v>3079</v>
      </c>
      <c r="E28" s="1300" t="s">
        <v>3012</v>
      </c>
      <c r="F28" s="1688" t="s">
        <v>18</v>
      </c>
      <c r="G28" s="1302" t="s">
        <v>3080</v>
      </c>
      <c r="H28" s="1300" t="s">
        <v>19</v>
      </c>
      <c r="I28" s="1300" t="s">
        <v>40</v>
      </c>
      <c r="J28" s="1440" t="s">
        <v>3081</v>
      </c>
      <c r="K28" s="1304" t="s">
        <v>3082</v>
      </c>
      <c r="L28" s="1300"/>
      <c r="M28" s="1475"/>
      <c r="N28" s="1673"/>
    </row>
    <row r="29" spans="1:14" s="1715" customFormat="1" ht="79.5" customHeight="1">
      <c r="A29" s="1708">
        <v>24</v>
      </c>
      <c r="B29" s="1709" t="s">
        <v>93</v>
      </c>
      <c r="C29" s="1710">
        <v>2900</v>
      </c>
      <c r="D29" s="1711" t="s">
        <v>3083</v>
      </c>
      <c r="E29" s="1712" t="s">
        <v>61</v>
      </c>
      <c r="F29" s="1756" t="s">
        <v>18</v>
      </c>
      <c r="G29" s="1648"/>
      <c r="H29" s="1709" t="s">
        <v>19</v>
      </c>
      <c r="I29" s="1709" t="s">
        <v>172</v>
      </c>
      <c r="J29" s="1615" t="s">
        <v>3084</v>
      </c>
      <c r="K29" s="1713"/>
      <c r="L29" s="1709"/>
      <c r="M29" s="1714"/>
    </row>
    <row r="30" spans="1:14" s="841" customFormat="1" ht="68.25" customHeight="1">
      <c r="A30" s="1719">
        <v>25</v>
      </c>
      <c r="B30" s="1438" t="s">
        <v>82</v>
      </c>
      <c r="C30" s="1720">
        <v>4000</v>
      </c>
      <c r="D30" s="1438" t="s">
        <v>3085</v>
      </c>
      <c r="E30" s="1442" t="s">
        <v>84</v>
      </c>
      <c r="F30" s="1756" t="s">
        <v>18</v>
      </c>
      <c r="G30" s="1438"/>
      <c r="H30" s="1442" t="s">
        <v>19</v>
      </c>
      <c r="I30" s="1442" t="s">
        <v>20</v>
      </c>
      <c r="J30" s="1447" t="s">
        <v>3086</v>
      </c>
      <c r="K30" s="1721" t="s">
        <v>3087</v>
      </c>
      <c r="L30" s="1442"/>
      <c r="M30" s="1722"/>
      <c r="N30" s="1673"/>
    </row>
    <row r="31" spans="1:14" s="841" customFormat="1" ht="70.5" customHeight="1">
      <c r="A31" s="1299">
        <v>26</v>
      </c>
      <c r="B31" s="1302" t="s">
        <v>3088</v>
      </c>
      <c r="C31" s="1301">
        <v>10000</v>
      </c>
      <c r="D31" s="1302" t="s">
        <v>3089</v>
      </c>
      <c r="E31" s="1300" t="s">
        <v>25</v>
      </c>
      <c r="F31" s="1756" t="s">
        <v>18</v>
      </c>
      <c r="G31" s="1302" t="s">
        <v>3090</v>
      </c>
      <c r="H31" s="1300" t="s">
        <v>19</v>
      </c>
      <c r="I31" s="1300" t="s">
        <v>3091</v>
      </c>
      <c r="J31" s="1440" t="s">
        <v>3092</v>
      </c>
      <c r="K31" s="1304"/>
      <c r="L31" s="1300"/>
      <c r="M31" s="1441"/>
      <c r="N31" s="1673"/>
    </row>
    <row r="32" spans="1:14" s="1702" customFormat="1" ht="63" customHeight="1">
      <c r="A32" s="1694">
        <v>27</v>
      </c>
      <c r="B32" s="1695" t="s">
        <v>3093</v>
      </c>
      <c r="C32" s="1696">
        <v>8500</v>
      </c>
      <c r="D32" s="1688" t="s">
        <v>3094</v>
      </c>
      <c r="E32" s="1695" t="s">
        <v>3095</v>
      </c>
      <c r="F32" s="1756" t="s">
        <v>18</v>
      </c>
      <c r="G32" s="1697" t="s">
        <v>3094</v>
      </c>
      <c r="H32" s="1695" t="s">
        <v>19</v>
      </c>
      <c r="I32" s="1695" t="s">
        <v>3096</v>
      </c>
      <c r="J32" s="1440" t="s">
        <v>3097</v>
      </c>
      <c r="K32" s="1699" t="s">
        <v>3098</v>
      </c>
      <c r="L32" s="1695"/>
      <c r="M32" s="1700"/>
      <c r="N32" s="1701"/>
    </row>
    <row r="33" spans="1:14" s="1677" customFormat="1" ht="93" customHeight="1">
      <c r="A33" s="840">
        <v>28</v>
      </c>
      <c r="B33" s="1572" t="s">
        <v>112</v>
      </c>
      <c r="C33" s="1649">
        <v>10000</v>
      </c>
      <c r="D33" s="1572" t="s">
        <v>3099</v>
      </c>
      <c r="E33" s="845" t="s">
        <v>43</v>
      </c>
      <c r="F33" s="1756" t="s">
        <v>18</v>
      </c>
      <c r="G33" s="1572"/>
      <c r="H33" s="845" t="s">
        <v>19</v>
      </c>
      <c r="I33" s="845" t="s">
        <v>63</v>
      </c>
      <c r="J33" s="1615" t="s">
        <v>3100</v>
      </c>
      <c r="K33" s="1727" t="s">
        <v>3101</v>
      </c>
      <c r="L33" s="1576"/>
      <c r="M33" s="1577"/>
      <c r="N33" s="1676"/>
    </row>
    <row r="34" spans="1:14" s="841" customFormat="1" ht="68.25" customHeight="1">
      <c r="A34" s="1299">
        <v>29</v>
      </c>
      <c r="B34" s="1302" t="s">
        <v>3102</v>
      </c>
      <c r="C34" s="1301">
        <v>6000</v>
      </c>
      <c r="D34" s="1302" t="s">
        <v>3103</v>
      </c>
      <c r="E34" s="1300" t="s">
        <v>43</v>
      </c>
      <c r="F34" s="1756" t="s">
        <v>18</v>
      </c>
      <c r="G34" s="1302" t="s">
        <v>3104</v>
      </c>
      <c r="H34" s="1300" t="s">
        <v>19</v>
      </c>
      <c r="I34" s="1300" t="s">
        <v>253</v>
      </c>
      <c r="J34" s="1440" t="s">
        <v>3105</v>
      </c>
      <c r="K34" s="1441"/>
      <c r="L34" s="1300"/>
      <c r="M34" s="1475"/>
      <c r="N34" s="1673"/>
    </row>
    <row r="35" spans="1:14" s="1674" customFormat="1" ht="75" customHeight="1">
      <c r="A35" s="1299">
        <v>30</v>
      </c>
      <c r="B35" s="1300" t="s">
        <v>59</v>
      </c>
      <c r="C35" s="1301">
        <v>3200</v>
      </c>
      <c r="D35" s="1302" t="s">
        <v>3106</v>
      </c>
      <c r="E35" s="1300" t="s">
        <v>89</v>
      </c>
      <c r="F35" s="1756" t="s">
        <v>18</v>
      </c>
      <c r="G35" s="1302"/>
      <c r="H35" s="1300" t="s">
        <v>19</v>
      </c>
      <c r="I35" s="1300" t="s">
        <v>101</v>
      </c>
      <c r="J35" s="1440" t="s">
        <v>3107</v>
      </c>
      <c r="K35" s="1441" t="s">
        <v>3108</v>
      </c>
      <c r="L35" s="1300"/>
      <c r="M35" s="1441"/>
      <c r="N35" s="1673"/>
    </row>
    <row r="36" spans="1:14" s="1674" customFormat="1" ht="111" customHeight="1">
      <c r="A36" s="1299">
        <v>31</v>
      </c>
      <c r="B36" s="1300" t="s">
        <v>3109</v>
      </c>
      <c r="C36" s="1301">
        <v>12000</v>
      </c>
      <c r="D36" s="1302" t="s">
        <v>3110</v>
      </c>
      <c r="E36" s="1300" t="s">
        <v>43</v>
      </c>
      <c r="F36" s="1756" t="s">
        <v>18</v>
      </c>
      <c r="G36" s="1302"/>
      <c r="H36" s="1300" t="s">
        <v>19</v>
      </c>
      <c r="I36" s="1300" t="s">
        <v>172</v>
      </c>
      <c r="J36" s="1728" t="s">
        <v>3111</v>
      </c>
      <c r="K36" s="1757" t="s">
        <v>3112</v>
      </c>
      <c r="L36" s="1610"/>
      <c r="M36" s="1441"/>
      <c r="N36" s="1673"/>
    </row>
    <row r="37" spans="1:14" s="1674" customFormat="1" ht="82.5" customHeight="1">
      <c r="A37" s="1299">
        <v>32</v>
      </c>
      <c r="B37" s="1300" t="s">
        <v>52</v>
      </c>
      <c r="C37" s="1301">
        <v>4620</v>
      </c>
      <c r="D37" s="1302" t="s">
        <v>3113</v>
      </c>
      <c r="E37" s="1300" t="s">
        <v>16</v>
      </c>
      <c r="F37" s="1756" t="s">
        <v>18</v>
      </c>
      <c r="G37" s="1302"/>
      <c r="H37" s="1300" t="s">
        <v>19</v>
      </c>
      <c r="I37" s="1300" t="s">
        <v>199</v>
      </c>
      <c r="J37" s="1728" t="s">
        <v>3114</v>
      </c>
      <c r="K37" s="1729"/>
      <c r="L37" s="1610"/>
      <c r="M37" s="1441"/>
      <c r="N37" s="1673"/>
    </row>
    <row r="38" spans="1:14" s="1623" customFormat="1" ht="109.5" customHeight="1">
      <c r="A38" s="360">
        <v>33</v>
      </c>
      <c r="B38" s="41"/>
      <c r="C38" s="1282"/>
      <c r="D38" s="90"/>
      <c r="E38" s="41"/>
      <c r="F38" s="90"/>
      <c r="G38" s="90"/>
      <c r="H38" s="41"/>
      <c r="I38" s="41"/>
      <c r="J38" s="1293"/>
      <c r="K38" s="44"/>
      <c r="L38" s="41"/>
      <c r="M38" s="44"/>
      <c r="N38" s="1654"/>
    </row>
    <row r="39" spans="1:14" s="672" customFormat="1" ht="81" customHeight="1">
      <c r="A39" s="668">
        <v>34</v>
      </c>
      <c r="B39" s="608"/>
      <c r="C39" s="1703"/>
      <c r="D39" s="1704"/>
      <c r="E39" s="1705"/>
      <c r="F39" s="90"/>
      <c r="G39" s="612"/>
      <c r="H39" s="608"/>
      <c r="I39" s="608"/>
      <c r="J39" s="1646"/>
      <c r="K39" s="1706"/>
      <c r="L39" s="608"/>
      <c r="M39" s="1707"/>
    </row>
    <row r="40" spans="1:14" s="1692" customFormat="1" ht="51" customHeight="1">
      <c r="A40" s="368">
        <v>35</v>
      </c>
      <c r="B40" s="1660" t="s">
        <v>3115</v>
      </c>
      <c r="C40" s="1658"/>
      <c r="D40" s="1659" t="s">
        <v>216</v>
      </c>
      <c r="E40" s="1660" t="s">
        <v>43</v>
      </c>
      <c r="F40" s="1659"/>
      <c r="G40" s="1659"/>
      <c r="H40" s="1660"/>
      <c r="I40" s="1660"/>
      <c r="J40" s="1716"/>
      <c r="K40" s="1717"/>
      <c r="L40" s="1718"/>
      <c r="M40" s="1663"/>
      <c r="N40" s="1691"/>
    </row>
    <row r="41" spans="1:14" s="1636" customFormat="1" ht="39" customHeight="1">
      <c r="A41" s="368"/>
      <c r="B41" s="1657" t="s">
        <v>2915</v>
      </c>
      <c r="C41" s="1658"/>
      <c r="D41" s="1659" t="s">
        <v>216</v>
      </c>
      <c r="E41" s="1660" t="s">
        <v>61</v>
      </c>
      <c r="F41" s="1659"/>
      <c r="G41" s="1659"/>
      <c r="H41" s="1660"/>
      <c r="I41" s="1660"/>
      <c r="J41" s="1661"/>
      <c r="K41" s="1662"/>
      <c r="L41" s="1660"/>
      <c r="M41" s="1663"/>
      <c r="N41" s="1655"/>
    </row>
    <row r="42" spans="1:14" s="1636" customFormat="1" ht="45.75" customHeight="1">
      <c r="A42" s="368"/>
      <c r="B42" s="1660" t="s">
        <v>59</v>
      </c>
      <c r="C42" s="1658"/>
      <c r="D42" s="1664" t="s">
        <v>216</v>
      </c>
      <c r="E42" s="1660" t="s">
        <v>61</v>
      </c>
      <c r="F42" s="1665"/>
      <c r="G42" s="1659"/>
      <c r="H42" s="1660"/>
      <c r="I42" s="1659"/>
      <c r="J42" s="1661"/>
      <c r="K42" s="1663"/>
      <c r="L42" s="1660"/>
      <c r="M42" s="1666"/>
      <c r="N42" s="1655"/>
    </row>
    <row r="43" spans="1:14" s="1635" customFormat="1" ht="34.5" customHeight="1">
      <c r="A43" s="368"/>
      <c r="B43" s="1657" t="s">
        <v>82</v>
      </c>
      <c r="C43" s="1658"/>
      <c r="D43" s="1659" t="s">
        <v>216</v>
      </c>
      <c r="E43" s="1660" t="s">
        <v>61</v>
      </c>
      <c r="F43" s="1659"/>
      <c r="G43" s="1659"/>
      <c r="H43" s="1660"/>
      <c r="I43" s="1660"/>
      <c r="J43" s="1661"/>
      <c r="K43" s="1663"/>
      <c r="L43" s="1660"/>
      <c r="M43" s="1663"/>
      <c r="N43" s="1656"/>
    </row>
    <row r="44" spans="1:14" s="1636" customFormat="1" ht="46.5" customHeight="1">
      <c r="A44" s="368"/>
      <c r="B44" s="1657" t="s">
        <v>52</v>
      </c>
      <c r="C44" s="1658"/>
      <c r="D44" s="1659" t="s">
        <v>216</v>
      </c>
      <c r="E44" s="1660" t="s">
        <v>54</v>
      </c>
      <c r="F44" s="1659"/>
      <c r="G44" s="1659"/>
      <c r="H44" s="1660"/>
      <c r="I44" s="1660"/>
      <c r="J44" s="1661"/>
      <c r="K44" s="1663"/>
      <c r="L44" s="1660"/>
      <c r="M44" s="1663"/>
      <c r="N44" s="1655"/>
    </row>
    <row r="45" spans="1:14" s="376" customFormat="1" ht="36" customHeight="1">
      <c r="A45" s="368"/>
      <c r="B45" s="1659" t="s">
        <v>93</v>
      </c>
      <c r="C45" s="1658"/>
      <c r="D45" s="1659" t="s">
        <v>216</v>
      </c>
      <c r="E45" s="1660" t="s">
        <v>84</v>
      </c>
      <c r="F45" s="1689"/>
      <c r="G45" s="1659"/>
      <c r="H45" s="1660"/>
      <c r="I45" s="1660"/>
      <c r="J45" s="1661"/>
      <c r="K45" s="1690"/>
      <c r="L45" s="1660"/>
      <c r="M45" s="1666"/>
      <c r="N45" s="1691"/>
    </row>
  </sheetData>
  <autoFilter ref="A5:P5" xr:uid="{00000000-0009-0000-0000-000001000000}"/>
  <mergeCells count="4">
    <mergeCell ref="C1:K1"/>
    <mergeCell ref="A2:M2"/>
    <mergeCell ref="B3:M3"/>
    <mergeCell ref="A4:B4"/>
  </mergeCells>
  <conditionalFormatting sqref="A1:A4">
    <cfRule type="duplicateValues" dxfId="470" priority="5"/>
  </conditionalFormatting>
  <conditionalFormatting sqref="A5">
    <cfRule type="duplicateValues" dxfId="469" priority="4"/>
  </conditionalFormatting>
  <conditionalFormatting sqref="B5">
    <cfRule type="duplicateValues" dxfId="468" priority="1"/>
    <cfRule type="duplicateValues" dxfId="467" priority="2"/>
    <cfRule type="duplicateValues" dxfId="466" priority="3"/>
  </conditionalFormatting>
  <pageMargins left="0.7" right="0.7" top="0.75" bottom="0.75" header="0.3" footer="0.3"/>
  <pageSetup paperSize="9" scale="40" orientation="landscape"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B07936-4C8B-4EBB-BC64-748F809030AC}">
  <sheetPr>
    <tabColor rgb="FFFF0000"/>
    <pageSetUpPr fitToPage="1"/>
  </sheetPr>
  <dimension ref="A1:M24"/>
  <sheetViews>
    <sheetView topLeftCell="A2" zoomScale="70" zoomScaleNormal="70" workbookViewId="0">
      <pane xSplit="3" ySplit="3" topLeftCell="D11" activePane="bottomRight" state="frozen"/>
      <selection pane="topRight"/>
      <selection pane="bottomLeft"/>
      <selection pane="bottomRight"/>
    </sheetView>
  </sheetViews>
  <sheetFormatPr defaultColWidth="25.5703125" defaultRowHeight="18.75"/>
  <cols>
    <col min="1" max="1" width="25.5703125" style="359" customWidth="1"/>
    <col min="2" max="2" width="25.5703125" style="1" customWidth="1"/>
    <col min="3" max="3" width="25.5703125" style="1138" customWidth="1"/>
    <col min="4" max="6" width="25.5703125" style="271" customWidth="1"/>
    <col min="7" max="8" width="25.5703125" style="1" customWidth="1"/>
    <col min="9" max="10" width="25.5703125" style="9" customWidth="1"/>
    <col min="11" max="11" width="25.5703125" style="1" customWidth="1"/>
    <col min="12" max="12" width="25.5703125" style="9" customWidth="1"/>
    <col min="13" max="13" width="12.42578125" style="3" customWidth="1"/>
    <col min="14" max="14" width="25.5703125" style="3" customWidth="1"/>
    <col min="15" max="16384" width="25.5703125" style="3"/>
  </cols>
  <sheetData>
    <row r="1" spans="1:13" ht="17.25" customHeight="1">
      <c r="B1" s="10"/>
      <c r="C1" s="3624"/>
      <c r="D1" s="3624"/>
      <c r="E1" s="3624"/>
      <c r="F1" s="3624"/>
      <c r="G1" s="3624"/>
      <c r="H1" s="3624"/>
      <c r="I1" s="3624"/>
      <c r="J1" s="3624"/>
      <c r="L1" s="1349"/>
    </row>
    <row r="2" spans="1:13" ht="34.5" customHeight="1">
      <c r="A2" s="3698" t="s">
        <v>3116</v>
      </c>
      <c r="B2" s="3698"/>
      <c r="C2" s="3698"/>
      <c r="D2" s="3698"/>
      <c r="E2" s="3698"/>
      <c r="F2" s="3698"/>
      <c r="G2" s="3698"/>
      <c r="H2" s="3698"/>
      <c r="I2" s="3698"/>
      <c r="J2" s="3698"/>
      <c r="K2" s="3698"/>
      <c r="L2" s="3698"/>
      <c r="M2" s="287"/>
    </row>
    <row r="3" spans="1:13" ht="29.25" customHeight="1">
      <c r="A3" s="3696">
        <f>C3-5000</f>
        <v>78618</v>
      </c>
      <c r="B3" s="3629"/>
      <c r="C3" s="1177">
        <f>SUBTOTAL(9,C5:C33)</f>
        <v>83618</v>
      </c>
      <c r="D3" s="3697"/>
      <c r="E3" s="3697"/>
      <c r="F3" s="3697"/>
      <c r="G3" s="3697"/>
      <c r="H3" s="3697"/>
      <c r="I3" s="3697"/>
      <c r="J3" s="1350">
        <f ca="1">TODAY()</f>
        <v>45960</v>
      </c>
      <c r="K3" s="1350"/>
      <c r="L3" s="1350"/>
      <c r="M3" s="287"/>
    </row>
    <row r="4" spans="1:13" s="7" customFormat="1" ht="56.25" customHeight="1">
      <c r="A4" s="361" t="s">
        <v>1</v>
      </c>
      <c r="B4" s="204" t="s">
        <v>2</v>
      </c>
      <c r="C4" s="1432" t="s">
        <v>3</v>
      </c>
      <c r="D4" s="204" t="s">
        <v>4</v>
      </c>
      <c r="E4" s="204" t="s">
        <v>6</v>
      </c>
      <c r="F4" s="204" t="s">
        <v>221</v>
      </c>
      <c r="G4" s="204" t="s">
        <v>8</v>
      </c>
      <c r="H4" s="204" t="s">
        <v>9</v>
      </c>
      <c r="I4" s="206" t="s">
        <v>10</v>
      </c>
      <c r="J4" s="204" t="s">
        <v>11</v>
      </c>
      <c r="K4" s="204" t="s">
        <v>5</v>
      </c>
      <c r="L4" s="204" t="s">
        <v>13</v>
      </c>
      <c r="M4" s="1404" t="e">
        <f>SUM(#REF!)</f>
        <v>#REF!</v>
      </c>
    </row>
    <row r="5" spans="1:13" s="659" customFormat="1" ht="55.5" customHeight="1">
      <c r="A5" s="1299" cm="1">
        <f t="array" ref="A5:A24">_xlfn.SEQUENCE(20,1,1,)</f>
        <v>1</v>
      </c>
      <c r="B5" s="1300" t="s">
        <v>249</v>
      </c>
      <c r="C5" s="1301">
        <v>3000</v>
      </c>
      <c r="D5" s="1302" t="s">
        <v>226</v>
      </c>
      <c r="E5" s="1302" t="s">
        <v>3117</v>
      </c>
      <c r="F5" s="1302"/>
      <c r="G5" s="1303" t="s">
        <v>19</v>
      </c>
      <c r="H5" s="1300" t="s">
        <v>172</v>
      </c>
      <c r="I5" s="1440" t="s">
        <v>3118</v>
      </c>
      <c r="J5" s="1300">
        <f>3000-850</f>
        <v>2150</v>
      </c>
      <c r="K5" s="1300" t="s">
        <v>84</v>
      </c>
      <c r="L5" s="1300"/>
    </row>
    <row r="6" spans="1:13" s="659" customFormat="1" ht="150">
      <c r="A6" s="1299">
        <v>2</v>
      </c>
      <c r="B6" s="1300" t="s">
        <v>274</v>
      </c>
      <c r="C6" s="1301">
        <v>4250</v>
      </c>
      <c r="D6" s="1302" t="s">
        <v>226</v>
      </c>
      <c r="E6" s="1302" t="s">
        <v>3119</v>
      </c>
      <c r="F6" s="1302"/>
      <c r="G6" s="1303" t="s">
        <v>19</v>
      </c>
      <c r="H6" s="1300" t="s">
        <v>393</v>
      </c>
      <c r="I6" s="1440" t="s">
        <v>3120</v>
      </c>
      <c r="J6" s="1300" t="s">
        <v>3121</v>
      </c>
      <c r="K6" s="1300" t="s">
        <v>84</v>
      </c>
      <c r="L6" s="1300" t="s">
        <v>3122</v>
      </c>
    </row>
    <row r="7" spans="1:13" s="659" customFormat="1" ht="171" customHeight="1">
      <c r="A7" s="1299">
        <v>3</v>
      </c>
      <c r="B7" s="1300" t="s">
        <v>279</v>
      </c>
      <c r="C7" s="1301">
        <v>16000</v>
      </c>
      <c r="D7" s="1302" t="s">
        <v>226</v>
      </c>
      <c r="E7" s="1436" t="s">
        <v>3123</v>
      </c>
      <c r="F7" s="1302"/>
      <c r="G7" s="1303" t="s">
        <v>19</v>
      </c>
      <c r="H7" s="1300" t="s">
        <v>172</v>
      </c>
      <c r="I7" s="1440" t="s">
        <v>3124</v>
      </c>
      <c r="J7" s="1302" t="s">
        <v>3125</v>
      </c>
      <c r="K7" s="1300" t="s">
        <v>43</v>
      </c>
      <c r="L7" s="1302" t="s">
        <v>3126</v>
      </c>
    </row>
    <row r="8" spans="1:13" s="659" customFormat="1" ht="103.5" customHeight="1">
      <c r="A8" s="1299">
        <v>4</v>
      </c>
      <c r="B8" s="1300" t="s">
        <v>700</v>
      </c>
      <c r="C8" s="1301">
        <v>6770</v>
      </c>
      <c r="D8" s="1302" t="s">
        <v>226</v>
      </c>
      <c r="E8" s="1436" t="s">
        <v>3127</v>
      </c>
      <c r="F8" s="1302"/>
      <c r="G8" s="1303" t="s">
        <v>19</v>
      </c>
      <c r="H8" s="1300" t="s">
        <v>172</v>
      </c>
      <c r="I8" s="1440" t="s">
        <v>3128</v>
      </c>
      <c r="J8" s="1302"/>
      <c r="K8" s="1300" t="s">
        <v>16</v>
      </c>
      <c r="L8" s="1302" t="s">
        <v>3129</v>
      </c>
    </row>
    <row r="9" spans="1:13" s="659" customFormat="1" ht="75" customHeight="1">
      <c r="A9" s="1299">
        <v>5</v>
      </c>
      <c r="B9" s="1300" t="s">
        <v>3130</v>
      </c>
      <c r="C9" s="1301">
        <v>5000</v>
      </c>
      <c r="D9" s="1302" t="s">
        <v>226</v>
      </c>
      <c r="E9" s="1302" t="s">
        <v>3131</v>
      </c>
      <c r="F9" s="1302"/>
      <c r="G9" s="1303" t="s">
        <v>19</v>
      </c>
      <c r="H9" s="1300" t="s">
        <v>3055</v>
      </c>
      <c r="I9" s="1304" t="s">
        <v>3132</v>
      </c>
      <c r="J9" s="1437" t="s">
        <v>3133</v>
      </c>
      <c r="K9" s="1300" t="s">
        <v>265</v>
      </c>
      <c r="L9" s="1302" t="s">
        <v>3134</v>
      </c>
      <c r="M9" s="841"/>
    </row>
    <row r="10" spans="1:13" s="659" customFormat="1" ht="77.25" customHeight="1">
      <c r="A10" s="1299">
        <v>6</v>
      </c>
      <c r="B10" s="1300" t="s">
        <v>270</v>
      </c>
      <c r="C10" s="1301">
        <v>3940</v>
      </c>
      <c r="D10" s="1302" t="s">
        <v>226</v>
      </c>
      <c r="E10" s="1438" t="s">
        <v>3135</v>
      </c>
      <c r="F10" s="1439"/>
      <c r="G10" s="1303" t="s">
        <v>19</v>
      </c>
      <c r="H10" s="1300" t="s">
        <v>172</v>
      </c>
      <c r="I10" s="1440" t="s">
        <v>3136</v>
      </c>
      <c r="J10" s="1441"/>
      <c r="K10" s="1300" t="s">
        <v>84</v>
      </c>
      <c r="L10" s="1441"/>
      <c r="M10" s="841"/>
    </row>
    <row r="11" spans="1:13" s="659" customFormat="1" ht="77.25" customHeight="1">
      <c r="A11" s="1299">
        <v>7</v>
      </c>
      <c r="B11" s="1442" t="s">
        <v>290</v>
      </c>
      <c r="C11" s="1443">
        <v>3088</v>
      </c>
      <c r="D11" s="1444" t="s">
        <v>226</v>
      </c>
      <c r="E11" s="1445"/>
      <c r="F11" s="1446"/>
      <c r="G11" s="1303" t="s">
        <v>19</v>
      </c>
      <c r="H11" s="1300" t="s">
        <v>172</v>
      </c>
      <c r="I11" s="1447" t="s">
        <v>3137</v>
      </c>
      <c r="J11" s="1448"/>
      <c r="K11" s="1300" t="s">
        <v>89</v>
      </c>
      <c r="L11" s="1441"/>
      <c r="M11" s="841"/>
    </row>
    <row r="12" spans="1:13" s="841" customFormat="1" ht="121.5" customHeight="1">
      <c r="A12" s="1299">
        <v>8</v>
      </c>
      <c r="B12" s="1442" t="s">
        <v>3138</v>
      </c>
      <c r="C12" s="1301">
        <v>4000</v>
      </c>
      <c r="D12" s="1302" t="s">
        <v>226</v>
      </c>
      <c r="E12" s="1449" t="s">
        <v>3139</v>
      </c>
      <c r="F12" s="1450"/>
      <c r="G12" s="1300" t="s">
        <v>19</v>
      </c>
      <c r="H12" s="1442" t="s">
        <v>172</v>
      </c>
      <c r="I12" s="1451" t="s">
        <v>3140</v>
      </c>
      <c r="J12" s="1451" t="s">
        <v>3141</v>
      </c>
      <c r="K12" s="1300" t="s">
        <v>84</v>
      </c>
      <c r="L12" s="1441"/>
    </row>
    <row r="13" spans="1:13" s="841" customFormat="1" ht="213.75" customHeight="1">
      <c r="A13" s="1299">
        <v>9</v>
      </c>
      <c r="B13" s="1300" t="s">
        <v>697</v>
      </c>
      <c r="C13" s="1301">
        <v>16000</v>
      </c>
      <c r="D13" s="1302" t="s">
        <v>3142</v>
      </c>
      <c r="E13" s="1454" t="s">
        <v>3143</v>
      </c>
      <c r="F13" s="1455" t="s">
        <v>3144</v>
      </c>
      <c r="G13" s="1300" t="s">
        <v>19</v>
      </c>
      <c r="H13" s="1300" t="s">
        <v>172</v>
      </c>
      <c r="I13" s="1440" t="s">
        <v>3145</v>
      </c>
      <c r="J13" s="1304" t="s">
        <v>3146</v>
      </c>
      <c r="K13" s="1300" t="s">
        <v>43</v>
      </c>
      <c r="L13" s="1441">
        <f>16000-1200-1000-1000-3000-900-2000</f>
        <v>6900</v>
      </c>
    </row>
    <row r="14" spans="1:13" s="841" customFormat="1" ht="100.5" customHeight="1">
      <c r="A14" s="1299">
        <v>10</v>
      </c>
      <c r="B14" s="1300" t="s">
        <v>312</v>
      </c>
      <c r="C14" s="1301">
        <v>11800</v>
      </c>
      <c r="D14" s="1302" t="s">
        <v>226</v>
      </c>
      <c r="E14" s="1302" t="s">
        <v>3147</v>
      </c>
      <c r="F14" s="1455"/>
      <c r="G14" s="1300" t="s">
        <v>19</v>
      </c>
      <c r="H14" s="1456" t="s">
        <v>172</v>
      </c>
      <c r="I14" s="684" t="s">
        <v>3148</v>
      </c>
      <c r="J14" s="1304"/>
      <c r="K14" s="1300" t="s">
        <v>43</v>
      </c>
      <c r="L14" s="1441"/>
    </row>
    <row r="15" spans="1:13" s="1467" customFormat="1" ht="50.25" customHeight="1">
      <c r="A15" s="1457">
        <v>11</v>
      </c>
      <c r="B15" s="1458" t="s">
        <v>700</v>
      </c>
      <c r="C15" s="1459">
        <v>6770</v>
      </c>
      <c r="D15" s="1460" t="s">
        <v>226</v>
      </c>
      <c r="E15" s="1460" t="s">
        <v>3149</v>
      </c>
      <c r="F15" s="1461"/>
      <c r="G15" s="1462" t="s">
        <v>19</v>
      </c>
      <c r="H15" s="1463" t="s">
        <v>172</v>
      </c>
      <c r="I15" s="1464" t="s">
        <v>3150</v>
      </c>
      <c r="J15" s="1465"/>
      <c r="K15" s="1458" t="s">
        <v>43</v>
      </c>
      <c r="L15" s="1466"/>
    </row>
    <row r="16" spans="1:13" s="1467" customFormat="1" ht="50.25" customHeight="1">
      <c r="A16" s="1457">
        <v>12</v>
      </c>
      <c r="B16" s="1458" t="s">
        <v>249</v>
      </c>
      <c r="C16" s="1459">
        <v>3000</v>
      </c>
      <c r="D16" s="1460" t="s">
        <v>226</v>
      </c>
      <c r="E16" s="1460" t="s">
        <v>3151</v>
      </c>
      <c r="F16" s="1461"/>
      <c r="G16" s="1458" t="s">
        <v>19</v>
      </c>
      <c r="H16" s="1458" t="s">
        <v>101</v>
      </c>
      <c r="I16" s="1472" t="s">
        <v>3152</v>
      </c>
      <c r="J16" s="1468" t="s">
        <v>3153</v>
      </c>
      <c r="K16" s="1469" t="s">
        <v>84</v>
      </c>
      <c r="L16" s="1470"/>
    </row>
    <row r="17" spans="1:12" ht="50.25" customHeight="1">
      <c r="A17" s="360">
        <v>13</v>
      </c>
      <c r="B17" s="3699" t="s">
        <v>222</v>
      </c>
      <c r="C17" s="3700"/>
      <c r="D17" s="3700"/>
      <c r="E17" s="3700"/>
      <c r="F17" s="3700"/>
      <c r="G17" s="3700"/>
      <c r="H17" s="3700"/>
      <c r="I17" s="3700"/>
      <c r="J17" s="3700"/>
      <c r="K17" s="3700"/>
      <c r="L17" s="3701"/>
    </row>
    <row r="18" spans="1:12" ht="97.5" customHeight="1">
      <c r="A18" s="1452">
        <v>14</v>
      </c>
      <c r="B18" s="41"/>
      <c r="C18" s="1282"/>
      <c r="D18" s="90"/>
      <c r="E18" s="1435"/>
      <c r="F18" s="1435"/>
      <c r="G18" s="41"/>
      <c r="H18" s="41"/>
      <c r="I18" s="507"/>
      <c r="J18" s="44"/>
      <c r="K18" s="41"/>
      <c r="L18" s="1453"/>
    </row>
    <row r="19" spans="1:12" ht="37.5" customHeight="1">
      <c r="A19" s="360">
        <v>15</v>
      </c>
      <c r="B19" s="642"/>
      <c r="C19" s="1433"/>
      <c r="D19" s="3690" t="s">
        <v>3154</v>
      </c>
      <c r="E19" s="3691"/>
      <c r="F19" s="3691"/>
      <c r="G19" s="3691"/>
      <c r="H19" s="3691"/>
      <c r="I19" s="3692"/>
      <c r="J19" s="1434"/>
      <c r="K19" s="642"/>
      <c r="L19" s="1434"/>
    </row>
    <row r="20" spans="1:12" ht="37.5" customHeight="1">
      <c r="A20" s="360">
        <v>16</v>
      </c>
      <c r="B20" s="41"/>
      <c r="C20" s="1282"/>
      <c r="D20" s="3690"/>
      <c r="E20" s="3691"/>
      <c r="F20" s="3691"/>
      <c r="G20" s="3691"/>
      <c r="H20" s="3691"/>
      <c r="I20" s="3692"/>
      <c r="J20" s="44"/>
      <c r="K20" s="41"/>
      <c r="L20" s="44"/>
    </row>
    <row r="21" spans="1:12" ht="37.5" customHeight="1">
      <c r="A21" s="360">
        <v>17</v>
      </c>
      <c r="B21" s="41"/>
      <c r="C21" s="1282"/>
      <c r="D21" s="3690"/>
      <c r="E21" s="3691"/>
      <c r="F21" s="3691"/>
      <c r="G21" s="3691"/>
      <c r="H21" s="3691"/>
      <c r="I21" s="3692"/>
      <c r="J21" s="44"/>
      <c r="K21" s="41"/>
      <c r="L21" s="44"/>
    </row>
    <row r="22" spans="1:12" ht="37.5" customHeight="1">
      <c r="A22" s="360">
        <v>18</v>
      </c>
      <c r="B22" s="41"/>
      <c r="C22" s="1282"/>
      <c r="D22" s="3690"/>
      <c r="E22" s="3691"/>
      <c r="F22" s="3691"/>
      <c r="G22" s="3691"/>
      <c r="H22" s="3691"/>
      <c r="I22" s="3692"/>
      <c r="J22" s="44"/>
      <c r="K22" s="41"/>
      <c r="L22" s="44"/>
    </row>
    <row r="23" spans="1:12" ht="37.5" customHeight="1">
      <c r="A23" s="360">
        <v>19</v>
      </c>
      <c r="B23" s="41"/>
      <c r="C23" s="1282"/>
      <c r="D23" s="3693"/>
      <c r="E23" s="3694"/>
      <c r="F23" s="3694"/>
      <c r="G23" s="3694"/>
      <c r="H23" s="3694"/>
      <c r="I23" s="3695"/>
      <c r="J23" s="44"/>
      <c r="K23" s="41"/>
      <c r="L23" s="44"/>
    </row>
    <row r="24" spans="1:12" ht="37.5" customHeight="1">
      <c r="A24" s="360">
        <v>20</v>
      </c>
      <c r="B24" s="41"/>
      <c r="C24" s="1282"/>
      <c r="D24" s="90"/>
      <c r="E24" s="90"/>
      <c r="F24" s="90"/>
      <c r="G24" s="41"/>
      <c r="H24" s="41"/>
      <c r="I24" s="44"/>
      <c r="J24" s="44"/>
      <c r="K24" s="41"/>
      <c r="L24" s="44"/>
    </row>
  </sheetData>
  <autoFilter ref="A4:O12" xr:uid="{00000000-0009-0000-0000-000001000000}"/>
  <mergeCells count="6">
    <mergeCell ref="D19:I23"/>
    <mergeCell ref="C1:J1"/>
    <mergeCell ref="A3:B3"/>
    <mergeCell ref="D3:I3"/>
    <mergeCell ref="A2:L2"/>
    <mergeCell ref="B17:L17"/>
  </mergeCells>
  <conditionalFormatting sqref="A1:A3">
    <cfRule type="duplicateValues" dxfId="465" priority="8"/>
  </conditionalFormatting>
  <conditionalFormatting sqref="A4">
    <cfRule type="duplicateValues" dxfId="464" priority="4"/>
  </conditionalFormatting>
  <conditionalFormatting sqref="B4">
    <cfRule type="duplicateValues" dxfId="463" priority="1"/>
    <cfRule type="duplicateValues" dxfId="462" priority="2"/>
    <cfRule type="duplicateValues" dxfId="461" priority="3"/>
  </conditionalFormatting>
  <pageMargins left="0.7" right="0.7" top="0.75" bottom="0.75" header="0.3" footer="0.3"/>
  <pageSetup paperSize="9" scale="33" orientation="landscape" r:id="rId1"/>
</worksheet>
</file>

<file path=xl/worksheets/sheet2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3DCF52-F2CE-4E59-A405-44FDBA826EA9}">
  <sheetPr>
    <tabColor theme="2"/>
    <pageSetUpPr fitToPage="1"/>
  </sheetPr>
  <dimension ref="A1:N52"/>
  <sheetViews>
    <sheetView topLeftCell="A2" zoomScale="65" zoomScaleNormal="70" workbookViewId="0">
      <pane xSplit="3" ySplit="4" topLeftCell="H10" activePane="bottomRight" state="frozen"/>
      <selection pane="topRight" activeCell="E39" sqref="E39"/>
      <selection pane="bottomLeft" activeCell="E39" sqref="E39"/>
      <selection pane="bottomRight" activeCell="E39" sqref="E39"/>
    </sheetView>
  </sheetViews>
  <sheetFormatPr defaultColWidth="25.5703125" defaultRowHeight="58.5" customHeight="1"/>
  <cols>
    <col min="1" max="1" width="7.28515625" style="359" customWidth="1"/>
    <col min="2" max="2" width="31.42578125" style="1" customWidth="1"/>
    <col min="3" max="3" width="14" style="804" customWidth="1"/>
    <col min="4" max="4" width="22.28515625" style="271" customWidth="1"/>
    <col min="5" max="5" width="27.140625" style="1" customWidth="1"/>
    <col min="6" max="6" width="28.5703125" style="271" customWidth="1"/>
    <col min="7" max="7" width="21.42578125" style="271" customWidth="1"/>
    <col min="8" max="8" width="18" style="1" customWidth="1"/>
    <col min="9" max="9" width="26.7109375" style="1" customWidth="1"/>
    <col min="10" max="10" width="114" style="9" customWidth="1"/>
    <col min="11" max="11" width="64.85546875" style="9" customWidth="1"/>
    <col min="12" max="12" width="25.85546875" style="1" customWidth="1"/>
    <col min="13" max="13" width="18.85546875" style="1" customWidth="1"/>
    <col min="14" max="14" width="12.42578125" style="3" hidden="1" customWidth="1"/>
    <col min="15" max="15" width="34.5703125" style="3" customWidth="1"/>
    <col min="16" max="16384" width="25.5703125" style="3"/>
  </cols>
  <sheetData>
    <row r="1" spans="1:14" ht="58.5" customHeight="1">
      <c r="B1" s="10"/>
      <c r="C1" s="3624"/>
      <c r="D1" s="3624"/>
      <c r="E1" s="3624"/>
      <c r="F1" s="3624"/>
      <c r="G1" s="3624"/>
      <c r="H1" s="3624"/>
      <c r="I1" s="3624"/>
      <c r="J1" s="3624"/>
      <c r="K1" s="3624"/>
      <c r="M1" s="1848"/>
    </row>
    <row r="2" spans="1:14" ht="59.25" customHeight="1">
      <c r="A2" s="3625" t="s">
        <v>3155</v>
      </c>
      <c r="B2" s="3625"/>
      <c r="C2" s="3625"/>
      <c r="D2" s="3625"/>
      <c r="E2" s="3625"/>
      <c r="F2" s="3625"/>
      <c r="G2" s="3625"/>
      <c r="H2" s="3625"/>
      <c r="I2" s="3625"/>
      <c r="J2" s="3625"/>
      <c r="K2" s="3625"/>
      <c r="L2" s="3625"/>
      <c r="M2" s="3625"/>
      <c r="N2" s="287"/>
    </row>
    <row r="3" spans="1:14" s="1725" customFormat="1" ht="45" customHeight="1">
      <c r="A3" s="1723"/>
      <c r="B3" s="3626"/>
      <c r="C3" s="3627"/>
      <c r="D3" s="3627"/>
      <c r="E3" s="3627"/>
      <c r="F3" s="3627"/>
      <c r="G3" s="3627"/>
      <c r="H3" s="3627"/>
      <c r="I3" s="3627"/>
      <c r="J3" s="3627"/>
      <c r="K3" s="3627"/>
      <c r="L3" s="3627"/>
      <c r="M3" s="3628"/>
      <c r="N3" s="1724"/>
    </row>
    <row r="4" spans="1:14" ht="30" customHeight="1">
      <c r="A4" s="3629"/>
      <c r="B4" s="3629"/>
      <c r="C4" s="1810">
        <f>SUBTOTAL(9,C6:C38)</f>
        <v>228800</v>
      </c>
      <c r="D4" s="1503"/>
      <c r="E4" s="1504"/>
      <c r="F4" s="1503"/>
      <c r="G4" s="1503"/>
      <c r="H4" s="1503"/>
      <c r="I4" s="1503"/>
      <c r="J4" s="1504">
        <f ca="1">TODAY()</f>
        <v>45960</v>
      </c>
      <c r="L4" s="1504"/>
      <c r="M4" s="1849"/>
      <c r="N4" s="287"/>
    </row>
    <row r="5" spans="1:14" s="1535" customFormat="1" ht="36" customHeight="1">
      <c r="A5" s="361" t="s">
        <v>1</v>
      </c>
      <c r="B5" s="204" t="s">
        <v>2</v>
      </c>
      <c r="C5" s="1811" t="s">
        <v>3</v>
      </c>
      <c r="D5" s="204" t="s">
        <v>4</v>
      </c>
      <c r="E5" s="204" t="s">
        <v>5</v>
      </c>
      <c r="F5" s="204" t="s">
        <v>6</v>
      </c>
      <c r="G5" s="204" t="s">
        <v>221</v>
      </c>
      <c r="H5" s="204" t="s">
        <v>8</v>
      </c>
      <c r="I5" s="204" t="s">
        <v>9</v>
      </c>
      <c r="J5" s="204" t="s">
        <v>10</v>
      </c>
      <c r="K5" s="204" t="s">
        <v>11</v>
      </c>
      <c r="L5" s="204" t="s">
        <v>12</v>
      </c>
      <c r="M5" s="204" t="s">
        <v>13</v>
      </c>
      <c r="N5" s="1534" t="e">
        <f>SUM(#REF!)</f>
        <v>#REF!</v>
      </c>
    </row>
    <row r="6" spans="1:14" s="1548" customFormat="1" ht="69" customHeight="1">
      <c r="A6" s="1542" cm="1">
        <f t="array" ref="A6:A52">_xlfn.SEQUENCE(47,1,1)</f>
        <v>1</v>
      </c>
      <c r="B6" s="1493" t="s">
        <v>206</v>
      </c>
      <c r="C6" s="1826">
        <v>4300</v>
      </c>
      <c r="D6" s="1495" t="s">
        <v>3156</v>
      </c>
      <c r="E6" s="1493" t="s">
        <v>43</v>
      </c>
      <c r="F6" s="1495" t="s">
        <v>3157</v>
      </c>
      <c r="G6" s="1495"/>
      <c r="H6" s="1493" t="s">
        <v>19</v>
      </c>
      <c r="I6" s="1493" t="s">
        <v>199</v>
      </c>
      <c r="J6" s="1600" t="s">
        <v>3158</v>
      </c>
      <c r="K6" s="1547"/>
      <c r="L6" s="1493"/>
      <c r="M6" s="1790"/>
    </row>
    <row r="7" spans="1:14" s="1548" customFormat="1" ht="69" customHeight="1">
      <c r="A7" s="1542">
        <v>2</v>
      </c>
      <c r="B7" s="1493" t="s">
        <v>59</v>
      </c>
      <c r="C7" s="1826">
        <v>3200</v>
      </c>
      <c r="D7" s="1495" t="s">
        <v>3159</v>
      </c>
      <c r="E7" s="1493" t="s">
        <v>89</v>
      </c>
      <c r="F7" s="1495" t="s">
        <v>3160</v>
      </c>
      <c r="G7" s="1495"/>
      <c r="H7" s="1493" t="s">
        <v>19</v>
      </c>
      <c r="I7" s="1493" t="s">
        <v>101</v>
      </c>
      <c r="J7" s="1843" t="s">
        <v>3161</v>
      </c>
      <c r="K7" s="1547"/>
      <c r="L7" s="1493"/>
      <c r="M7" s="1790"/>
    </row>
    <row r="8" spans="1:14" s="1548" customFormat="1" ht="69" customHeight="1">
      <c r="A8" s="1542">
        <v>3</v>
      </c>
      <c r="B8" s="1493" t="s">
        <v>3162</v>
      </c>
      <c r="C8" s="1826">
        <v>10000</v>
      </c>
      <c r="D8" s="1495" t="s">
        <v>3163</v>
      </c>
      <c r="E8" s="1493" t="s">
        <v>25</v>
      </c>
      <c r="F8" s="1495" t="s">
        <v>3164</v>
      </c>
      <c r="G8" s="1495" t="s">
        <v>1486</v>
      </c>
      <c r="H8" s="1493" t="s">
        <v>19</v>
      </c>
      <c r="I8" s="1493" t="s">
        <v>178</v>
      </c>
      <c r="J8" s="1547" t="s">
        <v>3165</v>
      </c>
      <c r="K8" s="1547" t="s">
        <v>3166</v>
      </c>
      <c r="L8" s="1493"/>
      <c r="M8" s="1790"/>
    </row>
    <row r="9" spans="1:14" s="1548" customFormat="1" ht="146.25" customHeight="1">
      <c r="A9" s="1542">
        <v>4</v>
      </c>
      <c r="B9" s="1493" t="s">
        <v>112</v>
      </c>
      <c r="C9" s="1826">
        <v>11600</v>
      </c>
      <c r="D9" s="1766" t="s">
        <v>3163</v>
      </c>
      <c r="E9" s="1493" t="s">
        <v>84</v>
      </c>
      <c r="F9" s="1495" t="s">
        <v>3164</v>
      </c>
      <c r="G9" s="1495"/>
      <c r="H9" s="1493" t="s">
        <v>19</v>
      </c>
      <c r="I9" s="1493" t="s">
        <v>3167</v>
      </c>
      <c r="J9" s="1600" t="s">
        <v>3168</v>
      </c>
      <c r="K9" s="1547"/>
      <c r="L9" s="1493"/>
      <c r="M9" s="1790"/>
    </row>
    <row r="10" spans="1:14" s="1548" customFormat="1" ht="137.25" customHeight="1">
      <c r="A10" s="1542">
        <v>5</v>
      </c>
      <c r="B10" s="1493" t="s">
        <v>2927</v>
      </c>
      <c r="C10" s="1826">
        <v>12000</v>
      </c>
      <c r="D10" s="1766" t="s">
        <v>3156</v>
      </c>
      <c r="E10" s="1493" t="s">
        <v>43</v>
      </c>
      <c r="F10" s="1495" t="s">
        <v>3169</v>
      </c>
      <c r="G10" s="1495"/>
      <c r="H10" s="1493" t="s">
        <v>19</v>
      </c>
      <c r="I10" s="1493" t="s">
        <v>45</v>
      </c>
      <c r="J10" s="1600" t="s">
        <v>3170</v>
      </c>
      <c r="K10" s="1600" t="s">
        <v>3171</v>
      </c>
      <c r="L10" s="1493"/>
      <c r="M10" s="1790"/>
    </row>
    <row r="11" spans="1:14" s="1548" customFormat="1" ht="71.25" customHeight="1">
      <c r="A11" s="1542">
        <v>6</v>
      </c>
      <c r="B11" s="1493" t="s">
        <v>117</v>
      </c>
      <c r="C11" s="1826">
        <v>4000</v>
      </c>
      <c r="D11" s="1495" t="s">
        <v>3172</v>
      </c>
      <c r="E11" s="1493" t="s">
        <v>61</v>
      </c>
      <c r="F11" s="1495" t="s">
        <v>3160</v>
      </c>
      <c r="G11" s="1495"/>
      <c r="H11" s="1493" t="s">
        <v>19</v>
      </c>
      <c r="I11" s="1545" t="s">
        <v>63</v>
      </c>
      <c r="J11" s="1600" t="s">
        <v>3173</v>
      </c>
      <c r="K11" s="1600" t="s">
        <v>3174</v>
      </c>
      <c r="L11" s="1493"/>
      <c r="M11" s="1790"/>
    </row>
    <row r="12" spans="1:14" s="1559" customFormat="1" ht="70.5" customHeight="1">
      <c r="A12" s="1553">
        <v>7</v>
      </c>
      <c r="B12" s="1545" t="s">
        <v>2921</v>
      </c>
      <c r="C12" s="1827">
        <v>6080</v>
      </c>
      <c r="D12" s="1543" t="s">
        <v>3175</v>
      </c>
      <c r="E12" s="1545" t="s">
        <v>43</v>
      </c>
      <c r="F12" s="1495" t="s">
        <v>3176</v>
      </c>
      <c r="G12" s="1543"/>
      <c r="H12" s="1493" t="s">
        <v>19</v>
      </c>
      <c r="I12" s="1545" t="s">
        <v>45</v>
      </c>
      <c r="J12" s="1605" t="s">
        <v>3177</v>
      </c>
      <c r="K12" s="1828"/>
      <c r="L12" s="1545"/>
      <c r="M12" s="1852"/>
    </row>
    <row r="13" spans="1:14" s="1548" customFormat="1" ht="78" customHeight="1">
      <c r="A13" s="1542">
        <v>8</v>
      </c>
      <c r="B13" s="1493" t="s">
        <v>3178</v>
      </c>
      <c r="C13" s="1826">
        <f>10000+700</f>
        <v>10700</v>
      </c>
      <c r="D13" s="1495" t="s">
        <v>3179</v>
      </c>
      <c r="E13" s="1493" t="s">
        <v>25</v>
      </c>
      <c r="F13" s="1495" t="s">
        <v>3180</v>
      </c>
      <c r="G13" s="1495"/>
      <c r="H13" s="1493" t="s">
        <v>19</v>
      </c>
      <c r="I13" s="1495" t="s">
        <v>3181</v>
      </c>
      <c r="J13" s="1600" t="s">
        <v>3182</v>
      </c>
      <c r="K13" s="1547" t="s">
        <v>3183</v>
      </c>
      <c r="L13" s="1493"/>
      <c r="M13" s="1790"/>
    </row>
    <row r="14" spans="1:14" s="1548" customFormat="1" ht="73.5" customHeight="1">
      <c r="A14" s="1542">
        <v>9</v>
      </c>
      <c r="B14" s="1493" t="s">
        <v>3184</v>
      </c>
      <c r="C14" s="1826">
        <v>15000</v>
      </c>
      <c r="D14" s="1495" t="s">
        <v>3185</v>
      </c>
      <c r="E14" s="1493" t="s">
        <v>25</v>
      </c>
      <c r="F14" s="1495" t="s">
        <v>3180</v>
      </c>
      <c r="G14" s="1495"/>
      <c r="H14" s="1493" t="s">
        <v>19</v>
      </c>
      <c r="I14" s="1545" t="s">
        <v>69</v>
      </c>
      <c r="J14" s="1843" t="s">
        <v>3186</v>
      </c>
      <c r="K14" s="1547" t="s">
        <v>3166</v>
      </c>
      <c r="L14" s="1493"/>
      <c r="M14" s="1790"/>
    </row>
    <row r="15" spans="1:14" s="1548" customFormat="1" ht="130.5" customHeight="1">
      <c r="A15" s="1542">
        <v>10</v>
      </c>
      <c r="B15" s="1493" t="s">
        <v>42</v>
      </c>
      <c r="C15" s="1826">
        <v>6000</v>
      </c>
      <c r="D15" s="1495" t="s">
        <v>3187</v>
      </c>
      <c r="E15" s="1493" t="s">
        <v>43</v>
      </c>
      <c r="F15" s="1495" t="s">
        <v>3160</v>
      </c>
      <c r="G15" s="1495"/>
      <c r="H15" s="1493" t="s">
        <v>19</v>
      </c>
      <c r="I15" s="1493" t="s">
        <v>45</v>
      </c>
      <c r="J15" s="1600" t="s">
        <v>3188</v>
      </c>
      <c r="K15" s="1845" t="s">
        <v>3189</v>
      </c>
      <c r="L15" s="1493"/>
      <c r="M15" s="1790"/>
    </row>
    <row r="16" spans="1:14" s="1548" customFormat="1" ht="71.25" customHeight="1">
      <c r="A16" s="1542">
        <v>11</v>
      </c>
      <c r="B16" s="1493" t="s">
        <v>211</v>
      </c>
      <c r="C16" s="1826">
        <v>4000</v>
      </c>
      <c r="D16" s="1495" t="s">
        <v>3190</v>
      </c>
      <c r="E16" s="1493" t="s">
        <v>61</v>
      </c>
      <c r="F16" s="1495" t="s">
        <v>3160</v>
      </c>
      <c r="G16" s="1495"/>
      <c r="H16" s="1493" t="s">
        <v>19</v>
      </c>
      <c r="I16" s="1493" t="s">
        <v>74</v>
      </c>
      <c r="J16" s="1600" t="s">
        <v>3191</v>
      </c>
      <c r="K16" s="1547"/>
      <c r="L16" s="1493"/>
      <c r="M16" s="1790"/>
    </row>
    <row r="17" spans="1:13" s="1548" customFormat="1" ht="58.5" customHeight="1">
      <c r="A17" s="1542">
        <v>12</v>
      </c>
      <c r="B17" s="1493" t="s">
        <v>71</v>
      </c>
      <c r="C17" s="1826">
        <v>3700</v>
      </c>
      <c r="D17" s="1787" t="s">
        <v>3192</v>
      </c>
      <c r="E17" s="1493" t="s">
        <v>151</v>
      </c>
      <c r="F17" s="1495" t="s">
        <v>3176</v>
      </c>
      <c r="G17" s="1495"/>
      <c r="H17" s="1493" t="s">
        <v>19</v>
      </c>
      <c r="I17" s="1493" t="s">
        <v>199</v>
      </c>
      <c r="J17" s="1547" t="s">
        <v>3193</v>
      </c>
      <c r="K17" s="1547"/>
      <c r="L17" s="1493"/>
      <c r="M17" s="1790"/>
    </row>
    <row r="18" spans="1:13" s="1548" customFormat="1" ht="109.5" customHeight="1">
      <c r="A18" s="1542">
        <v>13</v>
      </c>
      <c r="B18" s="1493" t="s">
        <v>52</v>
      </c>
      <c r="C18" s="1826">
        <v>4700</v>
      </c>
      <c r="D18" s="1495" t="s">
        <v>3192</v>
      </c>
      <c r="E18" s="1493" t="s">
        <v>54</v>
      </c>
      <c r="F18" s="1495" t="s">
        <v>3176</v>
      </c>
      <c r="H18" s="1493" t="s">
        <v>19</v>
      </c>
      <c r="I18" s="1493" t="s">
        <v>2980</v>
      </c>
      <c r="J18" s="1600" t="s">
        <v>3194</v>
      </c>
      <c r="K18" s="1547" t="s">
        <v>3195</v>
      </c>
      <c r="L18" s="1493"/>
      <c r="M18" s="1790"/>
    </row>
    <row r="19" spans="1:13" s="1548" customFormat="1" ht="64.5" customHeight="1">
      <c r="A19" s="1850">
        <v>14</v>
      </c>
      <c r="B19" s="1493" t="s">
        <v>93</v>
      </c>
      <c r="C19" s="1826">
        <v>2950</v>
      </c>
      <c r="D19" s="1495" t="s">
        <v>3196</v>
      </c>
      <c r="E19" s="1493" t="s">
        <v>84</v>
      </c>
      <c r="F19" s="1495" t="s">
        <v>3176</v>
      </c>
      <c r="G19" s="1851" t="s">
        <v>22</v>
      </c>
      <c r="H19" s="1626" t="s">
        <v>19</v>
      </c>
      <c r="I19" s="1493" t="s">
        <v>101</v>
      </c>
      <c r="J19" s="1600" t="s">
        <v>3197</v>
      </c>
      <c r="K19" s="1547"/>
      <c r="L19" s="1493"/>
      <c r="M19" s="1790"/>
    </row>
    <row r="20" spans="1:13" s="1548" customFormat="1" ht="93.75" customHeight="1">
      <c r="A20" s="1542">
        <v>15</v>
      </c>
      <c r="B20" s="1626" t="s">
        <v>87</v>
      </c>
      <c r="C20" s="1826">
        <v>3080</v>
      </c>
      <c r="D20" s="1787" t="s">
        <v>3198</v>
      </c>
      <c r="E20" s="1493" t="s">
        <v>89</v>
      </c>
      <c r="F20" s="1495" t="s">
        <v>3199</v>
      </c>
      <c r="G20" s="1495" t="s">
        <v>18</v>
      </c>
      <c r="H20" s="1626" t="s">
        <v>19</v>
      </c>
      <c r="I20" s="1493" t="s">
        <v>50</v>
      </c>
      <c r="J20" s="1600" t="s">
        <v>3200</v>
      </c>
      <c r="K20" s="1547"/>
      <c r="L20" s="1493"/>
      <c r="M20" s="1790"/>
    </row>
    <row r="21" spans="1:13" s="1548" customFormat="1" ht="108.75" customHeight="1">
      <c r="A21" s="1542">
        <v>16</v>
      </c>
      <c r="B21" s="1493" t="s">
        <v>3201</v>
      </c>
      <c r="C21" s="1826">
        <v>5360</v>
      </c>
      <c r="D21" s="1495" t="s">
        <v>3179</v>
      </c>
      <c r="E21" s="1493" t="s">
        <v>513</v>
      </c>
      <c r="F21" s="1495" t="s">
        <v>3202</v>
      </c>
      <c r="G21" s="1495" t="s">
        <v>18</v>
      </c>
      <c r="H21" s="1493" t="s">
        <v>19</v>
      </c>
      <c r="I21" s="1493" t="s">
        <v>3203</v>
      </c>
      <c r="J21" s="1600" t="s">
        <v>3204</v>
      </c>
      <c r="K21" s="1854" t="s">
        <v>3205</v>
      </c>
      <c r="L21" s="1493"/>
      <c r="M21" s="1790"/>
    </row>
    <row r="22" spans="1:13" s="1548" customFormat="1" ht="78.75" customHeight="1">
      <c r="A22" s="1542">
        <v>17</v>
      </c>
      <c r="B22" s="1493" t="s">
        <v>82</v>
      </c>
      <c r="C22" s="1826">
        <v>4250</v>
      </c>
      <c r="D22" s="1493" t="s">
        <v>3206</v>
      </c>
      <c r="E22" s="1493" t="s">
        <v>84</v>
      </c>
      <c r="F22" s="1495" t="s">
        <v>3207</v>
      </c>
      <c r="G22" s="1495" t="s">
        <v>18</v>
      </c>
      <c r="H22" s="1493" t="s">
        <v>19</v>
      </c>
      <c r="I22" s="1495" t="s">
        <v>3208</v>
      </c>
      <c r="J22" s="1600" t="s">
        <v>3209</v>
      </c>
      <c r="K22" s="1843" t="s">
        <v>3210</v>
      </c>
      <c r="L22" s="1493"/>
      <c r="M22" s="1790" t="s">
        <v>22</v>
      </c>
    </row>
    <row r="23" spans="1:13" s="1548" customFormat="1" ht="85.5" customHeight="1">
      <c r="A23" s="1553">
        <v>18</v>
      </c>
      <c r="B23" s="1493" t="s">
        <v>3211</v>
      </c>
      <c r="C23" s="1826">
        <v>4300</v>
      </c>
      <c r="D23" s="1495" t="s">
        <v>3212</v>
      </c>
      <c r="E23" s="1493" t="s">
        <v>16</v>
      </c>
      <c r="F23" s="1748" t="s">
        <v>3213</v>
      </c>
      <c r="G23" s="1495" t="s">
        <v>18</v>
      </c>
      <c r="H23" s="1493" t="s">
        <v>19</v>
      </c>
      <c r="I23" s="1493" t="s">
        <v>123</v>
      </c>
      <c r="J23" s="1600" t="s">
        <v>3214</v>
      </c>
      <c r="K23" s="1600" t="s">
        <v>3215</v>
      </c>
      <c r="L23" s="1493"/>
      <c r="M23" s="1790" t="s">
        <v>22</v>
      </c>
    </row>
    <row r="24" spans="1:13" s="1548" customFormat="1" ht="71.25" customHeight="1">
      <c r="A24" s="1542">
        <v>19</v>
      </c>
      <c r="B24" s="1626" t="s">
        <v>59</v>
      </c>
      <c r="C24" s="1826">
        <v>3250</v>
      </c>
      <c r="D24" s="1495" t="s">
        <v>3216</v>
      </c>
      <c r="E24" s="1493" t="s">
        <v>89</v>
      </c>
      <c r="F24" s="1851" t="s">
        <v>3217</v>
      </c>
      <c r="G24" s="1548" t="s">
        <v>18</v>
      </c>
      <c r="H24" s="1626" t="s">
        <v>19</v>
      </c>
      <c r="I24" s="1495" t="s">
        <v>3218</v>
      </c>
      <c r="J24" s="1600" t="s">
        <v>3219</v>
      </c>
      <c r="K24" s="1547" t="s">
        <v>3220</v>
      </c>
      <c r="L24" s="1493"/>
      <c r="M24" s="1790" t="s">
        <v>22</v>
      </c>
    </row>
    <row r="25" spans="1:13" s="1548" customFormat="1" ht="212.25" customHeight="1">
      <c r="A25" s="1553">
        <v>20</v>
      </c>
      <c r="B25" s="1601" t="s">
        <v>3221</v>
      </c>
      <c r="C25" s="1826">
        <v>22700</v>
      </c>
      <c r="D25" s="1495" t="s">
        <v>3222</v>
      </c>
      <c r="E25" s="1493" t="s">
        <v>25</v>
      </c>
      <c r="F25" s="1495" t="s">
        <v>3223</v>
      </c>
      <c r="G25" s="1548" t="s">
        <v>18</v>
      </c>
      <c r="H25" s="1493" t="s">
        <v>19</v>
      </c>
      <c r="I25" s="1493" t="s">
        <v>222</v>
      </c>
      <c r="J25" s="1843" t="s">
        <v>3224</v>
      </c>
      <c r="K25" s="1600" t="s">
        <v>3225</v>
      </c>
      <c r="L25" s="1493"/>
      <c r="M25" s="1790"/>
    </row>
    <row r="26" spans="1:13" s="1548" customFormat="1" ht="91.5" customHeight="1">
      <c r="A26" s="1542">
        <v>21</v>
      </c>
      <c r="B26" s="1493" t="s">
        <v>3226</v>
      </c>
      <c r="C26" s="1855">
        <v>20000</v>
      </c>
      <c r="D26" s="1495" t="s">
        <v>3227</v>
      </c>
      <c r="E26" s="1493" t="s">
        <v>77</v>
      </c>
      <c r="F26" s="1495" t="s">
        <v>3228</v>
      </c>
      <c r="G26" s="1548" t="s">
        <v>18</v>
      </c>
      <c r="H26" s="1493" t="s">
        <v>19</v>
      </c>
      <c r="I26" s="1493" t="s">
        <v>3229</v>
      </c>
      <c r="J26" s="1600" t="s">
        <v>3230</v>
      </c>
      <c r="K26" s="1547" t="s">
        <v>3231</v>
      </c>
      <c r="L26" s="1493"/>
      <c r="M26" s="1790"/>
    </row>
    <row r="27" spans="1:13" s="1548" customFormat="1" ht="85.5" customHeight="1">
      <c r="A27" s="1850">
        <v>22</v>
      </c>
      <c r="B27" s="1493" t="s">
        <v>2912</v>
      </c>
      <c r="C27" s="1826">
        <v>4000</v>
      </c>
      <c r="D27" s="1495" t="s">
        <v>3232</v>
      </c>
      <c r="E27" s="1493" t="s">
        <v>54</v>
      </c>
      <c r="F27" s="1770" t="s">
        <v>3233</v>
      </c>
      <c r="G27" s="1851" t="s">
        <v>18</v>
      </c>
      <c r="H27" s="1626" t="s">
        <v>19</v>
      </c>
      <c r="I27" s="1493" t="s">
        <v>50</v>
      </c>
      <c r="J27" s="1600" t="s">
        <v>3234</v>
      </c>
      <c r="K27" s="1547"/>
      <c r="L27" s="1493"/>
      <c r="M27" s="1790" t="s">
        <v>22</v>
      </c>
    </row>
    <row r="28" spans="1:13" s="1548" customFormat="1" ht="210.75" customHeight="1">
      <c r="A28" s="1850">
        <v>23</v>
      </c>
      <c r="B28" s="1630" t="s">
        <v>112</v>
      </c>
      <c r="C28" s="1826">
        <v>11500</v>
      </c>
      <c r="D28" s="1495" t="s">
        <v>3216</v>
      </c>
      <c r="E28" s="1493" t="s">
        <v>89</v>
      </c>
      <c r="F28" s="1773" t="s">
        <v>3235</v>
      </c>
      <c r="G28" s="1851" t="s">
        <v>18</v>
      </c>
      <c r="H28" s="1626" t="s">
        <v>19</v>
      </c>
      <c r="I28" s="1493" t="s">
        <v>50</v>
      </c>
      <c r="J28" s="1600" t="s">
        <v>3236</v>
      </c>
      <c r="K28" s="1547"/>
      <c r="L28" s="1493"/>
      <c r="M28" s="1790" t="s">
        <v>22</v>
      </c>
    </row>
    <row r="29" spans="1:13" s="1548" customFormat="1" ht="93.75" customHeight="1">
      <c r="A29" s="1542">
        <v>24</v>
      </c>
      <c r="B29" s="1493" t="s">
        <v>117</v>
      </c>
      <c r="C29" s="1826">
        <v>3950</v>
      </c>
      <c r="D29" s="1495">
        <v>20.09</v>
      </c>
      <c r="E29" s="1769" t="s">
        <v>84</v>
      </c>
      <c r="F29" s="1495" t="s">
        <v>3237</v>
      </c>
      <c r="G29" s="1495" t="s">
        <v>18</v>
      </c>
      <c r="H29" s="1493" t="s">
        <v>19</v>
      </c>
      <c r="I29" s="1493" t="s">
        <v>705</v>
      </c>
      <c r="J29" s="1600" t="s">
        <v>3238</v>
      </c>
      <c r="K29" s="1843" t="s">
        <v>3239</v>
      </c>
      <c r="L29" s="1493"/>
      <c r="M29" s="1790" t="s">
        <v>22</v>
      </c>
    </row>
    <row r="30" spans="1:13" s="1548" customFormat="1" ht="91.5" customHeight="1">
      <c r="A30" s="1542">
        <v>25</v>
      </c>
      <c r="B30" s="1493" t="s">
        <v>3240</v>
      </c>
      <c r="C30" s="1826">
        <v>4670</v>
      </c>
      <c r="D30" s="1495" t="s">
        <v>3241</v>
      </c>
      <c r="E30" s="1493" t="s">
        <v>3095</v>
      </c>
      <c r="F30" s="1495" t="s">
        <v>3242</v>
      </c>
      <c r="G30" s="1495" t="s">
        <v>18</v>
      </c>
      <c r="H30" s="1493" t="s">
        <v>19</v>
      </c>
      <c r="I30" s="1493" t="s">
        <v>3243</v>
      </c>
      <c r="J30" s="1600" t="s">
        <v>3244</v>
      </c>
      <c r="K30" s="1547"/>
      <c r="L30" s="1493"/>
      <c r="M30" s="1790"/>
    </row>
    <row r="31" spans="1:13" s="1548" customFormat="1" ht="85.5" customHeight="1">
      <c r="A31" s="1850">
        <v>26</v>
      </c>
      <c r="B31" s="1493" t="s">
        <v>219</v>
      </c>
      <c r="C31" s="1826">
        <v>3800</v>
      </c>
      <c r="D31" s="1495">
        <v>23.09</v>
      </c>
      <c r="E31" s="1769" t="s">
        <v>61</v>
      </c>
      <c r="F31" s="1495" t="s">
        <v>3245</v>
      </c>
      <c r="G31" s="1495" t="s">
        <v>18</v>
      </c>
      <c r="H31" s="1626" t="s">
        <v>19</v>
      </c>
      <c r="I31" s="1493" t="s">
        <v>50</v>
      </c>
      <c r="J31" s="1600" t="s">
        <v>3246</v>
      </c>
      <c r="K31" s="1547"/>
      <c r="L31" s="1493"/>
      <c r="M31" s="1790" t="s">
        <v>22</v>
      </c>
    </row>
    <row r="32" spans="1:13" s="1548" customFormat="1" ht="66.75" customHeight="1">
      <c r="A32" s="1542">
        <v>27</v>
      </c>
      <c r="B32" s="1493" t="s">
        <v>87</v>
      </c>
      <c r="C32" s="1826">
        <v>3080</v>
      </c>
      <c r="D32" s="1495" t="s">
        <v>3247</v>
      </c>
      <c r="E32" s="1493" t="s">
        <v>89</v>
      </c>
      <c r="F32" s="1495" t="s">
        <v>3248</v>
      </c>
      <c r="G32" s="1495" t="s">
        <v>18</v>
      </c>
      <c r="H32" s="1493" t="s">
        <v>19</v>
      </c>
      <c r="I32" s="1493" t="s">
        <v>50</v>
      </c>
      <c r="J32" s="1600" t="s">
        <v>3249</v>
      </c>
      <c r="K32" s="1547"/>
      <c r="L32" s="1493"/>
      <c r="M32" s="1790" t="s">
        <v>22</v>
      </c>
    </row>
    <row r="33" spans="1:13" s="1548" customFormat="1" ht="58.5" customHeight="1">
      <c r="A33" s="1542">
        <v>28</v>
      </c>
      <c r="B33" s="1493" t="s">
        <v>47</v>
      </c>
      <c r="C33" s="1826">
        <v>4250</v>
      </c>
      <c r="D33" s="1495" t="s">
        <v>3250</v>
      </c>
      <c r="E33" s="1493" t="s">
        <v>43</v>
      </c>
      <c r="F33" s="1495" t="s">
        <v>3251</v>
      </c>
      <c r="G33" s="1495" t="s">
        <v>18</v>
      </c>
      <c r="H33" s="1493" t="s">
        <v>19</v>
      </c>
      <c r="I33" s="1493" t="s">
        <v>101</v>
      </c>
      <c r="J33" s="1600" t="s">
        <v>3252</v>
      </c>
      <c r="K33" s="1547"/>
      <c r="L33" s="1493"/>
      <c r="M33" s="1790" t="s">
        <v>22</v>
      </c>
    </row>
    <row r="34" spans="1:13" s="1548" customFormat="1" ht="63" customHeight="1">
      <c r="A34" s="1542">
        <v>29</v>
      </c>
      <c r="B34" s="1493" t="s">
        <v>93</v>
      </c>
      <c r="C34" s="1826">
        <v>3000</v>
      </c>
      <c r="D34" s="1495" t="s">
        <v>3253</v>
      </c>
      <c r="E34" s="1495" t="s">
        <v>84</v>
      </c>
      <c r="F34" s="1851" t="s">
        <v>3254</v>
      </c>
      <c r="G34" s="1495" t="s">
        <v>18</v>
      </c>
      <c r="H34" s="1626" t="s">
        <v>19</v>
      </c>
      <c r="I34" s="1493" t="s">
        <v>50</v>
      </c>
      <c r="J34" s="1600" t="s">
        <v>3255</v>
      </c>
      <c r="K34" s="1547"/>
      <c r="L34" s="1493"/>
      <c r="M34" s="1790" t="s">
        <v>22</v>
      </c>
    </row>
    <row r="35" spans="1:13" s="1837" customFormat="1" ht="73.5" customHeight="1">
      <c r="A35" s="1831">
        <v>30</v>
      </c>
      <c r="B35" s="1832" t="s">
        <v>157</v>
      </c>
      <c r="C35" s="1833">
        <v>3300</v>
      </c>
      <c r="D35" s="1834" t="s">
        <v>3256</v>
      </c>
      <c r="E35" s="1832" t="s">
        <v>84</v>
      </c>
      <c r="F35" s="1834" t="s">
        <v>3257</v>
      </c>
      <c r="G35" s="1834" t="s">
        <v>18</v>
      </c>
      <c r="H35" s="1832" t="s">
        <v>19</v>
      </c>
      <c r="I35" s="1832" t="s">
        <v>63</v>
      </c>
      <c r="J35" s="1857" t="s">
        <v>3258</v>
      </c>
      <c r="K35" s="1836"/>
      <c r="L35" s="1832"/>
      <c r="M35" s="1856" t="s">
        <v>22</v>
      </c>
    </row>
    <row r="36" spans="1:13" s="1837" customFormat="1" ht="142.5" customHeight="1">
      <c r="A36" s="1831">
        <v>31</v>
      </c>
      <c r="B36" s="1832" t="s">
        <v>211</v>
      </c>
      <c r="C36" s="1833">
        <v>4000</v>
      </c>
      <c r="D36" s="1834" t="s">
        <v>3259</v>
      </c>
      <c r="E36" s="1832" t="s">
        <v>61</v>
      </c>
      <c r="F36" s="1834" t="s">
        <v>3260</v>
      </c>
      <c r="G36" s="1834" t="s">
        <v>18</v>
      </c>
      <c r="H36" s="1832" t="s">
        <v>19</v>
      </c>
      <c r="I36" s="1832" t="s">
        <v>50</v>
      </c>
      <c r="J36" s="1835" t="s">
        <v>3261</v>
      </c>
      <c r="K36" s="1836"/>
      <c r="L36" s="1832"/>
      <c r="M36" s="1856" t="s">
        <v>22</v>
      </c>
    </row>
    <row r="37" spans="1:13" s="1837" customFormat="1" ht="96" customHeight="1">
      <c r="A37" s="1831">
        <v>32</v>
      </c>
      <c r="B37" s="1832" t="s">
        <v>2921</v>
      </c>
      <c r="C37" s="1833">
        <v>6080</v>
      </c>
      <c r="D37" s="1834" t="s">
        <v>3262</v>
      </c>
      <c r="E37" s="1832" t="s">
        <v>43</v>
      </c>
      <c r="F37" s="1834" t="s">
        <v>3263</v>
      </c>
      <c r="G37" s="1834" t="s">
        <v>18</v>
      </c>
      <c r="H37" s="1832" t="s">
        <v>19</v>
      </c>
      <c r="I37" s="1832" t="s">
        <v>50</v>
      </c>
      <c r="J37" s="1835" t="s">
        <v>3264</v>
      </c>
      <c r="K37" s="1836"/>
      <c r="L37" s="1832"/>
      <c r="M37" s="1856" t="s">
        <v>22</v>
      </c>
    </row>
    <row r="38" spans="1:13" s="1777" customFormat="1" ht="104.25" customHeight="1">
      <c r="A38" s="1832">
        <v>33</v>
      </c>
      <c r="B38" s="1832" t="s">
        <v>140</v>
      </c>
      <c r="C38" s="1832">
        <v>16000</v>
      </c>
      <c r="D38" s="1832" t="s">
        <v>3253</v>
      </c>
      <c r="E38" s="1832" t="s">
        <v>43</v>
      </c>
      <c r="F38" s="1834" t="s">
        <v>3265</v>
      </c>
      <c r="G38" s="1832"/>
      <c r="H38" s="1832" t="s">
        <v>19</v>
      </c>
      <c r="I38" s="1832" t="s">
        <v>3266</v>
      </c>
      <c r="J38" s="1835" t="s">
        <v>3267</v>
      </c>
      <c r="K38" s="1832" t="s">
        <v>3268</v>
      </c>
      <c r="L38" s="102"/>
      <c r="M38" s="1853" t="s">
        <v>22</v>
      </c>
    </row>
    <row r="39" spans="1:13" s="1823" customFormat="1" ht="32.25" customHeight="1">
      <c r="A39" s="1797">
        <v>34</v>
      </c>
      <c r="B39" s="1801" t="s">
        <v>3211</v>
      </c>
      <c r="C39" s="1830">
        <v>4230</v>
      </c>
      <c r="D39" s="1802">
        <v>26.09</v>
      </c>
      <c r="E39" s="1802" t="s">
        <v>3269</v>
      </c>
      <c r="F39" s="1802" t="s">
        <v>216</v>
      </c>
      <c r="G39" s="1802"/>
      <c r="H39" s="1801"/>
      <c r="I39" s="1801"/>
      <c r="J39" s="1803"/>
      <c r="K39" s="1803"/>
      <c r="L39" s="1801"/>
      <c r="M39" s="1798"/>
    </row>
    <row r="40" spans="1:13" s="1823" customFormat="1" ht="32.25" customHeight="1">
      <c r="A40" s="1797">
        <v>35</v>
      </c>
      <c r="B40" s="1801" t="s">
        <v>71</v>
      </c>
      <c r="C40" s="1830">
        <v>3720</v>
      </c>
      <c r="D40" s="1802">
        <v>29.09</v>
      </c>
      <c r="E40" s="1801" t="s">
        <v>151</v>
      </c>
      <c r="F40" s="1802" t="s">
        <v>216</v>
      </c>
      <c r="G40" s="1802"/>
      <c r="H40" s="1801"/>
      <c r="I40" s="1801"/>
      <c r="J40" s="1803"/>
      <c r="K40" s="1805"/>
      <c r="L40" s="1801"/>
      <c r="M40" s="1798" t="s">
        <v>22</v>
      </c>
    </row>
    <row r="41" spans="1:13" s="1823" customFormat="1" ht="32.25" customHeight="1">
      <c r="A41" s="1797">
        <v>36</v>
      </c>
      <c r="B41" s="1801" t="s">
        <v>3270</v>
      </c>
      <c r="C41" s="1830">
        <v>9640</v>
      </c>
      <c r="D41" s="1802" t="s">
        <v>3271</v>
      </c>
      <c r="E41" s="1801" t="s">
        <v>2260</v>
      </c>
      <c r="F41" s="1802" t="s">
        <v>3272</v>
      </c>
      <c r="G41" s="1802"/>
      <c r="H41" s="1801"/>
      <c r="I41" s="1801"/>
      <c r="J41" s="1803"/>
      <c r="K41" s="1805"/>
      <c r="L41" s="1801"/>
      <c r="M41" s="1798"/>
    </row>
    <row r="42" spans="1:13" s="1822" customFormat="1" ht="32.25" customHeight="1">
      <c r="A42" s="1791">
        <v>37</v>
      </c>
      <c r="B42" s="1792" t="s">
        <v>3273</v>
      </c>
      <c r="C42" s="1829">
        <v>5000</v>
      </c>
      <c r="D42" s="1794" t="s">
        <v>3274</v>
      </c>
      <c r="E42" s="1792" t="s">
        <v>43</v>
      </c>
      <c r="F42" s="1794" t="s">
        <v>216</v>
      </c>
      <c r="G42" s="1794"/>
      <c r="H42" s="1792"/>
      <c r="I42" s="1792"/>
      <c r="J42" s="1840"/>
      <c r="K42" s="1795"/>
      <c r="L42" s="1792"/>
      <c r="M42" s="1792"/>
    </row>
    <row r="43" spans="1:13" s="1822" customFormat="1" ht="32.25" customHeight="1">
      <c r="A43" s="1791">
        <v>38</v>
      </c>
      <c r="B43" s="1792" t="s">
        <v>47</v>
      </c>
      <c r="C43" s="1829">
        <v>4250</v>
      </c>
      <c r="D43" s="1794" t="s">
        <v>3163</v>
      </c>
      <c r="E43" s="1792" t="s">
        <v>43</v>
      </c>
      <c r="F43" s="1794" t="s">
        <v>216</v>
      </c>
      <c r="G43" s="1794"/>
      <c r="H43" s="1792"/>
      <c r="I43" s="1792"/>
      <c r="J43" s="1840"/>
      <c r="K43" s="1795"/>
      <c r="L43" s="1792"/>
      <c r="M43" s="1792"/>
    </row>
    <row r="44" spans="1:13" s="1822" customFormat="1" ht="32.25" customHeight="1">
      <c r="A44" s="1791">
        <v>39</v>
      </c>
      <c r="B44" s="1792" t="s">
        <v>3275</v>
      </c>
      <c r="C44" s="1829">
        <v>10500</v>
      </c>
      <c r="D44" s="1838" t="s">
        <v>3163</v>
      </c>
      <c r="E44" s="1792" t="s">
        <v>43</v>
      </c>
      <c r="F44" s="1794" t="s">
        <v>216</v>
      </c>
      <c r="G44" s="1794"/>
      <c r="H44" s="1792"/>
      <c r="I44" s="1839"/>
      <c r="J44" s="1840"/>
      <c r="K44" s="1795"/>
      <c r="L44" s="1792"/>
      <c r="M44" s="1792"/>
    </row>
    <row r="45" spans="1:13" s="1822" customFormat="1" ht="32.25" customHeight="1">
      <c r="A45" s="1791">
        <v>40</v>
      </c>
      <c r="B45" s="1792" t="s">
        <v>211</v>
      </c>
      <c r="C45" s="1829">
        <v>4000</v>
      </c>
      <c r="D45" s="1794" t="s">
        <v>3276</v>
      </c>
      <c r="E45" s="1792" t="s">
        <v>61</v>
      </c>
      <c r="F45" s="1794" t="s">
        <v>216</v>
      </c>
      <c r="G45" s="1794"/>
      <c r="H45" s="1841"/>
      <c r="I45" s="1792"/>
      <c r="J45" s="1842"/>
      <c r="K45" s="1795"/>
      <c r="L45" s="1792"/>
      <c r="M45" s="1792"/>
    </row>
    <row r="46" spans="1:13" s="1823" customFormat="1" ht="32.25" customHeight="1">
      <c r="A46" s="1797">
        <v>41</v>
      </c>
      <c r="B46" s="1801" t="s">
        <v>3277</v>
      </c>
      <c r="C46" s="1830">
        <v>2500</v>
      </c>
      <c r="D46" s="1802" t="s">
        <v>3278</v>
      </c>
      <c r="E46" s="1801" t="s">
        <v>2260</v>
      </c>
      <c r="F46" s="1794" t="s">
        <v>216</v>
      </c>
      <c r="G46" s="1802"/>
      <c r="H46" s="1801"/>
      <c r="I46" s="1801"/>
      <c r="J46" s="1803"/>
      <c r="K46" s="1804"/>
      <c r="L46" s="1801"/>
      <c r="M46" s="1801"/>
    </row>
    <row r="47" spans="1:13" s="1823" customFormat="1" ht="32.25" customHeight="1">
      <c r="A47" s="1797">
        <v>42</v>
      </c>
      <c r="B47" s="1801" t="s">
        <v>59</v>
      </c>
      <c r="C47" s="1830">
        <v>3250</v>
      </c>
      <c r="D47" s="1846" t="s">
        <v>3192</v>
      </c>
      <c r="E47" s="1801" t="s">
        <v>89</v>
      </c>
      <c r="F47" s="1794" t="s">
        <v>216</v>
      </c>
      <c r="G47" s="1802"/>
      <c r="H47" s="1801"/>
      <c r="I47" s="1801"/>
      <c r="J47" s="1803"/>
      <c r="K47" s="1805"/>
      <c r="L47" s="1801"/>
      <c r="M47" s="1801"/>
    </row>
    <row r="48" spans="1:13" s="1823" customFormat="1" ht="32.25" customHeight="1">
      <c r="A48" s="1847">
        <v>43</v>
      </c>
      <c r="B48" s="1801" t="s">
        <v>2912</v>
      </c>
      <c r="C48" s="1830">
        <v>4000</v>
      </c>
      <c r="D48" s="1802" t="s">
        <v>3216</v>
      </c>
      <c r="E48" s="1801" t="s">
        <v>16</v>
      </c>
      <c r="F48" s="1794" t="s">
        <v>216</v>
      </c>
      <c r="G48" s="1802"/>
      <c r="H48" s="1801"/>
      <c r="I48" s="1801"/>
      <c r="J48" s="1803"/>
      <c r="K48" s="1805"/>
      <c r="L48" s="1801"/>
      <c r="M48" s="1801"/>
    </row>
    <row r="49" spans="1:1" ht="58.5" customHeight="1">
      <c r="A49" s="359">
        <v>44</v>
      </c>
    </row>
    <row r="50" spans="1:1" ht="58.5" customHeight="1">
      <c r="A50" s="359">
        <v>45</v>
      </c>
    </row>
    <row r="51" spans="1:1" ht="58.5" customHeight="1">
      <c r="A51" s="359">
        <v>46</v>
      </c>
    </row>
    <row r="52" spans="1:1" ht="58.5" customHeight="1">
      <c r="A52" s="359">
        <v>47</v>
      </c>
    </row>
  </sheetData>
  <autoFilter ref="A5:P48" xr:uid="{00000000-0009-0000-0000-000001000000}"/>
  <mergeCells count="4">
    <mergeCell ref="C1:K1"/>
    <mergeCell ref="A2:M2"/>
    <mergeCell ref="B3:M3"/>
    <mergeCell ref="A4:B4"/>
  </mergeCells>
  <conditionalFormatting sqref="A1:A4">
    <cfRule type="duplicateValues" dxfId="460" priority="5"/>
  </conditionalFormatting>
  <conditionalFormatting sqref="A5">
    <cfRule type="duplicateValues" dxfId="459" priority="4"/>
  </conditionalFormatting>
  <conditionalFormatting sqref="B5">
    <cfRule type="duplicateValues" dxfId="458" priority="1"/>
    <cfRule type="duplicateValues" dxfId="457" priority="2"/>
    <cfRule type="duplicateValues" dxfId="456" priority="3"/>
  </conditionalFormatting>
  <pageMargins left="0.7" right="0.7" top="0.75" bottom="0.75" header="0.3" footer="0.3"/>
  <pageSetup paperSize="9" scale="40" orientation="landscape"/>
  <legacyDrawing r:id="rId1"/>
</worksheet>
</file>

<file path=xl/worksheets/sheet2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009D5B-17E0-49E2-984C-46CE6A85AD5F}">
  <sheetPr>
    <tabColor theme="2" tint="-9.9978637043366805E-2"/>
    <pageSetUpPr fitToPage="1"/>
  </sheetPr>
  <dimension ref="A1:N73"/>
  <sheetViews>
    <sheetView topLeftCell="A2" zoomScale="70" zoomScaleNormal="70" workbookViewId="0">
      <pane xSplit="3" ySplit="4" topLeftCell="H26" activePane="bottomRight" state="frozen"/>
      <selection pane="topRight"/>
      <selection pane="bottomLeft"/>
      <selection pane="bottomRight"/>
    </sheetView>
  </sheetViews>
  <sheetFormatPr defaultColWidth="25.5703125" defaultRowHeight="58.5" customHeight="1"/>
  <cols>
    <col min="1" max="1" width="8.42578125" style="359" customWidth="1"/>
    <col min="2" max="2" width="49.140625" style="1" customWidth="1"/>
    <col min="3" max="3" width="15.85546875" style="1138" customWidth="1"/>
    <col min="4" max="4" width="22.28515625" style="271" customWidth="1"/>
    <col min="5" max="5" width="21.42578125" style="1" customWidth="1"/>
    <col min="6" max="6" width="27.7109375" style="271" customWidth="1"/>
    <col min="7" max="7" width="19.140625" style="271" customWidth="1"/>
    <col min="8" max="8" width="16.42578125" style="1" customWidth="1"/>
    <col min="9" max="9" width="24.140625" style="1" customWidth="1"/>
    <col min="10" max="10" width="104.5703125" style="9" customWidth="1"/>
    <col min="11" max="11" width="85.42578125" style="9" customWidth="1"/>
    <col min="12" max="12" width="25.85546875" style="1" customWidth="1"/>
    <col min="13" max="13" width="18.85546875" style="9" customWidth="1"/>
    <col min="14" max="14" width="12.42578125" style="3" hidden="1" customWidth="1"/>
    <col min="15" max="15" width="34.5703125" style="3" customWidth="1"/>
    <col min="16" max="16384" width="25.5703125" style="3"/>
  </cols>
  <sheetData>
    <row r="1" spans="1:14" ht="58.5" customHeight="1">
      <c r="B1" s="10"/>
      <c r="C1" s="3624"/>
      <c r="D1" s="3624"/>
      <c r="E1" s="3624"/>
      <c r="F1" s="3624"/>
      <c r="G1" s="3624"/>
      <c r="H1" s="3624"/>
      <c r="I1" s="3624"/>
      <c r="J1" s="3624"/>
      <c r="K1" s="3624"/>
      <c r="M1" s="1487"/>
    </row>
    <row r="2" spans="1:14" ht="53.25" customHeight="1">
      <c r="A2" s="3625" t="s">
        <v>3279</v>
      </c>
      <c r="B2" s="3625"/>
      <c r="C2" s="3625"/>
      <c r="D2" s="3625"/>
      <c r="E2" s="3625"/>
      <c r="F2" s="3625"/>
      <c r="G2" s="3625"/>
      <c r="H2" s="3625"/>
      <c r="I2" s="3625"/>
      <c r="J2" s="3625"/>
      <c r="K2" s="3625"/>
      <c r="L2" s="3625"/>
      <c r="M2" s="3625"/>
      <c r="N2" s="287"/>
    </row>
    <row r="3" spans="1:14" s="1725" customFormat="1" ht="52.5" customHeight="1">
      <c r="A3" s="1723"/>
      <c r="B3" s="3702" t="s">
        <v>3280</v>
      </c>
      <c r="C3" s="3703"/>
      <c r="D3" s="3703"/>
      <c r="E3" s="3703"/>
      <c r="F3" s="3703"/>
      <c r="G3" s="3703"/>
      <c r="H3" s="3703"/>
      <c r="I3" s="3703"/>
      <c r="J3" s="3703"/>
      <c r="K3" s="3703"/>
      <c r="L3" s="3703"/>
      <c r="M3" s="3704"/>
      <c r="N3" s="1724"/>
    </row>
    <row r="4" spans="1:14" ht="35.25" customHeight="1">
      <c r="A4" s="3629"/>
      <c r="B4" s="3629"/>
      <c r="C4" s="1768">
        <f>SUBTOTAL(9,C6:C34)</f>
        <v>219885</v>
      </c>
      <c r="D4" s="1503"/>
      <c r="E4" s="1504"/>
      <c r="F4" s="1503"/>
      <c r="G4" s="1503"/>
      <c r="H4" s="1503"/>
      <c r="I4" s="1503"/>
      <c r="J4" s="1504">
        <f ca="1">TODAY()</f>
        <v>45960</v>
      </c>
      <c r="L4" s="1504"/>
      <c r="M4" s="1504"/>
      <c r="N4" s="287"/>
    </row>
    <row r="5" spans="1:14" s="1535" customFormat="1" ht="45" customHeight="1">
      <c r="A5" s="361" t="s">
        <v>1</v>
      </c>
      <c r="B5" s="204" t="s">
        <v>2</v>
      </c>
      <c r="C5" s="1432" t="s">
        <v>3</v>
      </c>
      <c r="D5" s="204" t="s">
        <v>4</v>
      </c>
      <c r="E5" s="204" t="s">
        <v>5</v>
      </c>
      <c r="F5" s="204" t="s">
        <v>6</v>
      </c>
      <c r="G5" s="204" t="s">
        <v>221</v>
      </c>
      <c r="H5" s="204" t="s">
        <v>8</v>
      </c>
      <c r="I5" s="204" t="s">
        <v>9</v>
      </c>
      <c r="J5" s="204" t="s">
        <v>10</v>
      </c>
      <c r="K5" s="204" t="s">
        <v>11</v>
      </c>
      <c r="L5" s="204" t="s">
        <v>12</v>
      </c>
      <c r="M5" s="204" t="s">
        <v>13</v>
      </c>
      <c r="N5" s="1534" t="e">
        <f>SUM(#REF!)</f>
        <v>#REF!</v>
      </c>
    </row>
    <row r="6" spans="1:14" s="1674" customFormat="1" ht="194.25" customHeight="1">
      <c r="A6" s="1299" t="e" cm="1">
        <f t="array" aca="1" ref="A6" ca="1">_xlfn.SEQUENCE(45,1,1,)</f>
        <v>#NAME?</v>
      </c>
      <c r="B6" s="1300" t="s">
        <v>145</v>
      </c>
      <c r="C6" s="1301">
        <v>13675</v>
      </c>
      <c r="D6" s="1302" t="s">
        <v>3281</v>
      </c>
      <c r="E6" s="1300" t="s">
        <v>43</v>
      </c>
      <c r="F6" s="1302" t="s">
        <v>3282</v>
      </c>
      <c r="G6" s="1302" t="s">
        <v>18</v>
      </c>
      <c r="H6" s="1300" t="s">
        <v>19</v>
      </c>
      <c r="I6" s="1300" t="s">
        <v>172</v>
      </c>
      <c r="J6" s="1440" t="s">
        <v>3283</v>
      </c>
      <c r="K6" s="1441"/>
      <c r="L6" s="1300"/>
      <c r="M6" s="1441"/>
      <c r="N6" s="1673"/>
    </row>
    <row r="7" spans="1:14" s="1674" customFormat="1" ht="80.25" customHeight="1">
      <c r="A7" s="1299"/>
      <c r="B7" s="1300" t="s">
        <v>2915</v>
      </c>
      <c r="C7" s="1301">
        <v>3300</v>
      </c>
      <c r="D7" s="1302" t="s">
        <v>3284</v>
      </c>
      <c r="E7" s="1300" t="s">
        <v>61</v>
      </c>
      <c r="F7" s="1302" t="s">
        <v>3285</v>
      </c>
      <c r="G7" s="1302" t="s">
        <v>18</v>
      </c>
      <c r="H7" s="1300" t="s">
        <v>19</v>
      </c>
      <c r="I7" s="1300" t="s">
        <v>101</v>
      </c>
      <c r="J7" s="1440" t="s">
        <v>3286</v>
      </c>
      <c r="K7" s="1730"/>
      <c r="L7" s="1300"/>
      <c r="M7" s="1441"/>
      <c r="N7" s="1673"/>
    </row>
    <row r="8" spans="1:14" s="1597" customFormat="1" ht="91.5" customHeight="1">
      <c r="A8" s="1731"/>
      <c r="B8" s="1591" t="s">
        <v>3287</v>
      </c>
      <c r="C8" s="1592">
        <v>6000</v>
      </c>
      <c r="D8" s="1732" t="s">
        <v>3288</v>
      </c>
      <c r="E8" s="1733" t="s">
        <v>25</v>
      </c>
      <c r="F8" s="1302" t="s">
        <v>3289</v>
      </c>
      <c r="G8" s="1302" t="s">
        <v>18</v>
      </c>
      <c r="H8" s="1591" t="s">
        <v>19</v>
      </c>
      <c r="I8" s="1591" t="s">
        <v>40</v>
      </c>
      <c r="J8" s="1586" t="s">
        <v>3290</v>
      </c>
      <c r="K8" s="1595" t="s">
        <v>3291</v>
      </c>
      <c r="L8" s="1591"/>
      <c r="M8" s="1596"/>
    </row>
    <row r="9" spans="1:14" s="841" customFormat="1" ht="58.5" customHeight="1">
      <c r="A9" s="1569"/>
      <c r="B9" s="682" t="s">
        <v>93</v>
      </c>
      <c r="C9" s="1580">
        <v>2950</v>
      </c>
      <c r="D9" s="1445" t="s">
        <v>313</v>
      </c>
      <c r="E9" s="682" t="s">
        <v>61</v>
      </c>
      <c r="F9" s="1734" t="s">
        <v>3292</v>
      </c>
      <c r="G9" s="1302" t="s">
        <v>18</v>
      </c>
      <c r="H9" s="682" t="s">
        <v>19</v>
      </c>
      <c r="I9" s="682" t="s">
        <v>20</v>
      </c>
      <c r="J9" s="684" t="s">
        <v>3293</v>
      </c>
      <c r="K9" s="1583"/>
      <c r="L9" s="682"/>
      <c r="M9" s="1583"/>
    </row>
    <row r="10" spans="1:14" s="1559" customFormat="1" ht="76.5" customHeight="1">
      <c r="A10" s="1457"/>
      <c r="B10" s="1458" t="s">
        <v>2921</v>
      </c>
      <c r="C10" s="1459">
        <v>6000</v>
      </c>
      <c r="D10" s="1460" t="s">
        <v>3294</v>
      </c>
      <c r="E10" s="1458" t="s">
        <v>43</v>
      </c>
      <c r="F10" s="1460" t="s">
        <v>3295</v>
      </c>
      <c r="G10" s="1460" t="s">
        <v>18</v>
      </c>
      <c r="H10" s="1458" t="s">
        <v>19</v>
      </c>
      <c r="I10" s="1458" t="s">
        <v>123</v>
      </c>
      <c r="J10" s="1472" t="s">
        <v>3296</v>
      </c>
      <c r="K10" s="1466"/>
      <c r="L10" s="1458"/>
      <c r="M10" s="1466"/>
      <c r="N10" s="1747"/>
    </row>
    <row r="11" spans="1:14" s="1559" customFormat="1" ht="63.75" customHeight="1">
      <c r="A11" s="1457"/>
      <c r="B11" s="1458" t="s">
        <v>3297</v>
      </c>
      <c r="C11" s="1459">
        <v>5000</v>
      </c>
      <c r="D11" s="1744" t="s">
        <v>3298</v>
      </c>
      <c r="E11" s="1458" t="s">
        <v>3095</v>
      </c>
      <c r="F11" s="1460" t="s">
        <v>3299</v>
      </c>
      <c r="G11" s="1460" t="s">
        <v>18</v>
      </c>
      <c r="H11" s="1458" t="s">
        <v>19</v>
      </c>
      <c r="I11" s="1458" t="s">
        <v>3300</v>
      </c>
      <c r="J11" s="1754" t="s">
        <v>3301</v>
      </c>
      <c r="K11" s="1745"/>
      <c r="L11" s="1746"/>
      <c r="M11" s="1466"/>
      <c r="N11" s="1747"/>
    </row>
    <row r="12" spans="1:14" s="1467" customFormat="1" ht="84.75" customHeight="1">
      <c r="A12" s="1542"/>
      <c r="B12" s="1493" t="s">
        <v>59</v>
      </c>
      <c r="C12" s="1494">
        <v>3200</v>
      </c>
      <c r="D12" s="1624" t="s">
        <v>3302</v>
      </c>
      <c r="E12" s="1493" t="s">
        <v>89</v>
      </c>
      <c r="F12" s="1748" t="s">
        <v>3303</v>
      </c>
      <c r="G12" s="1495" t="s">
        <v>18</v>
      </c>
      <c r="H12" s="1493" t="s">
        <v>19</v>
      </c>
      <c r="I12" s="1493" t="s">
        <v>172</v>
      </c>
      <c r="J12" s="1600" t="s">
        <v>3304</v>
      </c>
      <c r="K12" s="1547"/>
      <c r="L12" s="1493"/>
      <c r="M12" s="1547"/>
    </row>
    <row r="13" spans="1:14" s="1467" customFormat="1" ht="58.5" customHeight="1">
      <c r="A13" s="1542"/>
      <c r="B13" s="1493" t="s">
        <v>3305</v>
      </c>
      <c r="C13" s="1494">
        <v>35000</v>
      </c>
      <c r="D13" s="1749">
        <v>45083</v>
      </c>
      <c r="E13" s="1493" t="s">
        <v>3306</v>
      </c>
      <c r="F13" s="1495" t="s">
        <v>3307</v>
      </c>
      <c r="G13" s="1495" t="s">
        <v>18</v>
      </c>
      <c r="H13" s="1493" t="s">
        <v>19</v>
      </c>
      <c r="I13" s="1493" t="s">
        <v>40</v>
      </c>
      <c r="J13" s="1547" t="s">
        <v>3308</v>
      </c>
      <c r="K13" s="1547" t="s">
        <v>3309</v>
      </c>
      <c r="L13" s="1493"/>
      <c r="M13" s="1547"/>
    </row>
    <row r="14" spans="1:14" s="1559" customFormat="1" ht="77.25" customHeight="1">
      <c r="A14" s="1457"/>
      <c r="B14" s="1458" t="s">
        <v>117</v>
      </c>
      <c r="C14" s="1459">
        <v>4000</v>
      </c>
      <c r="D14" s="1750" t="s">
        <v>3310</v>
      </c>
      <c r="E14" s="1458" t="s">
        <v>61</v>
      </c>
      <c r="F14" s="1460" t="s">
        <v>3311</v>
      </c>
      <c r="G14" s="1495" t="s">
        <v>18</v>
      </c>
      <c r="H14" s="1458" t="s">
        <v>19</v>
      </c>
      <c r="I14" s="1458" t="s">
        <v>63</v>
      </c>
      <c r="J14" s="1472" t="s">
        <v>3312</v>
      </c>
      <c r="K14" s="1751" t="s">
        <v>3313</v>
      </c>
      <c r="L14" s="1458"/>
      <c r="M14" s="1466"/>
      <c r="N14" s="1747"/>
    </row>
    <row r="15" spans="1:14" s="1559" customFormat="1" ht="88.5" customHeight="1">
      <c r="A15" s="1752"/>
      <c r="B15" s="1462" t="s">
        <v>3028</v>
      </c>
      <c r="C15" s="1555">
        <v>5020</v>
      </c>
      <c r="D15" s="1753" t="s">
        <v>3314</v>
      </c>
      <c r="E15" s="1462" t="s">
        <v>16</v>
      </c>
      <c r="F15" s="1554" t="s">
        <v>3315</v>
      </c>
      <c r="G15" s="1495" t="s">
        <v>18</v>
      </c>
      <c r="H15" s="1462" t="s">
        <v>19</v>
      </c>
      <c r="I15" s="1462" t="s">
        <v>33</v>
      </c>
      <c r="J15" s="1755" t="s">
        <v>3316</v>
      </c>
      <c r="K15" s="1751" t="s">
        <v>3313</v>
      </c>
      <c r="L15" s="1462"/>
      <c r="M15" s="1751"/>
      <c r="N15" s="1747"/>
    </row>
    <row r="16" spans="1:14" s="1559" customFormat="1" ht="81" customHeight="1">
      <c r="A16" s="1457"/>
      <c r="B16" s="1458" t="s">
        <v>145</v>
      </c>
      <c r="C16" s="1459">
        <v>13675</v>
      </c>
      <c r="D16" s="1749" t="s">
        <v>3317</v>
      </c>
      <c r="E16" s="1458" t="s">
        <v>43</v>
      </c>
      <c r="F16" s="1460" t="s">
        <v>3318</v>
      </c>
      <c r="G16" s="1495" t="s">
        <v>18</v>
      </c>
      <c r="H16" s="1458" t="s">
        <v>19</v>
      </c>
      <c r="I16" s="1458" t="s">
        <v>20</v>
      </c>
      <c r="J16" s="1472" t="s">
        <v>3319</v>
      </c>
      <c r="K16" s="1466" t="s">
        <v>125</v>
      </c>
      <c r="L16" s="1458"/>
      <c r="M16" s="1466"/>
      <c r="N16" s="1747"/>
    </row>
    <row r="17" spans="1:13" s="1467" customFormat="1" ht="121.5" customHeight="1">
      <c r="A17" s="1542"/>
      <c r="B17" s="1493" t="s">
        <v>3320</v>
      </c>
      <c r="C17" s="1494">
        <v>8800</v>
      </c>
      <c r="D17" s="1766" t="s">
        <v>3321</v>
      </c>
      <c r="E17" s="1493" t="s">
        <v>43</v>
      </c>
      <c r="F17" s="1460" t="s">
        <v>3322</v>
      </c>
      <c r="G17" s="1495" t="s">
        <v>18</v>
      </c>
      <c r="H17" s="1493" t="s">
        <v>19</v>
      </c>
      <c r="I17" s="1493" t="s">
        <v>172</v>
      </c>
      <c r="J17" s="1600" t="s">
        <v>3323</v>
      </c>
      <c r="K17" s="1547"/>
      <c r="L17" s="1493"/>
      <c r="M17" s="1547"/>
    </row>
    <row r="18" spans="1:13" s="1467" customFormat="1" ht="66.75" customHeight="1">
      <c r="A18" s="1542"/>
      <c r="B18" s="1493" t="s">
        <v>2915</v>
      </c>
      <c r="C18" s="1494">
        <v>3000</v>
      </c>
      <c r="D18" s="1495" t="s">
        <v>3324</v>
      </c>
      <c r="E18" s="1493" t="s">
        <v>89</v>
      </c>
      <c r="F18" s="1495"/>
      <c r="G18" s="1495" t="s">
        <v>18</v>
      </c>
      <c r="H18" s="1493" t="s">
        <v>19</v>
      </c>
      <c r="I18" s="1493" t="s">
        <v>101</v>
      </c>
      <c r="J18" s="1600" t="s">
        <v>3325</v>
      </c>
      <c r="K18" s="1547"/>
      <c r="L18" s="1493"/>
      <c r="M18" s="1547"/>
    </row>
    <row r="19" spans="1:13" s="1467" customFormat="1" ht="69" customHeight="1">
      <c r="A19" s="1542"/>
      <c r="B19" s="1493" t="s">
        <v>93</v>
      </c>
      <c r="C19" s="1494">
        <v>2950</v>
      </c>
      <c r="D19" s="1767" t="s">
        <v>3326</v>
      </c>
      <c r="E19" s="1493" t="s">
        <v>61</v>
      </c>
      <c r="F19" s="1495"/>
      <c r="G19" s="1495" t="s">
        <v>18</v>
      </c>
      <c r="H19" s="1493" t="s">
        <v>19</v>
      </c>
      <c r="I19" s="1493" t="s">
        <v>172</v>
      </c>
      <c r="J19" s="1600" t="s">
        <v>3327</v>
      </c>
      <c r="K19" s="1547"/>
      <c r="L19" s="1493"/>
      <c r="M19" s="1547"/>
    </row>
    <row r="20" spans="1:13" s="1467" customFormat="1" ht="138" customHeight="1">
      <c r="A20" s="1542"/>
      <c r="B20" s="1493" t="s">
        <v>52</v>
      </c>
      <c r="C20" s="1494">
        <v>4620</v>
      </c>
      <c r="D20" s="1766" t="s">
        <v>3328</v>
      </c>
      <c r="E20" s="1493" t="s">
        <v>54</v>
      </c>
      <c r="F20" s="1495" t="s">
        <v>3329</v>
      </c>
      <c r="G20" s="1495" t="s">
        <v>18</v>
      </c>
      <c r="H20" s="1493" t="s">
        <v>19</v>
      </c>
      <c r="I20" s="1493" t="s">
        <v>33</v>
      </c>
      <c r="J20" s="1600" t="s">
        <v>3330</v>
      </c>
      <c r="K20" s="1600"/>
      <c r="L20" s="1493"/>
      <c r="M20" s="1547"/>
    </row>
    <row r="21" spans="1:13" s="1467" customFormat="1" ht="143.25" customHeight="1">
      <c r="A21" s="1542"/>
      <c r="B21" s="1493" t="s">
        <v>211</v>
      </c>
      <c r="C21" s="1494">
        <v>4000</v>
      </c>
      <c r="D21" s="1766" t="s">
        <v>313</v>
      </c>
      <c r="E21" s="1493" t="s">
        <v>84</v>
      </c>
      <c r="F21" s="1495" t="s">
        <v>3331</v>
      </c>
      <c r="G21" s="1495" t="s">
        <v>18</v>
      </c>
      <c r="H21" s="1493" t="s">
        <v>19</v>
      </c>
      <c r="I21" s="1493" t="s">
        <v>172</v>
      </c>
      <c r="J21" s="1600" t="s">
        <v>3332</v>
      </c>
      <c r="K21" s="1547"/>
      <c r="L21" s="1493"/>
      <c r="M21" s="1547"/>
    </row>
    <row r="22" spans="1:13" s="1467" customFormat="1" ht="68.25" customHeight="1">
      <c r="A22" s="1542"/>
      <c r="B22" s="1493" t="s">
        <v>71</v>
      </c>
      <c r="C22" s="1494">
        <v>3720</v>
      </c>
      <c r="D22" s="1766" t="s">
        <v>3333</v>
      </c>
      <c r="E22" s="1493" t="s">
        <v>54</v>
      </c>
      <c r="F22" s="1495" t="s">
        <v>3334</v>
      </c>
      <c r="G22" s="1495" t="s">
        <v>18</v>
      </c>
      <c r="H22" s="1493" t="s">
        <v>19</v>
      </c>
      <c r="I22" s="1769" t="s">
        <v>172</v>
      </c>
      <c r="J22" s="1770" t="s">
        <v>3335</v>
      </c>
      <c r="K22" s="1771"/>
      <c r="L22" s="1493"/>
      <c r="M22" s="1547"/>
    </row>
    <row r="23" spans="1:13" s="1467" customFormat="1" ht="173.25" customHeight="1">
      <c r="A23" s="1542"/>
      <c r="B23" s="1493" t="s">
        <v>82</v>
      </c>
      <c r="C23" s="1494">
        <v>4250</v>
      </c>
      <c r="D23" s="1766" t="s">
        <v>3336</v>
      </c>
      <c r="E23" s="1493" t="s">
        <v>84</v>
      </c>
      <c r="F23" s="1495" t="s">
        <v>3337</v>
      </c>
      <c r="G23" s="1495" t="s">
        <v>18</v>
      </c>
      <c r="H23" s="1493" t="s">
        <v>19</v>
      </c>
      <c r="I23" s="1773" t="s">
        <v>3338</v>
      </c>
      <c r="J23" s="1774" t="s">
        <v>3339</v>
      </c>
      <c r="K23" s="1600" t="s">
        <v>3340</v>
      </c>
      <c r="L23" s="1493"/>
      <c r="M23" s="1547"/>
    </row>
    <row r="24" spans="1:13" s="1467" customFormat="1" ht="58.5" customHeight="1">
      <c r="A24" s="1542"/>
      <c r="B24" s="1493" t="s">
        <v>59</v>
      </c>
      <c r="C24" s="1494">
        <v>3250</v>
      </c>
      <c r="D24" s="1766" t="s">
        <v>3341</v>
      </c>
      <c r="E24" s="1493" t="s">
        <v>151</v>
      </c>
      <c r="F24" s="1495"/>
      <c r="G24" s="1495" t="s">
        <v>18</v>
      </c>
      <c r="H24" s="1493" t="s">
        <v>19</v>
      </c>
      <c r="I24" s="1769" t="s">
        <v>172</v>
      </c>
      <c r="J24" s="1496" t="s">
        <v>3342</v>
      </c>
      <c r="K24" s="1551"/>
      <c r="L24" s="1493"/>
      <c r="M24" s="1547"/>
    </row>
    <row r="25" spans="1:13" s="1467" customFormat="1" ht="118.5" customHeight="1">
      <c r="A25" s="1542"/>
      <c r="B25" s="1493" t="s">
        <v>3343</v>
      </c>
      <c r="C25" s="1494">
        <v>7000</v>
      </c>
      <c r="D25" s="1495" t="s">
        <v>3344</v>
      </c>
      <c r="E25" s="1493" t="s">
        <v>3345</v>
      </c>
      <c r="F25" s="1495" t="s">
        <v>3346</v>
      </c>
      <c r="G25" s="1495" t="s">
        <v>18</v>
      </c>
      <c r="H25" s="1493" t="s">
        <v>19</v>
      </c>
      <c r="I25" s="1493" t="s">
        <v>28</v>
      </c>
      <c r="J25" s="1778" t="s">
        <v>3347</v>
      </c>
      <c r="K25" s="1775" t="s">
        <v>3348</v>
      </c>
      <c r="L25" s="1493"/>
      <c r="M25" s="1547"/>
    </row>
    <row r="26" spans="1:13" s="1467" customFormat="1" ht="111" customHeight="1">
      <c r="A26" s="1542"/>
      <c r="B26" s="1493" t="s">
        <v>3349</v>
      </c>
      <c r="C26" s="1494">
        <v>6000</v>
      </c>
      <c r="D26" s="1495" t="s">
        <v>3344</v>
      </c>
      <c r="E26" s="1493" t="s">
        <v>332</v>
      </c>
      <c r="F26" s="1495" t="s">
        <v>3350</v>
      </c>
      <c r="G26" s="1495" t="s">
        <v>18</v>
      </c>
      <c r="H26" s="1493" t="s">
        <v>19</v>
      </c>
      <c r="I26" s="1493" t="s">
        <v>3351</v>
      </c>
      <c r="J26" s="1779" t="s">
        <v>3352</v>
      </c>
      <c r="K26" s="1547"/>
      <c r="L26" s="1493"/>
      <c r="M26" s="1547"/>
    </row>
    <row r="27" spans="1:13" s="1467" customFormat="1" ht="58.5" customHeight="1">
      <c r="A27" s="1542"/>
      <c r="B27" s="1493" t="s">
        <v>87</v>
      </c>
      <c r="C27" s="1494">
        <v>3050</v>
      </c>
      <c r="D27" s="1495" t="s">
        <v>3353</v>
      </c>
      <c r="E27" s="1493" t="s">
        <v>151</v>
      </c>
      <c r="F27" s="1495" t="s">
        <v>3354</v>
      </c>
      <c r="G27" s="1495" t="s">
        <v>18</v>
      </c>
      <c r="H27" s="1493" t="s">
        <v>19</v>
      </c>
      <c r="I27" s="1495" t="s">
        <v>172</v>
      </c>
      <c r="J27" s="1496" t="s">
        <v>3355</v>
      </c>
      <c r="K27" s="1600"/>
      <c r="L27" s="1493"/>
      <c r="M27" s="1547"/>
    </row>
    <row r="28" spans="1:13" s="1467" customFormat="1" ht="77.25" customHeight="1">
      <c r="A28" s="1542"/>
      <c r="B28" s="1493" t="s">
        <v>117</v>
      </c>
      <c r="C28" s="1494">
        <v>4000</v>
      </c>
      <c r="D28" s="1766" t="s">
        <v>3356</v>
      </c>
      <c r="E28" s="1493" t="s">
        <v>84</v>
      </c>
      <c r="F28" s="1495" t="s">
        <v>3357</v>
      </c>
      <c r="G28" s="1495" t="s">
        <v>18</v>
      </c>
      <c r="H28" s="1493" t="s">
        <v>19</v>
      </c>
      <c r="I28" s="1773" t="s">
        <v>3358</v>
      </c>
      <c r="J28" s="1600" t="s">
        <v>3359</v>
      </c>
      <c r="K28" s="1467" t="s">
        <v>3360</v>
      </c>
      <c r="L28" s="1493"/>
      <c r="M28" s="1547"/>
    </row>
    <row r="29" spans="1:13" s="1467" customFormat="1" ht="58.5" customHeight="1">
      <c r="A29" s="1542"/>
      <c r="B29" s="1493" t="s">
        <v>3361</v>
      </c>
      <c r="C29" s="1494">
        <v>35000</v>
      </c>
      <c r="D29" s="1495" t="s">
        <v>3362</v>
      </c>
      <c r="E29" s="1493" t="s">
        <v>3306</v>
      </c>
      <c r="F29" s="1495" t="s">
        <v>3363</v>
      </c>
      <c r="G29" s="1495" t="s">
        <v>18</v>
      </c>
      <c r="H29" s="1493" t="s">
        <v>19</v>
      </c>
      <c r="I29" s="1495" t="s">
        <v>3364</v>
      </c>
      <c r="J29" s="1600" t="s">
        <v>3365</v>
      </c>
      <c r="K29" s="1600" t="s">
        <v>3366</v>
      </c>
      <c r="L29" s="1493"/>
      <c r="M29" s="1547"/>
    </row>
    <row r="30" spans="1:13" s="1467" customFormat="1" ht="58.5" customHeight="1">
      <c r="A30" s="1542"/>
      <c r="B30" s="1493" t="s">
        <v>71</v>
      </c>
      <c r="C30" s="1494">
        <v>3500</v>
      </c>
      <c r="D30" s="1766" t="s">
        <v>3367</v>
      </c>
      <c r="E30" s="1493" t="s">
        <v>54</v>
      </c>
      <c r="F30" s="1495" t="s">
        <v>3368</v>
      </c>
      <c r="G30" s="1495" t="s">
        <v>18</v>
      </c>
      <c r="H30" s="1493" t="s">
        <v>19</v>
      </c>
      <c r="I30" s="1545" t="s">
        <v>253</v>
      </c>
      <c r="J30" s="1547" t="s">
        <v>3369</v>
      </c>
      <c r="K30" s="1547"/>
      <c r="L30" s="1493"/>
      <c r="M30" s="1547"/>
    </row>
    <row r="31" spans="1:13" s="1467" customFormat="1" ht="126" customHeight="1">
      <c r="A31" s="1542"/>
      <c r="B31" s="1493" t="s">
        <v>145</v>
      </c>
      <c r="C31" s="1494">
        <v>13675</v>
      </c>
      <c r="D31" s="1766" t="s">
        <v>3370</v>
      </c>
      <c r="E31" s="1493" t="s">
        <v>43</v>
      </c>
      <c r="F31" s="1495" t="s">
        <v>3371</v>
      </c>
      <c r="G31" s="1495" t="s">
        <v>3372</v>
      </c>
      <c r="H31" s="1493" t="s">
        <v>19</v>
      </c>
      <c r="I31" s="1493" t="s">
        <v>45</v>
      </c>
      <c r="J31" s="1600" t="s">
        <v>3373</v>
      </c>
      <c r="K31" s="1775" t="s">
        <v>3374</v>
      </c>
      <c r="L31" s="1493"/>
      <c r="M31" s="1547"/>
    </row>
    <row r="32" spans="1:13" s="1467" customFormat="1" ht="78" customHeight="1">
      <c r="A32" s="1542"/>
      <c r="B32" s="1493" t="s">
        <v>93</v>
      </c>
      <c r="C32" s="1494">
        <v>2950</v>
      </c>
      <c r="D32" s="1766" t="s">
        <v>3375</v>
      </c>
      <c r="E32" s="1493" t="s">
        <v>84</v>
      </c>
      <c r="F32" s="1495" t="s">
        <v>3376</v>
      </c>
      <c r="G32" s="1495" t="s">
        <v>3377</v>
      </c>
      <c r="H32" s="1493" t="s">
        <v>19</v>
      </c>
      <c r="I32" s="1493" t="s">
        <v>123</v>
      </c>
      <c r="J32" s="1600" t="s">
        <v>3378</v>
      </c>
      <c r="K32" s="1547"/>
      <c r="L32" s="1493"/>
      <c r="M32" s="1547"/>
    </row>
    <row r="33" spans="1:14" s="1467" customFormat="1" ht="159.75" customHeight="1">
      <c r="A33" s="1542"/>
      <c r="B33" s="1493" t="s">
        <v>150</v>
      </c>
      <c r="C33" s="1494">
        <v>8300</v>
      </c>
      <c r="D33" s="1766" t="s">
        <v>3379</v>
      </c>
      <c r="E33" s="1493" t="s">
        <v>43</v>
      </c>
      <c r="F33" s="1748" t="s">
        <v>3380</v>
      </c>
      <c r="G33" s="1495" t="s">
        <v>3381</v>
      </c>
      <c r="H33" s="1493" t="s">
        <v>19</v>
      </c>
      <c r="I33" s="1493" t="s">
        <v>172</v>
      </c>
      <c r="J33" s="1600" t="s">
        <v>3382</v>
      </c>
      <c r="K33" s="1547"/>
      <c r="L33" s="1493"/>
      <c r="M33" s="1547"/>
    </row>
    <row r="34" spans="1:14" s="1467" customFormat="1" ht="58.5" customHeight="1">
      <c r="A34" s="1542" cm="1">
        <f t="array" ref="A34:A73">_xlfn.SEQUENCE(40,1,1)</f>
        <v>1</v>
      </c>
      <c r="B34" s="1493" t="s">
        <v>211</v>
      </c>
      <c r="C34" s="1494">
        <v>4000</v>
      </c>
      <c r="D34" s="1766" t="s">
        <v>3383</v>
      </c>
      <c r="E34" s="1493" t="s">
        <v>61</v>
      </c>
      <c r="F34" s="1780" t="s">
        <v>3384</v>
      </c>
      <c r="G34" s="1495" t="s">
        <v>18</v>
      </c>
      <c r="H34" s="1493" t="s">
        <v>19</v>
      </c>
      <c r="I34" s="1493" t="s">
        <v>123</v>
      </c>
      <c r="J34" s="1496" t="s">
        <v>3385</v>
      </c>
      <c r="K34" s="1547"/>
      <c r="L34" s="1493"/>
      <c r="M34" s="1547"/>
    </row>
    <row r="35" spans="1:14" ht="58.5" customHeight="1">
      <c r="A35" s="738">
        <v>2</v>
      </c>
      <c r="B35" s="102"/>
      <c r="C35" s="1167"/>
      <c r="D35" s="109"/>
      <c r="E35" s="102"/>
      <c r="F35" s="1772"/>
      <c r="G35" s="109"/>
      <c r="H35" s="103"/>
      <c r="I35" s="102"/>
      <c r="K35" s="143"/>
      <c r="L35" s="102"/>
      <c r="M35" s="143"/>
    </row>
    <row r="36" spans="1:14" ht="58.5" customHeight="1">
      <c r="A36" s="738">
        <v>3</v>
      </c>
      <c r="B36" s="102" t="s">
        <v>22</v>
      </c>
      <c r="C36" s="1167"/>
      <c r="D36" s="109"/>
      <c r="E36" s="102"/>
      <c r="F36" s="1772"/>
      <c r="G36" s="109"/>
      <c r="H36" s="102"/>
      <c r="I36" s="735"/>
      <c r="J36" s="143"/>
      <c r="K36" s="143"/>
      <c r="L36" s="102"/>
      <c r="M36" s="143"/>
    </row>
    <row r="37" spans="1:14" ht="58.5" customHeight="1">
      <c r="A37" s="738">
        <v>4</v>
      </c>
      <c r="B37" s="102"/>
      <c r="C37" s="1167"/>
      <c r="D37" s="109"/>
      <c r="E37" s="102"/>
      <c r="F37" s="1772"/>
      <c r="G37" s="109"/>
      <c r="H37" s="102"/>
      <c r="I37" s="109"/>
      <c r="J37" s="143"/>
      <c r="K37" s="143"/>
      <c r="L37" s="102"/>
      <c r="M37" s="143"/>
    </row>
    <row r="38" spans="1:14" ht="87" customHeight="1">
      <c r="A38" s="738">
        <v>5</v>
      </c>
      <c r="B38" s="102"/>
      <c r="C38" s="1167"/>
      <c r="D38" s="109"/>
      <c r="E38" s="102"/>
      <c r="F38" s="1772"/>
      <c r="G38" s="109"/>
      <c r="H38" s="102"/>
      <c r="J38" s="670"/>
      <c r="K38" s="143"/>
      <c r="L38" s="102"/>
      <c r="M38" s="143"/>
    </row>
    <row r="39" spans="1:14" ht="75" customHeight="1">
      <c r="A39" s="738">
        <v>6</v>
      </c>
      <c r="B39" s="102"/>
      <c r="C39" s="1167"/>
      <c r="D39" s="109"/>
      <c r="E39" s="102"/>
      <c r="F39" s="1772"/>
      <c r="G39" s="109"/>
      <c r="H39" s="102"/>
      <c r="I39" s="102"/>
      <c r="J39" s="696"/>
      <c r="K39" s="143"/>
      <c r="L39" s="102"/>
      <c r="M39" s="143"/>
    </row>
    <row r="40" spans="1:14" ht="58.5" customHeight="1">
      <c r="A40" s="738">
        <v>7</v>
      </c>
      <c r="B40" s="102"/>
      <c r="C40" s="1167"/>
      <c r="D40" s="109"/>
      <c r="E40" s="102"/>
      <c r="F40" s="1772"/>
      <c r="G40" s="109"/>
      <c r="H40" s="102"/>
      <c r="I40" s="102"/>
      <c r="J40" s="143"/>
      <c r="K40" s="143"/>
      <c r="L40" s="102"/>
      <c r="M40" s="143"/>
    </row>
    <row r="41" spans="1:14" ht="58.5" customHeight="1">
      <c r="A41" s="738">
        <v>8</v>
      </c>
      <c r="B41" s="102"/>
      <c r="C41" s="1167"/>
      <c r="D41" s="109"/>
      <c r="E41" s="102"/>
      <c r="F41" s="109"/>
      <c r="G41" s="109"/>
      <c r="H41" s="102"/>
      <c r="I41" s="102"/>
      <c r="J41" s="143"/>
      <c r="K41" s="143"/>
      <c r="L41" s="102"/>
      <c r="M41" s="143"/>
    </row>
    <row r="42" spans="1:14" ht="58.5" customHeight="1">
      <c r="A42" s="738">
        <v>9</v>
      </c>
      <c r="B42" s="102"/>
      <c r="C42" s="1167"/>
      <c r="D42" s="109"/>
      <c r="E42" s="102"/>
      <c r="F42" s="109"/>
      <c r="G42" s="109"/>
      <c r="H42" s="1776"/>
      <c r="I42" s="102"/>
      <c r="J42" s="143"/>
      <c r="K42" s="143"/>
      <c r="L42" s="102"/>
      <c r="M42" s="143"/>
    </row>
    <row r="43" spans="1:14" ht="58.5" customHeight="1">
      <c r="A43" s="738">
        <v>10</v>
      </c>
      <c r="B43" s="102"/>
      <c r="C43" s="1167"/>
      <c r="D43" s="109"/>
      <c r="E43" s="102"/>
      <c r="F43" s="109"/>
      <c r="G43" s="109"/>
      <c r="H43" s="102"/>
      <c r="I43" s="102"/>
      <c r="J43" s="143"/>
      <c r="K43" s="143"/>
      <c r="L43" s="102"/>
      <c r="M43" s="143"/>
    </row>
    <row r="44" spans="1:14" ht="58.5" customHeight="1">
      <c r="A44" s="738">
        <v>11</v>
      </c>
      <c r="B44" s="102"/>
      <c r="C44" s="1167"/>
      <c r="D44" s="109"/>
      <c r="E44" s="102"/>
      <c r="F44" s="109"/>
      <c r="G44" s="109"/>
      <c r="H44" s="102"/>
      <c r="I44" s="102"/>
      <c r="J44" s="143"/>
      <c r="K44" s="143"/>
      <c r="L44" s="102"/>
      <c r="M44" s="143"/>
    </row>
    <row r="45" spans="1:14" s="1743" customFormat="1" ht="58.5" customHeight="1">
      <c r="A45" s="1735">
        <v>12</v>
      </c>
      <c r="B45" s="1736" t="s">
        <v>1543</v>
      </c>
      <c r="C45" s="1737">
        <v>14000</v>
      </c>
      <c r="D45" s="1738" t="s">
        <v>216</v>
      </c>
      <c r="E45" s="1736" t="s">
        <v>43</v>
      </c>
      <c r="F45" s="1739" t="s">
        <v>3386</v>
      </c>
      <c r="G45" s="1739"/>
      <c r="H45" s="1736"/>
      <c r="I45" s="1736"/>
      <c r="J45" s="1740"/>
      <c r="K45" s="1741"/>
      <c r="L45" s="1736"/>
      <c r="M45" s="1741"/>
      <c r="N45" s="1742"/>
    </row>
    <row r="46" spans="1:14" s="1765" customFormat="1" ht="52.5" customHeight="1">
      <c r="A46" s="1758">
        <v>13</v>
      </c>
      <c r="B46" s="1759" t="s">
        <v>2921</v>
      </c>
      <c r="C46" s="1760">
        <v>5300</v>
      </c>
      <c r="D46" s="1761" t="s">
        <v>216</v>
      </c>
      <c r="E46" s="1759" t="s">
        <v>43</v>
      </c>
      <c r="F46" s="1762" t="s">
        <v>3386</v>
      </c>
      <c r="G46" s="1762"/>
      <c r="H46" s="1759"/>
      <c r="I46" s="1759"/>
      <c r="J46" s="1763"/>
      <c r="K46" s="1764"/>
      <c r="L46" s="1759"/>
      <c r="M46" s="1764"/>
    </row>
    <row r="47" spans="1:14" ht="58.5" customHeight="1">
      <c r="A47" s="738">
        <v>14</v>
      </c>
      <c r="B47" s="102"/>
      <c r="C47" s="1167"/>
      <c r="D47" s="109"/>
      <c r="E47" s="102"/>
      <c r="F47" s="109"/>
      <c r="G47" s="109"/>
      <c r="H47" s="102"/>
      <c r="I47" s="102"/>
      <c r="J47" s="143"/>
      <c r="K47" s="143"/>
      <c r="L47" s="102"/>
      <c r="M47" s="143"/>
    </row>
    <row r="48" spans="1:14" ht="58.5" customHeight="1">
      <c r="A48" s="738">
        <v>15</v>
      </c>
      <c r="B48" s="102"/>
      <c r="C48" s="1167"/>
      <c r="D48" s="109"/>
      <c r="E48" s="102"/>
      <c r="F48" s="109"/>
      <c r="G48" s="109"/>
      <c r="H48" s="102"/>
      <c r="I48" s="102"/>
      <c r="J48" s="143"/>
      <c r="K48" s="143"/>
      <c r="L48" s="102"/>
      <c r="M48" s="143"/>
    </row>
    <row r="49" spans="1:13" ht="58.5" customHeight="1">
      <c r="A49" s="738">
        <v>16</v>
      </c>
      <c r="B49" s="102"/>
      <c r="C49" s="1167"/>
      <c r="D49" s="109"/>
      <c r="E49" s="102"/>
      <c r="F49" s="109"/>
      <c r="G49" s="109"/>
      <c r="H49" s="102"/>
      <c r="I49" s="102"/>
      <c r="J49" s="143"/>
      <c r="K49" s="143"/>
      <c r="L49" s="102"/>
      <c r="M49" s="143"/>
    </row>
    <row r="50" spans="1:13" ht="58.5" customHeight="1">
      <c r="A50" s="738">
        <v>17</v>
      </c>
      <c r="B50" s="102"/>
      <c r="C50" s="1167"/>
      <c r="D50" s="109"/>
      <c r="E50" s="102"/>
      <c r="F50" s="109"/>
      <c r="G50" s="109"/>
      <c r="H50" s="102"/>
      <c r="I50" s="102"/>
      <c r="J50" s="143"/>
      <c r="K50" s="143"/>
      <c r="L50" s="102"/>
      <c r="M50" s="143"/>
    </row>
    <row r="51" spans="1:13" ht="58.5" customHeight="1">
      <c r="A51" s="738">
        <v>18</v>
      </c>
      <c r="B51" s="102"/>
      <c r="C51" s="1167"/>
      <c r="D51" s="109"/>
      <c r="E51" s="102"/>
      <c r="F51" s="109"/>
      <c r="G51" s="109"/>
      <c r="H51" s="102"/>
      <c r="I51" s="102"/>
      <c r="J51" s="143"/>
      <c r="K51" s="143"/>
      <c r="L51" s="102"/>
      <c r="M51" s="143"/>
    </row>
    <row r="52" spans="1:13" ht="58.5" customHeight="1">
      <c r="A52" s="738">
        <v>19</v>
      </c>
      <c r="B52" s="102"/>
      <c r="C52" s="1167"/>
      <c r="D52" s="109"/>
      <c r="E52" s="102"/>
      <c r="F52" s="109"/>
      <c r="G52" s="109"/>
      <c r="H52" s="102"/>
      <c r="I52" s="102"/>
      <c r="J52" s="143"/>
      <c r="K52" s="143"/>
      <c r="L52" s="102"/>
      <c r="M52" s="143"/>
    </row>
    <row r="53" spans="1:13" ht="58.5" customHeight="1">
      <c r="A53" s="738">
        <v>20</v>
      </c>
      <c r="B53" s="102"/>
      <c r="C53" s="1167"/>
      <c r="D53" s="109"/>
      <c r="E53" s="102"/>
      <c r="F53" s="109"/>
      <c r="G53" s="109"/>
      <c r="H53" s="102"/>
      <c r="I53" s="102"/>
      <c r="J53" s="143"/>
      <c r="K53" s="143"/>
      <c r="L53" s="102"/>
      <c r="M53" s="143"/>
    </row>
    <row r="54" spans="1:13" ht="58.5" customHeight="1">
      <c r="A54" s="738">
        <v>21</v>
      </c>
      <c r="B54" s="102"/>
      <c r="C54" s="1167"/>
      <c r="D54" s="109"/>
      <c r="E54" s="102"/>
      <c r="F54" s="109"/>
      <c r="G54" s="109"/>
      <c r="H54" s="102"/>
      <c r="I54" s="102"/>
      <c r="J54" s="143"/>
      <c r="K54" s="143"/>
      <c r="L54" s="102"/>
      <c r="M54" s="143"/>
    </row>
    <row r="55" spans="1:13" ht="58.5" customHeight="1">
      <c r="A55" s="738">
        <v>22</v>
      </c>
      <c r="B55" s="102"/>
      <c r="C55" s="1167"/>
      <c r="D55" s="109"/>
      <c r="E55" s="102"/>
      <c r="F55" s="109"/>
      <c r="G55" s="109"/>
      <c r="H55" s="102"/>
      <c r="I55" s="102"/>
      <c r="J55" s="143"/>
      <c r="K55" s="143"/>
      <c r="L55" s="102"/>
      <c r="M55" s="143"/>
    </row>
    <row r="56" spans="1:13" ht="58.5" customHeight="1">
      <c r="A56" s="738">
        <v>23</v>
      </c>
      <c r="B56" s="102"/>
      <c r="C56" s="1167"/>
      <c r="D56" s="109"/>
      <c r="E56" s="102"/>
      <c r="F56" s="109"/>
      <c r="G56" s="109"/>
      <c r="H56" s="102"/>
      <c r="I56" s="102"/>
      <c r="J56" s="143"/>
      <c r="K56" s="143"/>
      <c r="L56" s="102"/>
      <c r="M56" s="143"/>
    </row>
    <row r="57" spans="1:13" ht="58.5" customHeight="1">
      <c r="A57" s="359">
        <v>24</v>
      </c>
    </row>
    <row r="58" spans="1:13" ht="58.5" customHeight="1">
      <c r="A58" s="359">
        <v>25</v>
      </c>
    </row>
    <row r="59" spans="1:13" ht="58.5" customHeight="1">
      <c r="A59" s="359">
        <v>26</v>
      </c>
    </row>
    <row r="60" spans="1:13" ht="58.5" customHeight="1">
      <c r="A60" s="359">
        <v>27</v>
      </c>
    </row>
    <row r="61" spans="1:13" ht="58.5" customHeight="1">
      <c r="A61" s="359">
        <v>28</v>
      </c>
    </row>
    <row r="62" spans="1:13" ht="58.5" customHeight="1">
      <c r="A62" s="359">
        <v>29</v>
      </c>
    </row>
    <row r="63" spans="1:13" ht="58.5" customHeight="1">
      <c r="A63" s="359">
        <v>30</v>
      </c>
    </row>
    <row r="64" spans="1:13" ht="58.5" customHeight="1">
      <c r="A64" s="359">
        <v>31</v>
      </c>
    </row>
    <row r="65" spans="1:1" ht="58.5" customHeight="1">
      <c r="A65" s="359">
        <v>32</v>
      </c>
    </row>
    <row r="66" spans="1:1" ht="58.5" customHeight="1">
      <c r="A66" s="359">
        <v>33</v>
      </c>
    </row>
    <row r="67" spans="1:1" ht="58.5" customHeight="1">
      <c r="A67" s="359">
        <v>34</v>
      </c>
    </row>
    <row r="68" spans="1:1" ht="58.5" customHeight="1">
      <c r="A68" s="359">
        <v>35</v>
      </c>
    </row>
    <row r="69" spans="1:1" ht="58.5" customHeight="1">
      <c r="A69" s="359">
        <v>36</v>
      </c>
    </row>
    <row r="70" spans="1:1" ht="58.5" customHeight="1">
      <c r="A70" s="359">
        <v>37</v>
      </c>
    </row>
    <row r="71" spans="1:1" ht="58.5" customHeight="1">
      <c r="A71" s="359">
        <v>38</v>
      </c>
    </row>
    <row r="72" spans="1:1" ht="58.5" customHeight="1">
      <c r="A72" s="359">
        <v>39</v>
      </c>
    </row>
    <row r="73" spans="1:1" ht="58.5" customHeight="1">
      <c r="A73" s="359">
        <v>40</v>
      </c>
    </row>
  </sheetData>
  <autoFilter ref="A5:P5" xr:uid="{00000000-0009-0000-0000-000001000000}"/>
  <mergeCells count="4">
    <mergeCell ref="C1:K1"/>
    <mergeCell ref="A2:M2"/>
    <mergeCell ref="B3:M3"/>
    <mergeCell ref="A4:B4"/>
  </mergeCells>
  <conditionalFormatting sqref="A1:A4">
    <cfRule type="duplicateValues" dxfId="455" priority="5"/>
  </conditionalFormatting>
  <conditionalFormatting sqref="A5">
    <cfRule type="duplicateValues" dxfId="454" priority="4"/>
  </conditionalFormatting>
  <conditionalFormatting sqref="B5">
    <cfRule type="duplicateValues" dxfId="453" priority="1"/>
    <cfRule type="duplicateValues" dxfId="452" priority="2"/>
    <cfRule type="duplicateValues" dxfId="451" priority="3"/>
  </conditionalFormatting>
  <pageMargins left="0.7" right="0.7" top="0.75" bottom="0.75" header="0.3" footer="0.3"/>
  <pageSetup paperSize="9" scale="40" orientation="landscape"/>
  <legacyDrawing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610332-11E6-4162-8E86-202AC18CBFD9}">
  <sheetPr>
    <tabColor theme="2" tint="-0.499984740745262"/>
    <pageSetUpPr fitToPage="1"/>
  </sheetPr>
  <dimension ref="A1:N72"/>
  <sheetViews>
    <sheetView topLeftCell="A2" zoomScale="70" zoomScaleNormal="70" workbookViewId="0">
      <pane xSplit="3" ySplit="3" topLeftCell="D33" activePane="bottomRight" state="frozen"/>
      <selection pane="topRight" activeCell="E39" sqref="E39"/>
      <selection pane="bottomLeft" activeCell="E39" sqref="E39"/>
      <selection pane="bottomRight" activeCell="E39" sqref="E39"/>
    </sheetView>
  </sheetViews>
  <sheetFormatPr defaultColWidth="32.140625" defaultRowHeight="58.5" customHeight="1"/>
  <cols>
    <col min="1" max="1" width="9.42578125" style="359" customWidth="1"/>
    <col min="2" max="2" width="32.140625" style="1" customWidth="1"/>
    <col min="3" max="3" width="17.28515625" style="1138" customWidth="1"/>
    <col min="4" max="4" width="29.42578125" style="271" customWidth="1"/>
    <col min="5" max="5" width="24" style="1" customWidth="1"/>
    <col min="6" max="6" width="22.28515625" style="271" customWidth="1"/>
    <col min="7" max="7" width="29.42578125" style="271" customWidth="1"/>
    <col min="8" max="8" width="20.85546875" style="271" customWidth="1"/>
    <col min="9" max="9" width="24.42578125" style="271" customWidth="1"/>
    <col min="10" max="10" width="112" style="9" customWidth="1"/>
    <col min="11" max="11" width="43.42578125" style="9" customWidth="1"/>
    <col min="12" max="12" width="17.28515625" style="1" customWidth="1"/>
    <col min="13" max="13" width="18.7109375" style="763" customWidth="1"/>
    <col min="14" max="14" width="35.42578125" style="3" customWidth="1"/>
    <col min="15" max="16384" width="32.140625" style="3"/>
  </cols>
  <sheetData>
    <row r="1" spans="1:14" ht="58.5" customHeight="1">
      <c r="B1" s="10"/>
      <c r="C1" s="3624"/>
      <c r="D1" s="3624"/>
      <c r="E1" s="3624"/>
      <c r="F1" s="3624"/>
      <c r="G1" s="3624"/>
      <c r="H1" s="3624"/>
      <c r="I1" s="3624"/>
      <c r="J1" s="3624"/>
      <c r="K1" s="3624"/>
      <c r="M1" s="1848"/>
    </row>
    <row r="2" spans="1:14" ht="42" customHeight="1">
      <c r="A2" s="3705" t="s">
        <v>3387</v>
      </c>
      <c r="B2" s="3705"/>
      <c r="C2" s="3705"/>
      <c r="D2" s="3705"/>
      <c r="E2" s="3705"/>
      <c r="F2" s="3705"/>
      <c r="G2" s="3705"/>
      <c r="H2" s="3705"/>
      <c r="I2" s="3705"/>
      <c r="J2" s="3705"/>
      <c r="K2" s="3706"/>
      <c r="L2" s="1905"/>
      <c r="M2" s="1905"/>
      <c r="N2" s="287"/>
    </row>
    <row r="3" spans="1:14" ht="37.5" customHeight="1">
      <c r="A3" s="3707" t="s">
        <v>3388</v>
      </c>
      <c r="B3" s="3707"/>
      <c r="C3" s="1950">
        <f>SUBTOTAL(9,C5:C585)</f>
        <v>218528</v>
      </c>
      <c r="D3" s="1932"/>
      <c r="E3" s="1951"/>
      <c r="F3" s="1932"/>
      <c r="G3" s="1932"/>
      <c r="H3" s="1932"/>
      <c r="I3" s="1932"/>
      <c r="J3" s="1934">
        <f ca="1">TODAY()</f>
        <v>45960</v>
      </c>
      <c r="K3" s="1622"/>
      <c r="L3" s="1952"/>
      <c r="M3" s="1951"/>
      <c r="N3" s="287"/>
    </row>
    <row r="4" spans="1:14" s="1149" customFormat="1" ht="53.25" customHeight="1">
      <c r="A4" s="1978" t="s">
        <v>1</v>
      </c>
      <c r="B4" s="1818" t="s">
        <v>2</v>
      </c>
      <c r="C4" s="1948" t="s">
        <v>3</v>
      </c>
      <c r="D4" s="1818" t="s">
        <v>3389</v>
      </c>
      <c r="E4" s="1818" t="s">
        <v>5</v>
      </c>
      <c r="F4" s="1818" t="s">
        <v>3390</v>
      </c>
      <c r="G4" s="1818" t="s">
        <v>7</v>
      </c>
      <c r="H4" s="1970" t="s">
        <v>8</v>
      </c>
      <c r="I4" s="1818" t="s">
        <v>9</v>
      </c>
      <c r="J4" s="1818" t="s">
        <v>10</v>
      </c>
      <c r="K4" s="1818" t="s">
        <v>11</v>
      </c>
      <c r="L4" s="1818" t="s">
        <v>12</v>
      </c>
      <c r="M4" s="1949" t="s">
        <v>13</v>
      </c>
      <c r="N4" s="1820" t="e">
        <f>SUM(#REF!)</f>
        <v>#REF!</v>
      </c>
    </row>
    <row r="5" spans="1:14" s="1916" customFormat="1" ht="53.25" customHeight="1">
      <c r="A5" s="1542" cm="1">
        <f t="array" ref="A5:A54">_xlfn.SEQUENCE(50,1,1,)</f>
        <v>1</v>
      </c>
      <c r="B5" s="1495" t="s">
        <v>3391</v>
      </c>
      <c r="C5" s="1901">
        <v>3300</v>
      </c>
      <c r="D5" s="1851" t="s">
        <v>3392</v>
      </c>
      <c r="E5" s="1493" t="s">
        <v>89</v>
      </c>
      <c r="F5" s="1495" t="s">
        <v>3393</v>
      </c>
      <c r="G5" s="2030" t="s">
        <v>18</v>
      </c>
      <c r="H5" s="1568" t="s">
        <v>19</v>
      </c>
      <c r="I5" s="1495" t="s">
        <v>101</v>
      </c>
      <c r="J5" s="1496" t="s">
        <v>3394</v>
      </c>
      <c r="K5" s="1547"/>
      <c r="L5" s="1493"/>
      <c r="M5" s="1790"/>
      <c r="N5" s="1548"/>
    </row>
    <row r="6" spans="1:14" s="1916" customFormat="1" ht="103.5" customHeight="1">
      <c r="A6" s="1542">
        <v>2</v>
      </c>
      <c r="B6" s="1493" t="s">
        <v>3395</v>
      </c>
      <c r="C6" s="1494">
        <v>11000</v>
      </c>
      <c r="D6" s="1851" t="s">
        <v>3396</v>
      </c>
      <c r="E6" s="1493" t="s">
        <v>16</v>
      </c>
      <c r="F6" s="1495" t="s">
        <v>3397</v>
      </c>
      <c r="G6" s="2030" t="s">
        <v>18</v>
      </c>
      <c r="H6" s="1568" t="s">
        <v>19</v>
      </c>
      <c r="I6" s="1495" t="s">
        <v>172</v>
      </c>
      <c r="J6" s="1496" t="s">
        <v>3398</v>
      </c>
      <c r="K6" s="1547"/>
      <c r="L6" s="1493"/>
      <c r="M6" s="1790"/>
      <c r="N6" s="1548"/>
    </row>
    <row r="7" spans="1:14" s="1916" customFormat="1" ht="112.5" customHeight="1">
      <c r="A7" s="1542">
        <v>3</v>
      </c>
      <c r="B7" s="1493" t="s">
        <v>3399</v>
      </c>
      <c r="C7" s="1494">
        <v>8800</v>
      </c>
      <c r="D7" s="1851" t="s">
        <v>3400</v>
      </c>
      <c r="E7" s="1493" t="s">
        <v>3401</v>
      </c>
      <c r="F7" s="1495" t="s">
        <v>3402</v>
      </c>
      <c r="G7" s="2030" t="s">
        <v>18</v>
      </c>
      <c r="H7" s="1568" t="s">
        <v>19</v>
      </c>
      <c r="I7" s="1495" t="s">
        <v>517</v>
      </c>
      <c r="J7" s="1496" t="s">
        <v>3403</v>
      </c>
      <c r="K7" s="1600"/>
      <c r="L7" s="1493"/>
      <c r="M7" s="1790"/>
      <c r="N7" s="1548"/>
    </row>
    <row r="8" spans="1:14" s="1916" customFormat="1" ht="129" customHeight="1">
      <c r="A8" s="1542">
        <v>4</v>
      </c>
      <c r="B8" s="1495" t="s">
        <v>219</v>
      </c>
      <c r="C8" s="1901">
        <v>3750</v>
      </c>
      <c r="D8" s="1851" t="s">
        <v>3404</v>
      </c>
      <c r="E8" s="1493" t="s">
        <v>61</v>
      </c>
      <c r="F8" s="1495" t="s">
        <v>3405</v>
      </c>
      <c r="G8" s="2030" t="s">
        <v>18</v>
      </c>
      <c r="H8" s="1568" t="s">
        <v>19</v>
      </c>
      <c r="I8" s="1495" t="s">
        <v>517</v>
      </c>
      <c r="J8" s="1600" t="s">
        <v>3406</v>
      </c>
      <c r="K8" s="1498"/>
      <c r="L8" s="1493"/>
      <c r="M8" s="1790"/>
      <c r="N8" s="1548"/>
    </row>
    <row r="9" spans="1:14" s="1997" customFormat="1" ht="71.25" customHeight="1">
      <c r="A9" s="1542">
        <v>5</v>
      </c>
      <c r="B9" s="1493" t="s">
        <v>117</v>
      </c>
      <c r="C9" s="1494">
        <v>4000</v>
      </c>
      <c r="D9" s="2032" t="s">
        <v>3407</v>
      </c>
      <c r="E9" s="1493" t="s">
        <v>84</v>
      </c>
      <c r="F9" s="1495" t="s">
        <v>3408</v>
      </c>
      <c r="G9" s="2030" t="s">
        <v>18</v>
      </c>
      <c r="H9" s="1568" t="s">
        <v>19</v>
      </c>
      <c r="I9" s="1495" t="s">
        <v>172</v>
      </c>
      <c r="J9" s="1496" t="s">
        <v>3409</v>
      </c>
      <c r="K9" s="1547"/>
      <c r="L9" s="1493"/>
      <c r="M9" s="1790"/>
      <c r="N9" s="1548"/>
    </row>
    <row r="10" spans="1:14" s="1916" customFormat="1" ht="89.25" customHeight="1">
      <c r="A10" s="1850">
        <v>6</v>
      </c>
      <c r="B10" s="1543" t="s">
        <v>3410</v>
      </c>
      <c r="C10" s="2029">
        <v>3050</v>
      </c>
      <c r="D10" s="1851" t="s">
        <v>3411</v>
      </c>
      <c r="E10" s="1601" t="s">
        <v>84</v>
      </c>
      <c r="F10" s="1851" t="s">
        <v>3412</v>
      </c>
      <c r="G10" s="2030" t="s">
        <v>18</v>
      </c>
      <c r="H10" s="1568" t="s">
        <v>19</v>
      </c>
      <c r="I10" s="1495" t="s">
        <v>517</v>
      </c>
      <c r="J10" s="1497" t="s">
        <v>3413</v>
      </c>
      <c r="K10" s="2031"/>
      <c r="L10" s="1630"/>
      <c r="M10" s="1882"/>
      <c r="N10" s="1883"/>
    </row>
    <row r="11" spans="1:14" s="1916" customFormat="1" ht="157.5" customHeight="1">
      <c r="A11" s="1542">
        <v>7</v>
      </c>
      <c r="B11" s="1493" t="s">
        <v>3414</v>
      </c>
      <c r="C11" s="1494">
        <v>24000</v>
      </c>
      <c r="D11" s="2032" t="s">
        <v>3415</v>
      </c>
      <c r="E11" s="1493" t="s">
        <v>3416</v>
      </c>
      <c r="F11" s="1495" t="s">
        <v>3417</v>
      </c>
      <c r="G11" s="2030" t="s">
        <v>18</v>
      </c>
      <c r="H11" s="1568" t="s">
        <v>19</v>
      </c>
      <c r="I11" s="1495" t="s">
        <v>3266</v>
      </c>
      <c r="J11" s="1496" t="s">
        <v>3418</v>
      </c>
      <c r="K11" s="1547"/>
      <c r="L11" s="1493"/>
      <c r="M11" s="1790"/>
      <c r="N11" s="1548"/>
    </row>
    <row r="12" spans="1:14" s="1916" customFormat="1" ht="70.5" customHeight="1">
      <c r="A12" s="1542">
        <v>8</v>
      </c>
      <c r="B12" s="1495" t="s">
        <v>3419</v>
      </c>
      <c r="C12" s="1901">
        <v>5000</v>
      </c>
      <c r="D12" s="1495" t="s">
        <v>3420</v>
      </c>
      <c r="E12" s="1493" t="s">
        <v>3421</v>
      </c>
      <c r="F12" s="1495" t="s">
        <v>3422</v>
      </c>
      <c r="G12" s="2030" t="s">
        <v>18</v>
      </c>
      <c r="H12" s="1495" t="s">
        <v>3423</v>
      </c>
      <c r="I12" s="1495" t="s">
        <v>178</v>
      </c>
      <c r="J12" s="1600" t="s">
        <v>3424</v>
      </c>
      <c r="K12" s="1547"/>
      <c r="L12" s="1493"/>
      <c r="M12" s="1790"/>
      <c r="N12" s="1548"/>
    </row>
    <row r="13" spans="1:14" s="1916" customFormat="1" ht="82.5" customHeight="1">
      <c r="A13" s="1542">
        <v>9</v>
      </c>
      <c r="B13" s="1493" t="s">
        <v>3425</v>
      </c>
      <c r="C13" s="1494">
        <v>3500</v>
      </c>
      <c r="D13" s="1851" t="s">
        <v>3426</v>
      </c>
      <c r="E13" s="1493" t="s">
        <v>61</v>
      </c>
      <c r="F13" s="1495" t="s">
        <v>3427</v>
      </c>
      <c r="G13" s="2030" t="s">
        <v>18</v>
      </c>
      <c r="H13" s="1568" t="s">
        <v>19</v>
      </c>
      <c r="I13" s="1495" t="s">
        <v>63</v>
      </c>
      <c r="J13" s="1496" t="s">
        <v>3428</v>
      </c>
      <c r="K13" s="1547"/>
      <c r="L13" s="1493"/>
      <c r="M13" s="1790"/>
      <c r="N13" s="1548"/>
    </row>
    <row r="14" spans="1:14" s="2033" customFormat="1" ht="82.5" customHeight="1">
      <c r="A14" s="1850">
        <v>10</v>
      </c>
      <c r="B14" s="1495" t="s">
        <v>3429</v>
      </c>
      <c r="C14" s="1631">
        <v>3000</v>
      </c>
      <c r="D14" s="1851" t="s">
        <v>3420</v>
      </c>
      <c r="E14" s="1630" t="s">
        <v>3430</v>
      </c>
      <c r="F14" s="1851" t="s">
        <v>3431</v>
      </c>
      <c r="G14" s="2030" t="s">
        <v>18</v>
      </c>
      <c r="H14" s="1568" t="s">
        <v>19</v>
      </c>
      <c r="I14" s="1851" t="s">
        <v>3432</v>
      </c>
      <c r="J14" s="1497" t="s">
        <v>3433</v>
      </c>
      <c r="K14" s="1881"/>
      <c r="L14" s="1630"/>
      <c r="M14" s="1882"/>
      <c r="N14" s="1883"/>
    </row>
    <row r="15" spans="1:14" s="2033" customFormat="1" ht="82.5" customHeight="1">
      <c r="A15" s="1850">
        <v>11</v>
      </c>
      <c r="B15" s="1851" t="s">
        <v>3434</v>
      </c>
      <c r="C15" s="1915">
        <v>507</v>
      </c>
      <c r="D15" s="1851" t="s">
        <v>3435</v>
      </c>
      <c r="E15" s="1630" t="s">
        <v>54</v>
      </c>
      <c r="F15" s="1851" t="s">
        <v>3436</v>
      </c>
      <c r="G15" s="2030" t="s">
        <v>18</v>
      </c>
      <c r="H15" s="1568" t="s">
        <v>19</v>
      </c>
      <c r="I15" s="1495" t="s">
        <v>172</v>
      </c>
      <c r="J15" s="2133" t="s">
        <v>3437</v>
      </c>
      <c r="K15" s="1938"/>
      <c r="L15" s="1630"/>
      <c r="M15" s="1882"/>
      <c r="N15" s="1883"/>
    </row>
    <row r="16" spans="1:14" s="2033" customFormat="1" ht="120.75" customHeight="1">
      <c r="A16" s="1542">
        <v>12</v>
      </c>
      <c r="B16" s="1495" t="s">
        <v>3438</v>
      </c>
      <c r="C16" s="1901">
        <v>4300</v>
      </c>
      <c r="D16" s="1495" t="s">
        <v>3439</v>
      </c>
      <c r="E16" s="1769" t="s">
        <v>84</v>
      </c>
      <c r="F16" s="1851" t="s">
        <v>3440</v>
      </c>
      <c r="G16" s="2030" t="s">
        <v>18</v>
      </c>
      <c r="H16" s="1947" t="s">
        <v>19</v>
      </c>
      <c r="I16" s="1851" t="s">
        <v>172</v>
      </c>
      <c r="J16" s="1497" t="s">
        <v>3441</v>
      </c>
      <c r="K16" s="1873"/>
      <c r="L16" s="1497"/>
      <c r="M16" s="1790"/>
      <c r="N16" s="1548"/>
    </row>
    <row r="17" spans="1:14" s="2033" customFormat="1" ht="105" customHeight="1">
      <c r="A17" s="1542">
        <v>13</v>
      </c>
      <c r="B17" s="1495" t="s">
        <v>3399</v>
      </c>
      <c r="C17" s="1901">
        <v>8700</v>
      </c>
      <c r="D17" s="1495" t="s">
        <v>3442</v>
      </c>
      <c r="E17" s="1769" t="s">
        <v>3401</v>
      </c>
      <c r="F17" s="1890" t="s">
        <v>3443</v>
      </c>
      <c r="G17" s="2030" t="s">
        <v>18</v>
      </c>
      <c r="H17" s="1947" t="s">
        <v>19</v>
      </c>
      <c r="I17" s="1851" t="s">
        <v>172</v>
      </c>
      <c r="J17" s="1628" t="s">
        <v>3444</v>
      </c>
      <c r="K17" s="1947" t="s">
        <v>3445</v>
      </c>
      <c r="L17" s="1497"/>
      <c r="M17" s="1790"/>
      <c r="N17" s="1548"/>
    </row>
    <row r="18" spans="1:14" s="2033" customFormat="1" ht="77.25" customHeight="1">
      <c r="A18" s="1542">
        <v>14</v>
      </c>
      <c r="B18" s="1851" t="s">
        <v>3446</v>
      </c>
      <c r="C18" s="1915">
        <v>9000</v>
      </c>
      <c r="D18" s="1851" t="s">
        <v>3447</v>
      </c>
      <c r="E18" s="1493" t="s">
        <v>3421</v>
      </c>
      <c r="F18" s="1851" t="s">
        <v>3448</v>
      </c>
      <c r="G18" s="2030" t="s">
        <v>18</v>
      </c>
      <c r="H18" s="1851" t="s">
        <v>3423</v>
      </c>
      <c r="I18" s="1872" t="s">
        <v>3449</v>
      </c>
      <c r="J18" s="2133" t="s">
        <v>3450</v>
      </c>
      <c r="K18" s="1938" t="s">
        <v>3451</v>
      </c>
      <c r="L18" s="1630"/>
      <c r="M18" s="1882"/>
      <c r="N18" s="1548"/>
    </row>
    <row r="19" spans="1:14" s="2033" customFormat="1" ht="73.5" customHeight="1">
      <c r="A19" s="1850">
        <v>15</v>
      </c>
      <c r="B19" s="1851" t="s">
        <v>71</v>
      </c>
      <c r="C19" s="1915">
        <v>2200</v>
      </c>
      <c r="D19" s="1851" t="s">
        <v>3442</v>
      </c>
      <c r="E19" s="1630" t="s">
        <v>16</v>
      </c>
      <c r="F19" s="1851" t="s">
        <v>3452</v>
      </c>
      <c r="G19" s="2030" t="s">
        <v>18</v>
      </c>
      <c r="H19" s="1947" t="s">
        <v>19</v>
      </c>
      <c r="I19" s="1872" t="s">
        <v>517</v>
      </c>
      <c r="J19" s="2133" t="s">
        <v>3453</v>
      </c>
      <c r="K19" s="1873" t="s">
        <v>3454</v>
      </c>
      <c r="L19" s="1630"/>
      <c r="M19" s="1882"/>
      <c r="N19" s="1883"/>
    </row>
    <row r="20" spans="1:14" s="2035" customFormat="1" ht="121.5" customHeight="1">
      <c r="A20" s="1917">
        <v>16</v>
      </c>
      <c r="B20" s="1875" t="s">
        <v>3455</v>
      </c>
      <c r="C20" s="1918">
        <v>6200</v>
      </c>
      <c r="D20" s="1875" t="s">
        <v>3456</v>
      </c>
      <c r="E20" s="1869" t="s">
        <v>3401</v>
      </c>
      <c r="F20" s="1875" t="s">
        <v>3457</v>
      </c>
      <c r="G20" s="2030" t="s">
        <v>18</v>
      </c>
      <c r="H20" s="1946" t="s">
        <v>19</v>
      </c>
      <c r="I20" s="2028" t="s">
        <v>3458</v>
      </c>
      <c r="J20" s="1987" t="s">
        <v>3459</v>
      </c>
      <c r="K20" s="2037" t="s">
        <v>3451</v>
      </c>
      <c r="L20" s="1869"/>
      <c r="M20" s="1867"/>
      <c r="N20" s="1945"/>
    </row>
    <row r="21" spans="1:14" s="1958" customFormat="1" ht="76.5" customHeight="1">
      <c r="A21" s="1542">
        <v>17</v>
      </c>
      <c r="B21" s="1495" t="s">
        <v>3460</v>
      </c>
      <c r="C21" s="1901">
        <v>4000</v>
      </c>
      <c r="D21" s="1495" t="s">
        <v>3461</v>
      </c>
      <c r="E21" s="1493" t="s">
        <v>61</v>
      </c>
      <c r="F21" s="1495" t="s">
        <v>3462</v>
      </c>
      <c r="G21" s="2030" t="s">
        <v>18</v>
      </c>
      <c r="H21" s="1495" t="s">
        <v>19</v>
      </c>
      <c r="I21" s="1495" t="s">
        <v>20</v>
      </c>
      <c r="J21" s="1598" t="s">
        <v>3463</v>
      </c>
      <c r="K21" s="1600"/>
      <c r="L21" s="1493"/>
      <c r="M21" s="1790"/>
      <c r="N21" s="1548"/>
    </row>
    <row r="22" spans="1:14" s="1548" customFormat="1" ht="139.5" customHeight="1">
      <c r="A22" s="1542">
        <v>18</v>
      </c>
      <c r="B22" s="1495" t="s">
        <v>3464</v>
      </c>
      <c r="C22" s="1901">
        <v>3200</v>
      </c>
      <c r="D22" s="1495" t="s">
        <v>3465</v>
      </c>
      <c r="E22" s="1493" t="s">
        <v>84</v>
      </c>
      <c r="F22" s="1495" t="s">
        <v>3466</v>
      </c>
      <c r="G22" s="2030" t="s">
        <v>18</v>
      </c>
      <c r="H22" s="1495" t="s">
        <v>19</v>
      </c>
      <c r="I22" s="1495" t="s">
        <v>517</v>
      </c>
      <c r="J22" s="1967" t="s">
        <v>3467</v>
      </c>
      <c r="K22" s="2039" t="s">
        <v>3468</v>
      </c>
      <c r="L22" s="1600"/>
      <c r="M22" s="2040"/>
      <c r="N22" s="1559"/>
    </row>
    <row r="23" spans="1:14" s="1945" customFormat="1" ht="79.5" customHeight="1">
      <c r="A23" s="1542">
        <v>19</v>
      </c>
      <c r="B23" s="1495" t="s">
        <v>3469</v>
      </c>
      <c r="C23" s="1901">
        <v>4280</v>
      </c>
      <c r="D23" s="1495" t="s">
        <v>3465</v>
      </c>
      <c r="E23" s="1493" t="s">
        <v>84</v>
      </c>
      <c r="F23" s="1495" t="s">
        <v>3470</v>
      </c>
      <c r="G23" s="2030" t="s">
        <v>18</v>
      </c>
      <c r="H23" s="1495" t="s">
        <v>19</v>
      </c>
      <c r="I23" s="1495" t="s">
        <v>172</v>
      </c>
      <c r="J23" s="1967" t="s">
        <v>3471</v>
      </c>
      <c r="K23" s="2039"/>
      <c r="L23" s="1600"/>
      <c r="M23" s="2040"/>
      <c r="N23" s="1559"/>
    </row>
    <row r="24" spans="1:14" s="1945" customFormat="1" ht="71.25" customHeight="1">
      <c r="A24" s="1542">
        <v>20</v>
      </c>
      <c r="B24" s="1495" t="s">
        <v>3391</v>
      </c>
      <c r="C24" s="1901">
        <v>3300</v>
      </c>
      <c r="D24" s="1495" t="s">
        <v>3472</v>
      </c>
      <c r="E24" s="1493" t="s">
        <v>89</v>
      </c>
      <c r="F24" s="1495" t="s">
        <v>3473</v>
      </c>
      <c r="G24" s="2030" t="s">
        <v>18</v>
      </c>
      <c r="H24" s="1495" t="s">
        <v>19</v>
      </c>
      <c r="I24" s="1495" t="s">
        <v>172</v>
      </c>
      <c r="J24" s="1967" t="s">
        <v>3474</v>
      </c>
      <c r="K24" s="2039"/>
      <c r="L24" s="1600"/>
      <c r="M24" s="2040"/>
      <c r="N24" s="1559"/>
    </row>
    <row r="25" spans="1:14" s="1548" customFormat="1" ht="79.5" customHeight="1">
      <c r="A25" s="1542">
        <v>21</v>
      </c>
      <c r="B25" s="1495" t="s">
        <v>3475</v>
      </c>
      <c r="C25" s="1901">
        <v>3000</v>
      </c>
      <c r="D25" s="1495" t="s">
        <v>3476</v>
      </c>
      <c r="E25" s="1493" t="s">
        <v>3421</v>
      </c>
      <c r="F25" s="1495" t="s">
        <v>3477</v>
      </c>
      <c r="G25" s="2036" t="s">
        <v>18</v>
      </c>
      <c r="H25" s="1495" t="s">
        <v>19</v>
      </c>
      <c r="I25" s="1495" t="s">
        <v>3478</v>
      </c>
      <c r="J25" s="1967" t="s">
        <v>3479</v>
      </c>
      <c r="K25" s="2039" t="s">
        <v>3480</v>
      </c>
      <c r="L25" s="1600"/>
      <c r="M25" s="2040"/>
      <c r="N25" s="1559"/>
    </row>
    <row r="26" spans="1:14" s="2012" customFormat="1" ht="79.5" customHeight="1">
      <c r="A26" s="1542">
        <v>22</v>
      </c>
      <c r="B26" s="1495" t="s">
        <v>3425</v>
      </c>
      <c r="C26" s="1901">
        <v>3726</v>
      </c>
      <c r="D26" s="1495" t="s">
        <v>3481</v>
      </c>
      <c r="E26" s="1493" t="s">
        <v>61</v>
      </c>
      <c r="F26" s="1773" t="s">
        <v>3482</v>
      </c>
      <c r="G26" s="1748" t="s">
        <v>18</v>
      </c>
      <c r="H26" s="1568" t="s">
        <v>19</v>
      </c>
      <c r="I26" s="1495" t="s">
        <v>20</v>
      </c>
      <c r="J26" s="1967" t="s">
        <v>3483</v>
      </c>
      <c r="K26" s="2039" t="s">
        <v>3484</v>
      </c>
      <c r="L26" s="1600"/>
      <c r="M26" s="2040"/>
      <c r="N26" s="1559"/>
    </row>
    <row r="27" spans="1:14" s="1883" customFormat="1" ht="63" customHeight="1">
      <c r="A27" s="1553">
        <v>23</v>
      </c>
      <c r="B27" s="1543" t="s">
        <v>3485</v>
      </c>
      <c r="C27" s="2029">
        <v>11000</v>
      </c>
      <c r="D27" s="1543" t="s">
        <v>3486</v>
      </c>
      <c r="E27" s="1601" t="s">
        <v>3487</v>
      </c>
      <c r="F27" s="1899" t="s">
        <v>3488</v>
      </c>
      <c r="G27" s="1748" t="s">
        <v>18</v>
      </c>
      <c r="H27" s="1900" t="s">
        <v>19</v>
      </c>
      <c r="I27" s="1543" t="s">
        <v>3351</v>
      </c>
      <c r="J27" s="1605" t="s">
        <v>3489</v>
      </c>
      <c r="K27" s="2039" t="s">
        <v>3490</v>
      </c>
      <c r="L27" s="1605"/>
      <c r="M27" s="1852"/>
      <c r="N27" s="1559"/>
    </row>
    <row r="28" spans="1:14" s="1883" customFormat="1" ht="100.5" customHeight="1">
      <c r="A28" s="1553">
        <v>24</v>
      </c>
      <c r="B28" s="1543" t="s">
        <v>3491</v>
      </c>
      <c r="C28" s="2029">
        <v>4250</v>
      </c>
      <c r="D28" s="1543" t="s">
        <v>3492</v>
      </c>
      <c r="E28" s="1601" t="s">
        <v>3401</v>
      </c>
      <c r="F28" s="1899" t="s">
        <v>3493</v>
      </c>
      <c r="G28" s="1748" t="s">
        <v>18</v>
      </c>
      <c r="H28" s="1900" t="s">
        <v>19</v>
      </c>
      <c r="I28" s="1543" t="s">
        <v>172</v>
      </c>
      <c r="J28" s="1605" t="s">
        <v>3494</v>
      </c>
      <c r="K28" s="2039"/>
      <c r="L28" s="1605"/>
      <c r="M28" s="1852"/>
      <c r="N28" s="1559"/>
    </row>
    <row r="29" spans="1:14" s="1883" customFormat="1" ht="100.5" customHeight="1">
      <c r="A29" s="1542">
        <v>25</v>
      </c>
      <c r="B29" s="1495" t="s">
        <v>3495</v>
      </c>
      <c r="C29" s="1901">
        <v>9250</v>
      </c>
      <c r="D29" s="1495" t="s">
        <v>3496</v>
      </c>
      <c r="E29" s="1493" t="s">
        <v>16</v>
      </c>
      <c r="F29" s="1495" t="s">
        <v>3497</v>
      </c>
      <c r="G29" s="1748" t="s">
        <v>18</v>
      </c>
      <c r="H29" s="1495" t="s">
        <v>19</v>
      </c>
      <c r="I29" s="1495" t="s">
        <v>172</v>
      </c>
      <c r="J29" s="1600" t="s">
        <v>3498</v>
      </c>
      <c r="K29" s="2052"/>
      <c r="L29" s="1605"/>
      <c r="M29" s="1852"/>
      <c r="N29" s="1559"/>
    </row>
    <row r="30" spans="1:14" s="1883" customFormat="1" ht="80.25" customHeight="1">
      <c r="A30" s="1542">
        <v>26</v>
      </c>
      <c r="B30" s="1495" t="s">
        <v>3499</v>
      </c>
      <c r="C30" s="1494">
        <v>8570</v>
      </c>
      <c r="D30" s="1495" t="s">
        <v>3500</v>
      </c>
      <c r="E30" s="1493" t="s">
        <v>16</v>
      </c>
      <c r="F30" s="1495" t="s">
        <v>3501</v>
      </c>
      <c r="G30" s="1748" t="s">
        <v>18</v>
      </c>
      <c r="H30" s="1495" t="s">
        <v>19</v>
      </c>
      <c r="I30" s="1495" t="s">
        <v>3502</v>
      </c>
      <c r="J30" s="1600" t="s">
        <v>3503</v>
      </c>
      <c r="K30" s="1873" t="s">
        <v>3451</v>
      </c>
      <c r="L30" s="1630"/>
      <c r="M30" s="1882"/>
    </row>
    <row r="31" spans="1:14" s="1883" customFormat="1" ht="80.25" customHeight="1">
      <c r="A31" s="1850">
        <v>27</v>
      </c>
      <c r="B31" s="1851" t="s">
        <v>87</v>
      </c>
      <c r="C31" s="1915">
        <v>3080</v>
      </c>
      <c r="D31" s="1851" t="s">
        <v>3504</v>
      </c>
      <c r="E31" s="1630" t="s">
        <v>89</v>
      </c>
      <c r="F31" s="1851" t="s">
        <v>3505</v>
      </c>
      <c r="G31" s="1748" t="s">
        <v>18</v>
      </c>
      <c r="H31" s="2028" t="s">
        <v>19</v>
      </c>
      <c r="I31" s="1495" t="s">
        <v>172</v>
      </c>
      <c r="J31" s="1873" t="s">
        <v>3506</v>
      </c>
      <c r="K31" s="1851"/>
      <c r="L31" s="1497"/>
      <c r="M31" s="1882"/>
    </row>
    <row r="32" spans="1:14" s="1883" customFormat="1" ht="109.5" customHeight="1">
      <c r="A32" s="1850">
        <v>28</v>
      </c>
      <c r="B32" s="1495" t="s">
        <v>3507</v>
      </c>
      <c r="C32" s="1901">
        <v>4400</v>
      </c>
      <c r="D32" s="1495" t="s">
        <v>3504</v>
      </c>
      <c r="E32" s="1769" t="s">
        <v>61</v>
      </c>
      <c r="F32" s="1851" t="s">
        <v>3508</v>
      </c>
      <c r="G32" s="1748" t="s">
        <v>18</v>
      </c>
      <c r="H32" s="1495" t="s">
        <v>19</v>
      </c>
      <c r="I32" s="1495" t="s">
        <v>172</v>
      </c>
      <c r="J32" s="1873" t="s">
        <v>3509</v>
      </c>
      <c r="K32" s="1851"/>
      <c r="L32" s="1497"/>
      <c r="M32" s="1882"/>
    </row>
    <row r="33" spans="1:14" s="1883" customFormat="1" ht="213" customHeight="1">
      <c r="A33" s="1542">
        <v>29</v>
      </c>
      <c r="B33" s="1495" t="s">
        <v>3510</v>
      </c>
      <c r="C33" s="1901">
        <v>12475</v>
      </c>
      <c r="D33" s="1495" t="s">
        <v>3511</v>
      </c>
      <c r="E33" s="1493" t="s">
        <v>25</v>
      </c>
      <c r="F33" s="1495" t="s">
        <v>3512</v>
      </c>
      <c r="G33" s="1748" t="s">
        <v>18</v>
      </c>
      <c r="H33" s="1495" t="s">
        <v>19</v>
      </c>
      <c r="I33" s="1495" t="s">
        <v>3513</v>
      </c>
      <c r="J33" s="1598" t="s">
        <v>3514</v>
      </c>
      <c r="K33" s="2134"/>
      <c r="L33" s="2051"/>
      <c r="M33" s="1790"/>
      <c r="N33" s="1548"/>
    </row>
    <row r="34" spans="1:14" s="1559" customFormat="1" ht="357.75" customHeight="1">
      <c r="A34" s="1917">
        <v>30</v>
      </c>
      <c r="B34" s="1875" t="s">
        <v>193</v>
      </c>
      <c r="C34" s="1918">
        <v>12150</v>
      </c>
      <c r="D34" s="1875" t="s">
        <v>3515</v>
      </c>
      <c r="E34" s="1869" t="s">
        <v>3401</v>
      </c>
      <c r="F34" s="1875" t="s">
        <v>3516</v>
      </c>
      <c r="G34" s="1748" t="s">
        <v>18</v>
      </c>
      <c r="H34" s="1875" t="s">
        <v>19</v>
      </c>
      <c r="I34" s="1875" t="s">
        <v>517</v>
      </c>
      <c r="J34" s="2135" t="s">
        <v>3517</v>
      </c>
      <c r="K34" s="1600"/>
      <c r="L34" s="1600"/>
      <c r="M34" s="2040"/>
    </row>
    <row r="35" spans="1:14" s="1559" customFormat="1" ht="128.25" customHeight="1">
      <c r="A35" s="1542">
        <v>31</v>
      </c>
      <c r="B35" s="1495" t="s">
        <v>3518</v>
      </c>
      <c r="C35" s="1901">
        <v>12360</v>
      </c>
      <c r="D35" s="1495" t="s">
        <v>3519</v>
      </c>
      <c r="E35" s="1493" t="s">
        <v>3095</v>
      </c>
      <c r="F35" s="1495" t="s">
        <v>3520</v>
      </c>
      <c r="G35" s="1748"/>
      <c r="H35" s="1495" t="s">
        <v>19</v>
      </c>
      <c r="I35" s="1495" t="s">
        <v>3351</v>
      </c>
      <c r="J35" s="1600" t="s">
        <v>3521</v>
      </c>
      <c r="K35" s="1873" t="s">
        <v>3522</v>
      </c>
      <c r="L35" s="1497"/>
      <c r="M35" s="1790"/>
      <c r="N35" s="1548"/>
    </row>
    <row r="36" spans="1:14" s="1945" customFormat="1" ht="245.25" customHeight="1">
      <c r="A36" s="1917">
        <v>32</v>
      </c>
      <c r="B36" s="1875" t="s">
        <v>112</v>
      </c>
      <c r="C36" s="1918">
        <v>11680</v>
      </c>
      <c r="D36" s="1875" t="s">
        <v>3523</v>
      </c>
      <c r="E36" s="1869" t="s">
        <v>89</v>
      </c>
      <c r="F36" s="1875" t="s">
        <v>3524</v>
      </c>
      <c r="G36" s="2053"/>
      <c r="H36" s="1543" t="s">
        <v>19</v>
      </c>
      <c r="I36" s="1946" t="s">
        <v>3266</v>
      </c>
      <c r="J36" s="2037" t="s">
        <v>3525</v>
      </c>
      <c r="K36" s="2054" t="s">
        <v>3526</v>
      </c>
      <c r="L36" s="1966"/>
      <c r="M36" s="1867"/>
    </row>
    <row r="37" spans="1:14" s="1548" customFormat="1" ht="101.25" customHeight="1">
      <c r="A37" s="1542">
        <v>33</v>
      </c>
      <c r="B37" s="1495" t="s">
        <v>2906</v>
      </c>
      <c r="C37" s="1901">
        <v>3500</v>
      </c>
      <c r="D37" s="1495" t="s">
        <v>3527</v>
      </c>
      <c r="E37" s="1493" t="s">
        <v>61</v>
      </c>
      <c r="F37" s="1787" t="s">
        <v>3528</v>
      </c>
      <c r="G37" s="1748" t="s">
        <v>18</v>
      </c>
      <c r="H37" s="1495" t="s">
        <v>19</v>
      </c>
      <c r="I37" s="1495" t="s">
        <v>172</v>
      </c>
      <c r="J37" s="1600" t="s">
        <v>3529</v>
      </c>
      <c r="L37" s="1600"/>
      <c r="M37" s="1790"/>
    </row>
    <row r="38" spans="1:14" s="1548" customFormat="1" ht="104.25" customHeight="1">
      <c r="A38" s="1542">
        <v>34</v>
      </c>
      <c r="B38" s="1495" t="s">
        <v>211</v>
      </c>
      <c r="C38" s="1901">
        <v>4000</v>
      </c>
      <c r="D38" s="1495" t="s">
        <v>3530</v>
      </c>
      <c r="E38" s="1769" t="s">
        <v>61</v>
      </c>
      <c r="F38" s="1495" t="s">
        <v>3531</v>
      </c>
      <c r="G38" s="2055" t="s">
        <v>3532</v>
      </c>
      <c r="H38" s="1773" t="s">
        <v>19</v>
      </c>
      <c r="I38" s="1495" t="s">
        <v>517</v>
      </c>
      <c r="J38" s="2136" t="s">
        <v>3533</v>
      </c>
      <c r="K38" s="1600"/>
      <c r="L38" s="1600"/>
      <c r="M38" s="1790"/>
    </row>
    <row r="39" spans="1:14" s="1998" customFormat="1" ht="60.75" customHeight="1">
      <c r="A39" s="2016">
        <v>35</v>
      </c>
      <c r="B39" s="2015"/>
      <c r="C39" s="2034"/>
      <c r="D39" s="2015"/>
      <c r="E39" s="2014"/>
      <c r="F39" s="2015"/>
      <c r="G39" s="2046"/>
      <c r="H39" s="2015"/>
      <c r="I39" s="2015"/>
      <c r="J39" s="2137"/>
      <c r="K39" s="2017"/>
      <c r="L39" s="2017"/>
      <c r="M39" s="2019"/>
    </row>
    <row r="40" spans="1:14" s="1777" customFormat="1" ht="56.25" customHeight="1">
      <c r="A40" s="2050">
        <v>36</v>
      </c>
      <c r="B40" s="109"/>
      <c r="C40" s="1894"/>
      <c r="D40" s="109"/>
      <c r="E40" s="102"/>
      <c r="F40" s="109"/>
      <c r="G40" s="2042"/>
      <c r="H40" s="839"/>
      <c r="I40" s="109"/>
      <c r="J40" s="670"/>
      <c r="K40" s="2045"/>
      <c r="L40" s="102"/>
      <c r="M40" s="1853"/>
    </row>
    <row r="41" spans="1:14" s="1880" customFormat="1" ht="72" customHeight="1">
      <c r="A41" s="874">
        <v>37</v>
      </c>
      <c r="B41" s="735"/>
      <c r="C41" s="2043"/>
      <c r="D41" s="735"/>
      <c r="E41" s="128"/>
      <c r="F41" s="735"/>
      <c r="G41" s="2048"/>
      <c r="H41" s="735"/>
      <c r="I41" s="735"/>
      <c r="J41" s="1928"/>
      <c r="K41" s="2044"/>
      <c r="L41" s="102"/>
      <c r="M41" s="1879"/>
    </row>
    <row r="42" spans="1:14" s="1880" customFormat="1" ht="72" customHeight="1">
      <c r="A42" s="874">
        <v>38</v>
      </c>
      <c r="B42" s="109"/>
      <c r="C42" s="2020"/>
      <c r="D42" s="106"/>
      <c r="E42" s="102"/>
      <c r="F42" s="735"/>
      <c r="G42" s="2048"/>
      <c r="H42" s="735"/>
      <c r="I42" s="735"/>
      <c r="J42" s="1928"/>
      <c r="K42" s="2049"/>
      <c r="L42" s="112"/>
      <c r="M42" s="1879"/>
    </row>
    <row r="43" spans="1:14" s="1880" customFormat="1" ht="105" customHeight="1">
      <c r="A43" s="874">
        <v>39</v>
      </c>
      <c r="B43" s="109"/>
      <c r="C43" s="2020"/>
      <c r="D43" s="106"/>
      <c r="E43" s="102"/>
      <c r="F43" s="735"/>
      <c r="G43" s="2048"/>
      <c r="H43" s="735"/>
      <c r="I43" s="735"/>
      <c r="J43" s="1928"/>
      <c r="K43" s="2049"/>
      <c r="L43" s="112"/>
      <c r="M43" s="1879"/>
    </row>
    <row r="44" spans="1:14" s="1880" customFormat="1" ht="106.5" customHeight="1">
      <c r="A44" s="874">
        <v>40</v>
      </c>
      <c r="B44" s="735"/>
      <c r="C44" s="2043"/>
      <c r="D44" s="735"/>
      <c r="E44" s="2047"/>
      <c r="F44" s="735"/>
      <c r="G44" s="2048"/>
      <c r="H44" s="735"/>
      <c r="I44" s="735"/>
      <c r="J44" s="1928"/>
      <c r="K44" s="2049"/>
      <c r="L44" s="112"/>
      <c r="M44" s="1879"/>
    </row>
    <row r="45" spans="1:14" s="1880" customFormat="1" ht="72" customHeight="1">
      <c r="A45" s="874">
        <v>41</v>
      </c>
      <c r="B45" s="735"/>
      <c r="C45" s="2043"/>
      <c r="D45" s="735"/>
      <c r="E45" s="2047"/>
      <c r="F45" s="735"/>
      <c r="G45" s="2048"/>
      <c r="H45" s="735"/>
      <c r="I45" s="735"/>
      <c r="J45" s="1928"/>
      <c r="K45" s="2049"/>
      <c r="L45" s="112"/>
      <c r="M45" s="1879"/>
    </row>
    <row r="46" spans="1:14" s="1880" customFormat="1" ht="72" customHeight="1">
      <c r="A46" s="874">
        <v>42</v>
      </c>
      <c r="B46" s="735"/>
      <c r="C46" s="2043"/>
      <c r="D46" s="735"/>
      <c r="E46" s="2047"/>
      <c r="F46" s="735"/>
      <c r="G46" s="2048"/>
      <c r="H46" s="735"/>
      <c r="I46" s="735"/>
      <c r="J46" s="1928"/>
      <c r="K46" s="2049"/>
      <c r="L46" s="112"/>
      <c r="M46" s="1879"/>
    </row>
    <row r="47" spans="1:14" s="1880" customFormat="1" ht="93" customHeight="1">
      <c r="A47" s="874">
        <v>43</v>
      </c>
      <c r="B47" s="112"/>
      <c r="C47" s="1925"/>
      <c r="D47" s="735"/>
      <c r="E47" s="875"/>
      <c r="F47" s="735"/>
      <c r="G47" s="2001"/>
      <c r="H47" s="735"/>
      <c r="I47" s="735"/>
      <c r="J47" s="1056"/>
      <c r="K47" s="1927"/>
      <c r="L47" s="112"/>
      <c r="M47" s="1879"/>
    </row>
    <row r="48" spans="1:14" s="1777" customFormat="1" ht="98.25" customHeight="1">
      <c r="A48" s="738">
        <v>44</v>
      </c>
      <c r="B48" s="109"/>
      <c r="C48" s="1894"/>
      <c r="D48" s="109"/>
      <c r="E48" s="102"/>
      <c r="F48" s="109"/>
      <c r="G48" s="2041"/>
      <c r="H48" s="106"/>
      <c r="I48" s="109"/>
      <c r="J48" s="2138"/>
      <c r="K48" s="2038"/>
      <c r="L48" s="696"/>
      <c r="M48" s="1853"/>
    </row>
    <row r="49" spans="1:14" s="1777" customFormat="1" ht="73.5" customHeight="1">
      <c r="A49" s="738">
        <v>45</v>
      </c>
      <c r="B49" s="102"/>
      <c r="C49" s="1894"/>
      <c r="D49" s="109"/>
      <c r="E49" s="102"/>
      <c r="F49" s="735"/>
      <c r="G49" s="109"/>
      <c r="H49" s="735"/>
      <c r="I49" s="735"/>
      <c r="J49" s="2139"/>
      <c r="K49" s="143"/>
      <c r="L49" s="102"/>
      <c r="M49" s="1853"/>
    </row>
    <row r="50" spans="1:14" s="1777" customFormat="1" ht="79.5" customHeight="1">
      <c r="A50" s="738">
        <v>46</v>
      </c>
      <c r="B50" s="102"/>
      <c r="C50" s="1894"/>
      <c r="D50" s="109"/>
      <c r="E50" s="102"/>
      <c r="F50" s="735"/>
      <c r="G50" s="109"/>
      <c r="H50" s="735"/>
      <c r="I50" s="735"/>
      <c r="J50" s="2139"/>
      <c r="K50" s="143"/>
      <c r="L50" s="102"/>
      <c r="M50" s="1853"/>
    </row>
    <row r="51" spans="1:14" s="1777" customFormat="1" ht="72" customHeight="1">
      <c r="A51" s="738">
        <v>47</v>
      </c>
      <c r="B51" s="102"/>
      <c r="C51" s="1894"/>
      <c r="D51" s="109"/>
      <c r="E51" s="102"/>
      <c r="F51" s="109"/>
      <c r="G51" s="109"/>
      <c r="H51" s="735"/>
      <c r="I51" s="735"/>
      <c r="J51" s="696"/>
      <c r="K51" s="143"/>
      <c r="L51" s="102"/>
      <c r="M51" s="1853"/>
    </row>
    <row r="52" spans="1:14" s="1777" customFormat="1" ht="67.5" customHeight="1">
      <c r="A52" s="738">
        <v>48</v>
      </c>
      <c r="B52" s="102"/>
      <c r="C52" s="1148"/>
      <c r="D52" s="109"/>
      <c r="E52" s="102"/>
      <c r="F52" s="109"/>
      <c r="G52" s="109"/>
      <c r="H52" s="109"/>
      <c r="I52" s="735"/>
      <c r="J52" s="670"/>
      <c r="K52" s="143"/>
      <c r="L52" s="102"/>
      <c r="M52" s="1853"/>
    </row>
    <row r="53" spans="1:14" s="1623" customFormat="1" ht="76.5" customHeight="1">
      <c r="A53" s="1344">
        <v>49</v>
      </c>
      <c r="B53" s="144"/>
      <c r="C53" s="1922"/>
      <c r="D53" s="110"/>
      <c r="E53" s="144"/>
      <c r="F53" s="2013"/>
      <c r="G53" s="111"/>
      <c r="H53" s="2015"/>
      <c r="I53" s="2015"/>
      <c r="J53" s="2140"/>
      <c r="K53" s="1622"/>
      <c r="L53" s="144"/>
      <c r="M53" s="1924"/>
    </row>
    <row r="54" spans="1:14" s="1777" customFormat="1" ht="76.5" customHeight="1">
      <c r="A54" s="738">
        <v>50</v>
      </c>
      <c r="B54" s="102"/>
      <c r="C54" s="2020"/>
      <c r="D54" s="111"/>
      <c r="E54" s="1147"/>
      <c r="F54" s="109"/>
      <c r="G54" s="106"/>
      <c r="H54" s="106"/>
      <c r="I54" s="109"/>
      <c r="J54" s="1996"/>
      <c r="K54" s="143"/>
      <c r="L54" s="102"/>
      <c r="M54" s="1853"/>
    </row>
    <row r="55" spans="1:14" s="1998" customFormat="1" ht="76.5" customHeight="1">
      <c r="A55" s="2016"/>
      <c r="B55" s="2014"/>
      <c r="C55" s="2022"/>
      <c r="D55" s="109"/>
      <c r="E55" s="2021"/>
      <c r="F55" s="2015"/>
      <c r="G55" s="2015"/>
      <c r="H55" s="2015"/>
      <c r="I55" s="2015"/>
      <c r="J55" s="2017"/>
      <c r="K55" s="2018"/>
      <c r="L55" s="2014"/>
      <c r="M55" s="2019"/>
    </row>
    <row r="56" spans="1:14" s="1998" customFormat="1" ht="76.5" customHeight="1">
      <c r="A56" s="738"/>
      <c r="B56" s="102"/>
      <c r="C56" s="2020"/>
      <c r="D56" s="735"/>
      <c r="E56" s="1147"/>
      <c r="F56" s="109"/>
      <c r="G56" s="109"/>
      <c r="H56" s="106"/>
      <c r="I56" s="109"/>
      <c r="J56" s="1996"/>
      <c r="K56" s="143"/>
      <c r="L56" s="102"/>
      <c r="M56" s="1853"/>
      <c r="N56" s="1777"/>
    </row>
    <row r="57" spans="1:14" s="1777" customFormat="1" ht="77.25" customHeight="1">
      <c r="A57" s="738"/>
      <c r="B57" s="109"/>
      <c r="C57" s="1894"/>
      <c r="D57" s="109"/>
      <c r="E57" s="102"/>
      <c r="F57" s="109"/>
      <c r="G57" s="1772"/>
      <c r="H57" s="109"/>
      <c r="I57" s="109"/>
      <c r="J57" s="696"/>
      <c r="K57" s="143"/>
      <c r="L57" s="102"/>
      <c r="M57" s="1853"/>
    </row>
    <row r="58" spans="1:14" s="1880" customFormat="1" ht="72" customHeight="1">
      <c r="A58" s="874"/>
      <c r="B58" s="735"/>
      <c r="C58" s="1925"/>
      <c r="D58" s="735"/>
      <c r="E58" s="112"/>
      <c r="F58" s="735"/>
      <c r="G58" s="735"/>
      <c r="H58" s="735"/>
      <c r="I58" s="1926"/>
      <c r="J58" s="1056"/>
      <c r="K58" s="1927"/>
      <c r="L58" s="112"/>
      <c r="M58" s="1879"/>
    </row>
    <row r="59" spans="1:14" ht="58.5" customHeight="1">
      <c r="C59" s="2023"/>
    </row>
    <row r="60" spans="1:14" ht="58.5" customHeight="1">
      <c r="C60" s="2023"/>
    </row>
    <row r="61" spans="1:14" ht="58.5" customHeight="1">
      <c r="C61" s="2023"/>
    </row>
    <row r="62" spans="1:14" ht="58.5" customHeight="1">
      <c r="C62" s="2023"/>
    </row>
    <row r="63" spans="1:14" ht="58.5" customHeight="1">
      <c r="C63" s="2023"/>
    </row>
    <row r="64" spans="1:14" ht="58.5" customHeight="1">
      <c r="C64" s="2023"/>
    </row>
    <row r="65" spans="3:3" ht="58.5" customHeight="1">
      <c r="C65" s="2023"/>
    </row>
    <row r="66" spans="3:3" ht="58.5" customHeight="1">
      <c r="C66" s="2023"/>
    </row>
    <row r="67" spans="3:3" ht="58.5" customHeight="1">
      <c r="C67" s="2023"/>
    </row>
    <row r="68" spans="3:3" ht="58.5" customHeight="1">
      <c r="C68" s="2023"/>
    </row>
    <row r="69" spans="3:3" ht="58.5" customHeight="1">
      <c r="C69" s="2023"/>
    </row>
    <row r="70" spans="3:3" ht="58.5" customHeight="1">
      <c r="C70" s="2023"/>
    </row>
    <row r="71" spans="3:3" ht="58.5" customHeight="1">
      <c r="C71" s="2023"/>
    </row>
    <row r="72" spans="3:3" ht="58.5" customHeight="1">
      <c r="C72" s="2023"/>
    </row>
  </sheetData>
  <autoFilter ref="A4:P80" xr:uid="{00000000-0009-0000-0000-000001000000}"/>
  <mergeCells count="3">
    <mergeCell ref="C1:K1"/>
    <mergeCell ref="A2:K2"/>
    <mergeCell ref="A3:B3"/>
  </mergeCells>
  <conditionalFormatting sqref="A1:A3">
    <cfRule type="duplicateValues" dxfId="450" priority="1"/>
  </conditionalFormatting>
  <conditionalFormatting sqref="A4">
    <cfRule type="duplicateValues" dxfId="449" priority="2"/>
  </conditionalFormatting>
  <conditionalFormatting sqref="B4">
    <cfRule type="duplicateValues" dxfId="448" priority="3"/>
    <cfRule type="duplicateValues" dxfId="447" priority="4"/>
    <cfRule type="duplicateValues" dxfId="446" priority="5"/>
  </conditionalFormatting>
  <pageMargins left="0.7" right="0.7" top="0.75" bottom="0.75" header="0.3" footer="0.3"/>
  <pageSetup paperSize="9" scale="40" orientation="landscape"/>
</worksheet>
</file>

<file path=xl/worksheets/sheet3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CE6C78-ACA5-464B-8EA7-0EE103D73969}">
  <sheetPr>
    <tabColor theme="2" tint="-0.499984740745262"/>
    <pageSetUpPr fitToPage="1"/>
  </sheetPr>
  <dimension ref="A1:N49"/>
  <sheetViews>
    <sheetView topLeftCell="A2" zoomScale="70" zoomScaleNormal="70" workbookViewId="0">
      <pane xSplit="3" ySplit="3" topLeftCell="E13" activePane="bottomRight" state="frozen"/>
      <selection pane="topRight" activeCell="E39" sqref="E39"/>
      <selection pane="bottomLeft" activeCell="E39" sqref="E39"/>
      <selection pane="bottomRight" activeCell="E39" sqref="E39"/>
    </sheetView>
  </sheetViews>
  <sheetFormatPr defaultColWidth="32.140625" defaultRowHeight="58.5" customHeight="1"/>
  <cols>
    <col min="1" max="1" width="10.140625" style="359" customWidth="1"/>
    <col min="2" max="2" width="32.5703125" style="1" customWidth="1"/>
    <col min="3" max="3" width="18" style="1179" customWidth="1"/>
    <col min="4" max="4" width="26.5703125" style="271" customWidth="1"/>
    <col min="5" max="5" width="23.140625" style="1" customWidth="1"/>
    <col min="6" max="6" width="25.7109375" style="271" customWidth="1"/>
    <col min="7" max="7" width="28.42578125" style="271" customWidth="1"/>
    <col min="8" max="8" width="23.28515625" style="271" customWidth="1"/>
    <col min="9" max="9" width="21.42578125" style="271" customWidth="1"/>
    <col min="10" max="10" width="172.5703125" style="9" customWidth="1"/>
    <col min="11" max="11" width="50.28515625" style="9" customWidth="1"/>
    <col min="12" max="12" width="17.28515625" style="1" customWidth="1"/>
    <col min="13" max="13" width="18.7109375" style="763" customWidth="1"/>
    <col min="14" max="14" width="35.42578125" style="3" customWidth="1"/>
    <col min="15" max="16384" width="32.140625" style="3"/>
  </cols>
  <sheetData>
    <row r="1" spans="1:14" ht="58.5" customHeight="1">
      <c r="B1" s="10"/>
      <c r="C1" s="3624"/>
      <c r="D1" s="3624"/>
      <c r="E1" s="3624"/>
      <c r="F1" s="3624"/>
      <c r="G1" s="3624"/>
      <c r="H1" s="3624"/>
      <c r="I1" s="3624"/>
      <c r="J1" s="3624"/>
      <c r="K1" s="3624"/>
      <c r="M1" s="1848"/>
    </row>
    <row r="2" spans="1:14" ht="42" customHeight="1">
      <c r="A2" s="3708" t="s">
        <v>3387</v>
      </c>
      <c r="B2" s="3708"/>
      <c r="C2" s="3708"/>
      <c r="D2" s="3708"/>
      <c r="E2" s="3708"/>
      <c r="F2" s="3708"/>
      <c r="G2" s="3708"/>
      <c r="H2" s="3708"/>
      <c r="I2" s="3708"/>
      <c r="J2" s="3708"/>
      <c r="K2" s="3709"/>
      <c r="L2" s="1905"/>
      <c r="M2" s="1905"/>
      <c r="N2" s="287"/>
    </row>
    <row r="3" spans="1:14" ht="37.5" customHeight="1">
      <c r="A3" s="3707" t="s">
        <v>3388</v>
      </c>
      <c r="B3" s="3707"/>
      <c r="C3" s="2004">
        <f>SUBTOTAL(9,C5:C565)</f>
        <v>202245</v>
      </c>
      <c r="D3" s="1932"/>
      <c r="E3" s="1951"/>
      <c r="F3" s="1932"/>
      <c r="G3" s="1932"/>
      <c r="H3" s="1932"/>
      <c r="I3" s="1932"/>
      <c r="J3" s="1934">
        <f ca="1">TODAY()</f>
        <v>45960</v>
      </c>
      <c r="K3" s="1622"/>
      <c r="L3" s="1952"/>
      <c r="M3" s="1951"/>
      <c r="N3" s="287"/>
    </row>
    <row r="4" spans="1:14" s="1149" customFormat="1" ht="53.25" customHeight="1">
      <c r="A4" s="1978" t="s">
        <v>1</v>
      </c>
      <c r="B4" s="1818" t="s">
        <v>2</v>
      </c>
      <c r="C4" s="1948" t="s">
        <v>3</v>
      </c>
      <c r="D4" s="1818" t="s">
        <v>3534</v>
      </c>
      <c r="E4" s="1818" t="s">
        <v>5</v>
      </c>
      <c r="F4" s="1818" t="s">
        <v>3535</v>
      </c>
      <c r="G4" s="1818" t="s">
        <v>7</v>
      </c>
      <c r="H4" s="1970" t="s">
        <v>8</v>
      </c>
      <c r="I4" s="1818" t="s">
        <v>9</v>
      </c>
      <c r="J4" s="1818" t="s">
        <v>10</v>
      </c>
      <c r="K4" s="1818" t="s">
        <v>11</v>
      </c>
      <c r="L4" s="1818" t="s">
        <v>12</v>
      </c>
      <c r="M4" s="1949" t="s">
        <v>13</v>
      </c>
      <c r="N4" s="1820" t="e">
        <f>SUM(#REF!)</f>
        <v>#REF!</v>
      </c>
    </row>
    <row r="5" spans="1:14" s="1916" customFormat="1" ht="91.5" customHeight="1">
      <c r="A5" s="1850" cm="1">
        <f t="array" ref="A5:A49">_xlfn.SEQUENCE(45,1,1,)</f>
        <v>1</v>
      </c>
      <c r="B5" s="1630" t="s">
        <v>52</v>
      </c>
      <c r="C5" s="2005">
        <v>4620</v>
      </c>
      <c r="D5" s="1851" t="s">
        <v>3536</v>
      </c>
      <c r="E5" s="1630" t="s">
        <v>16</v>
      </c>
      <c r="F5" s="1851"/>
      <c r="G5" s="1851" t="s">
        <v>226</v>
      </c>
      <c r="H5" s="1851" t="s">
        <v>19</v>
      </c>
      <c r="I5" s="1851" t="s">
        <v>517</v>
      </c>
      <c r="J5" s="1497" t="s">
        <v>3537</v>
      </c>
      <c r="K5" s="1881"/>
      <c r="L5" s="1630"/>
      <c r="M5" s="1882"/>
      <c r="N5" s="1883"/>
    </row>
    <row r="6" spans="1:14" s="1916" customFormat="1" ht="65.25" customHeight="1">
      <c r="A6" s="1850">
        <v>2</v>
      </c>
      <c r="B6" s="1941" t="s">
        <v>211</v>
      </c>
      <c r="C6" s="2005">
        <v>4000</v>
      </c>
      <c r="D6" s="1851" t="s">
        <v>3538</v>
      </c>
      <c r="E6" s="1630" t="s">
        <v>61</v>
      </c>
      <c r="F6" s="1851" t="s">
        <v>3539</v>
      </c>
      <c r="G6" s="1851" t="s">
        <v>226</v>
      </c>
      <c r="H6" s="1851" t="s">
        <v>19</v>
      </c>
      <c r="I6" s="1851" t="s">
        <v>199</v>
      </c>
      <c r="J6" s="1497" t="s">
        <v>3540</v>
      </c>
      <c r="K6" s="1881"/>
      <c r="L6" s="1630"/>
      <c r="M6" s="1882"/>
      <c r="N6" s="1883"/>
    </row>
    <row r="7" spans="1:14" s="1916" customFormat="1" ht="76.5" customHeight="1">
      <c r="A7" s="1850">
        <v>3</v>
      </c>
      <c r="B7" s="1941" t="s">
        <v>3414</v>
      </c>
      <c r="C7" s="2005">
        <v>10000</v>
      </c>
      <c r="D7" s="1851" t="s">
        <v>3541</v>
      </c>
      <c r="E7" s="1630" t="s">
        <v>3416</v>
      </c>
      <c r="F7" s="1851"/>
      <c r="G7" s="1851" t="s">
        <v>226</v>
      </c>
      <c r="H7" s="1851" t="s">
        <v>19</v>
      </c>
      <c r="I7" s="1851" t="s">
        <v>20</v>
      </c>
      <c r="J7" s="1497" t="s">
        <v>3542</v>
      </c>
      <c r="K7" s="1881" t="s">
        <v>3543</v>
      </c>
      <c r="L7" s="1630"/>
      <c r="M7" s="1882"/>
      <c r="N7" s="1883"/>
    </row>
    <row r="8" spans="1:14" s="1149" customFormat="1" ht="89.25" customHeight="1">
      <c r="A8" s="1850">
        <v>4</v>
      </c>
      <c r="B8" s="1941" t="s">
        <v>3391</v>
      </c>
      <c r="C8" s="2005">
        <v>3300</v>
      </c>
      <c r="D8" s="1851" t="s">
        <v>3544</v>
      </c>
      <c r="E8" s="1630" t="s">
        <v>89</v>
      </c>
      <c r="F8" s="1851" t="s">
        <v>3545</v>
      </c>
      <c r="G8" s="1851" t="s">
        <v>226</v>
      </c>
      <c r="H8" s="1851" t="s">
        <v>19</v>
      </c>
      <c r="I8" s="1851" t="s">
        <v>517</v>
      </c>
      <c r="J8" s="1497" t="s">
        <v>3546</v>
      </c>
      <c r="K8" s="1881"/>
      <c r="L8" s="1630"/>
      <c r="M8" s="1882"/>
      <c r="N8" s="1883"/>
    </row>
    <row r="9" spans="1:14" s="1916" customFormat="1" ht="150" customHeight="1">
      <c r="A9" s="1850">
        <v>5</v>
      </c>
      <c r="B9" s="1947" t="s">
        <v>3547</v>
      </c>
      <c r="C9" s="2005">
        <v>13000</v>
      </c>
      <c r="D9" s="1851" t="s">
        <v>3548</v>
      </c>
      <c r="E9" s="1630" t="s">
        <v>3401</v>
      </c>
      <c r="F9" s="1872" t="s">
        <v>3549</v>
      </c>
      <c r="G9" s="1851" t="s">
        <v>226</v>
      </c>
      <c r="H9" s="1947" t="s">
        <v>19</v>
      </c>
      <c r="I9" s="1851" t="s">
        <v>517</v>
      </c>
      <c r="J9" s="1497" t="s">
        <v>3550</v>
      </c>
      <c r="K9" s="1999" t="s">
        <v>3551</v>
      </c>
      <c r="L9" s="1630"/>
      <c r="M9" s="1882"/>
      <c r="N9" s="1883"/>
    </row>
    <row r="10" spans="1:14" s="1997" customFormat="1" ht="102" customHeight="1">
      <c r="A10" s="1850">
        <v>6</v>
      </c>
      <c r="B10" s="1947" t="s">
        <v>3469</v>
      </c>
      <c r="C10" s="2005">
        <v>4250</v>
      </c>
      <c r="D10" s="1851" t="s">
        <v>3552</v>
      </c>
      <c r="E10" s="1630" t="s">
        <v>84</v>
      </c>
      <c r="F10" s="1872"/>
      <c r="G10" s="1851" t="s">
        <v>226</v>
      </c>
      <c r="H10" s="1947" t="s">
        <v>19</v>
      </c>
      <c r="I10" s="1851" t="s">
        <v>172</v>
      </c>
      <c r="J10" s="1497" t="s">
        <v>3553</v>
      </c>
      <c r="K10" s="1999"/>
      <c r="L10" s="1630"/>
      <c r="M10" s="1882"/>
      <c r="N10" s="1883"/>
    </row>
    <row r="11" spans="1:14" s="1997" customFormat="1" ht="95.25" customHeight="1">
      <c r="A11" s="1850">
        <v>7</v>
      </c>
      <c r="B11" s="1947" t="s">
        <v>3460</v>
      </c>
      <c r="C11" s="2005">
        <v>4030</v>
      </c>
      <c r="D11" s="1851" t="s">
        <v>3554</v>
      </c>
      <c r="E11" s="1630" t="s">
        <v>61</v>
      </c>
      <c r="F11" s="1872"/>
      <c r="G11" s="1851" t="s">
        <v>226</v>
      </c>
      <c r="H11" s="1947" t="s">
        <v>19</v>
      </c>
      <c r="I11" s="1851" t="s">
        <v>253</v>
      </c>
      <c r="J11" s="1497" t="s">
        <v>3555</v>
      </c>
      <c r="K11" s="1999"/>
      <c r="L11" s="1630"/>
      <c r="M11" s="1882"/>
      <c r="N11" s="1883"/>
    </row>
    <row r="12" spans="1:14" s="1916" customFormat="1" ht="75.75" customHeight="1">
      <c r="A12" s="1850">
        <v>8</v>
      </c>
      <c r="B12" s="1941" t="s">
        <v>3556</v>
      </c>
      <c r="C12" s="2005">
        <v>4300</v>
      </c>
      <c r="D12" s="1851" t="s">
        <v>3557</v>
      </c>
      <c r="E12" s="1630" t="s">
        <v>84</v>
      </c>
      <c r="F12" s="1851" t="s">
        <v>3558</v>
      </c>
      <c r="G12" s="1851" t="s">
        <v>226</v>
      </c>
      <c r="H12" s="1851" t="s">
        <v>19</v>
      </c>
      <c r="I12" s="1851" t="s">
        <v>517</v>
      </c>
      <c r="J12" s="1497" t="s">
        <v>3559</v>
      </c>
      <c r="K12" s="1881"/>
      <c r="L12" s="1630"/>
      <c r="M12" s="1882"/>
      <c r="N12" s="1883"/>
    </row>
    <row r="13" spans="1:14" s="1916" customFormat="1" ht="97.5" customHeight="1">
      <c r="A13" s="1850">
        <v>9</v>
      </c>
      <c r="B13" s="1941" t="s">
        <v>71</v>
      </c>
      <c r="C13" s="2005">
        <v>3300</v>
      </c>
      <c r="D13" s="1851" t="s">
        <v>3560</v>
      </c>
      <c r="E13" s="1630" t="s">
        <v>84</v>
      </c>
      <c r="F13" s="1851" t="s">
        <v>3561</v>
      </c>
      <c r="G13" s="1851" t="s">
        <v>226</v>
      </c>
      <c r="H13" s="1947" t="s">
        <v>19</v>
      </c>
      <c r="I13" s="1851" t="s">
        <v>517</v>
      </c>
      <c r="J13" s="1628" t="s">
        <v>3562</v>
      </c>
      <c r="K13" s="1881"/>
      <c r="L13" s="1630"/>
      <c r="M13" s="1882"/>
      <c r="N13" s="1883"/>
    </row>
    <row r="14" spans="1:14" s="1916" customFormat="1" ht="65.25" customHeight="1">
      <c r="A14" s="1850">
        <v>10</v>
      </c>
      <c r="B14" s="1941" t="s">
        <v>3563</v>
      </c>
      <c r="C14" s="2005">
        <v>3400</v>
      </c>
      <c r="D14" s="1851" t="s">
        <v>3564</v>
      </c>
      <c r="E14" s="1630" t="s">
        <v>89</v>
      </c>
      <c r="F14" s="1851" t="s">
        <v>3565</v>
      </c>
      <c r="G14" s="1851" t="s">
        <v>226</v>
      </c>
      <c r="H14" s="1947" t="s">
        <v>19</v>
      </c>
      <c r="I14" s="1851" t="s">
        <v>20</v>
      </c>
      <c r="J14" s="1628" t="s">
        <v>3566</v>
      </c>
      <c r="K14" s="1881"/>
      <c r="L14" s="1630"/>
      <c r="M14" s="1882"/>
      <c r="N14" s="1883"/>
    </row>
    <row r="15" spans="1:14" s="1916" customFormat="1" ht="97.5" customHeight="1">
      <c r="A15" s="1850">
        <v>11</v>
      </c>
      <c r="B15" s="1941" t="s">
        <v>3460</v>
      </c>
      <c r="C15" s="2005">
        <v>4000</v>
      </c>
      <c r="D15" s="1851" t="s">
        <v>3567</v>
      </c>
      <c r="E15" s="1630" t="s">
        <v>61</v>
      </c>
      <c r="F15" s="1851" t="s">
        <v>3199</v>
      </c>
      <c r="G15" s="1851" t="s">
        <v>226</v>
      </c>
      <c r="H15" s="1947" t="s">
        <v>19</v>
      </c>
      <c r="I15" s="1851" t="s">
        <v>3568</v>
      </c>
      <c r="J15" s="1628" t="s">
        <v>3569</v>
      </c>
      <c r="K15" s="1881"/>
      <c r="L15" s="1630"/>
      <c r="M15" s="1882"/>
      <c r="N15" s="1883"/>
    </row>
    <row r="16" spans="1:14" s="2000" customFormat="1" ht="106.5" customHeight="1">
      <c r="A16" s="1850">
        <v>12</v>
      </c>
      <c r="B16" s="1941" t="s">
        <v>211</v>
      </c>
      <c r="C16" s="2005">
        <v>4000</v>
      </c>
      <c r="D16" s="1851" t="s">
        <v>3570</v>
      </c>
      <c r="E16" s="1630" t="s">
        <v>61</v>
      </c>
      <c r="F16" s="1851" t="s">
        <v>3571</v>
      </c>
      <c r="G16" s="1851" t="s">
        <v>226</v>
      </c>
      <c r="H16" s="1947" t="s">
        <v>19</v>
      </c>
      <c r="I16" s="1851" t="s">
        <v>517</v>
      </c>
      <c r="J16" s="1628" t="s">
        <v>3572</v>
      </c>
      <c r="K16" s="1881"/>
      <c r="L16" s="1630"/>
      <c r="M16" s="1882"/>
      <c r="N16" s="1883"/>
    </row>
    <row r="17" spans="1:14" s="1777" customFormat="1" ht="66" customHeight="1">
      <c r="A17" s="1850">
        <v>13</v>
      </c>
      <c r="B17" s="1941" t="s">
        <v>3573</v>
      </c>
      <c r="C17" s="2005">
        <v>4400</v>
      </c>
      <c r="D17" s="1851" t="s">
        <v>3574</v>
      </c>
      <c r="E17" s="1630" t="s">
        <v>3401</v>
      </c>
      <c r="F17" s="1851" t="s">
        <v>3575</v>
      </c>
      <c r="G17" s="1851" t="s">
        <v>226</v>
      </c>
      <c r="H17" s="1947" t="s">
        <v>19</v>
      </c>
      <c r="I17" s="1851" t="s">
        <v>517</v>
      </c>
      <c r="J17" s="1628" t="s">
        <v>3576</v>
      </c>
      <c r="K17" s="1881"/>
      <c r="L17" s="1630"/>
      <c r="M17" s="1882"/>
      <c r="N17" s="1883"/>
    </row>
    <row r="18" spans="1:14" s="1880" customFormat="1" ht="81" customHeight="1">
      <c r="A18" s="1850">
        <v>14</v>
      </c>
      <c r="B18" s="1941" t="s">
        <v>2906</v>
      </c>
      <c r="C18" s="2005">
        <v>3500</v>
      </c>
      <c r="D18" s="1851" t="s">
        <v>3577</v>
      </c>
      <c r="E18" s="1630" t="s">
        <v>61</v>
      </c>
      <c r="F18" s="1851" t="s">
        <v>3578</v>
      </c>
      <c r="G18" s="1851" t="s">
        <v>226</v>
      </c>
      <c r="H18" s="1947" t="s">
        <v>19</v>
      </c>
      <c r="I18" s="1851" t="s">
        <v>517</v>
      </c>
      <c r="J18" s="1628" t="s">
        <v>3579</v>
      </c>
      <c r="K18" s="1881"/>
      <c r="L18" s="1630"/>
      <c r="M18" s="1882"/>
      <c r="N18" s="1883"/>
    </row>
    <row r="19" spans="1:14" s="1916" customFormat="1" ht="126.75" customHeight="1">
      <c r="A19" s="1850">
        <v>15</v>
      </c>
      <c r="B19" s="1630" t="s">
        <v>3395</v>
      </c>
      <c r="C19" s="2005">
        <v>9860</v>
      </c>
      <c r="D19" s="1851" t="s">
        <v>3580</v>
      </c>
      <c r="E19" s="1630" t="s">
        <v>16</v>
      </c>
      <c r="F19" s="1851" t="s">
        <v>3581</v>
      </c>
      <c r="G19" s="1851" t="s">
        <v>226</v>
      </c>
      <c r="H19" s="1851" t="s">
        <v>19</v>
      </c>
      <c r="I19" s="1851" t="s">
        <v>517</v>
      </c>
      <c r="J19" s="1628" t="s">
        <v>3582</v>
      </c>
      <c r="K19" s="1497"/>
      <c r="L19" s="1630"/>
      <c r="M19" s="1882"/>
      <c r="N19" s="1883"/>
    </row>
    <row r="20" spans="1:14" s="1559" customFormat="1" ht="69.75" customHeight="1">
      <c r="A20" s="1850">
        <v>16</v>
      </c>
      <c r="B20" s="1630" t="s">
        <v>3583</v>
      </c>
      <c r="C20" s="2005">
        <v>5000</v>
      </c>
      <c r="D20" s="1851" t="s">
        <v>3584</v>
      </c>
      <c r="E20" s="1630" t="s">
        <v>25</v>
      </c>
      <c r="F20" s="1851" t="s">
        <v>3585</v>
      </c>
      <c r="G20" s="1851" t="s">
        <v>226</v>
      </c>
      <c r="H20" s="1851" t="s">
        <v>3423</v>
      </c>
      <c r="I20" s="1851" t="s">
        <v>178</v>
      </c>
      <c r="J20" s="1628" t="s">
        <v>3586</v>
      </c>
      <c r="K20" s="1497" t="s">
        <v>3587</v>
      </c>
      <c r="L20" s="1630"/>
      <c r="M20" s="1882"/>
      <c r="N20" s="1883"/>
    </row>
    <row r="21" spans="1:14" s="1548" customFormat="1" ht="301.5" customHeight="1">
      <c r="A21" s="1850">
        <v>17</v>
      </c>
      <c r="B21" s="1630" t="s">
        <v>3588</v>
      </c>
      <c r="C21" s="2005">
        <v>5910</v>
      </c>
      <c r="D21" s="1851" t="s">
        <v>3589</v>
      </c>
      <c r="E21" s="1630" t="s">
        <v>3421</v>
      </c>
      <c r="F21" s="1851" t="s">
        <v>3590</v>
      </c>
      <c r="G21" s="1851" t="s">
        <v>226</v>
      </c>
      <c r="H21" s="1851" t="s">
        <v>3423</v>
      </c>
      <c r="I21" s="1851" t="s">
        <v>3591</v>
      </c>
      <c r="J21" s="1628" t="s">
        <v>3592</v>
      </c>
      <c r="K21" s="1497" t="s">
        <v>3593</v>
      </c>
      <c r="L21" s="1630"/>
      <c r="M21" s="1882"/>
      <c r="N21" s="1883"/>
    </row>
    <row r="22" spans="1:14" s="1998" customFormat="1" ht="210.75" customHeight="1">
      <c r="A22" s="1850">
        <v>18</v>
      </c>
      <c r="B22" s="1630" t="s">
        <v>3594</v>
      </c>
      <c r="C22" s="2005">
        <v>14475</v>
      </c>
      <c r="D22" s="1851" t="s">
        <v>3574</v>
      </c>
      <c r="E22" s="1630" t="s">
        <v>25</v>
      </c>
      <c r="F22" s="1851" t="s">
        <v>3595</v>
      </c>
      <c r="G22" s="1851" t="s">
        <v>226</v>
      </c>
      <c r="H22" s="1851" t="s">
        <v>3423</v>
      </c>
      <c r="I22" s="1851" t="s">
        <v>3513</v>
      </c>
      <c r="J22" s="1628" t="s">
        <v>3596</v>
      </c>
      <c r="K22" s="1497"/>
      <c r="L22" s="1630"/>
      <c r="M22" s="1882"/>
      <c r="N22" s="1883"/>
    </row>
    <row r="23" spans="1:14" s="1997" customFormat="1" ht="108.75" customHeight="1">
      <c r="A23" s="1850">
        <v>19</v>
      </c>
      <c r="B23" s="1630" t="s">
        <v>3495</v>
      </c>
      <c r="C23" s="2005">
        <v>9250</v>
      </c>
      <c r="D23" s="1851" t="s">
        <v>3574</v>
      </c>
      <c r="E23" s="1630" t="s">
        <v>3401</v>
      </c>
      <c r="F23" s="1851" t="s">
        <v>3597</v>
      </c>
      <c r="G23" s="1851" t="s">
        <v>226</v>
      </c>
      <c r="H23" s="1851" t="s">
        <v>19</v>
      </c>
      <c r="I23" s="1851" t="s">
        <v>517</v>
      </c>
      <c r="J23" s="1628" t="s">
        <v>3598</v>
      </c>
      <c r="K23" s="1497"/>
      <c r="L23" s="1630"/>
      <c r="M23" s="1882"/>
      <c r="N23" s="1883"/>
    </row>
    <row r="24" spans="1:14" s="2003" customFormat="1" ht="66.75" customHeight="1">
      <c r="A24" s="1542">
        <v>20</v>
      </c>
      <c r="B24" s="1493" t="s">
        <v>93</v>
      </c>
      <c r="C24" s="2006">
        <v>2950</v>
      </c>
      <c r="D24" s="1495" t="s">
        <v>3599</v>
      </c>
      <c r="E24" s="1493" t="s">
        <v>84</v>
      </c>
      <c r="F24" s="1495" t="s">
        <v>3600</v>
      </c>
      <c r="G24" s="1851" t="s">
        <v>226</v>
      </c>
      <c r="H24" s="1851" t="s">
        <v>19</v>
      </c>
      <c r="I24" s="1851" t="s">
        <v>172</v>
      </c>
      <c r="J24" s="1600" t="s">
        <v>3601</v>
      </c>
      <c r="K24" s="1908" t="s">
        <v>3602</v>
      </c>
      <c r="L24" s="1493"/>
      <c r="M24" s="1790"/>
      <c r="N24" s="1548"/>
    </row>
    <row r="25" spans="1:14" s="2002" customFormat="1" ht="126.75" customHeight="1">
      <c r="A25" s="1542">
        <v>21</v>
      </c>
      <c r="B25" s="1493" t="s">
        <v>52</v>
      </c>
      <c r="C25" s="2006">
        <v>4620</v>
      </c>
      <c r="D25" s="1495" t="s">
        <v>3603</v>
      </c>
      <c r="E25" s="1493" t="s">
        <v>16</v>
      </c>
      <c r="F25" s="1495" t="s">
        <v>3604</v>
      </c>
      <c r="G25" s="1851" t="s">
        <v>226</v>
      </c>
      <c r="H25" s="1851" t="s">
        <v>19</v>
      </c>
      <c r="I25" s="1851" t="s">
        <v>172</v>
      </c>
      <c r="J25" s="1600" t="s">
        <v>3605</v>
      </c>
      <c r="K25" s="1908" t="s">
        <v>3606</v>
      </c>
      <c r="L25" s="1493"/>
      <c r="M25" s="1790"/>
      <c r="N25" s="1548"/>
    </row>
    <row r="26" spans="1:14" s="2002" customFormat="1" ht="96.75" customHeight="1">
      <c r="A26" s="1542">
        <v>22</v>
      </c>
      <c r="B26" s="1493" t="s">
        <v>82</v>
      </c>
      <c r="C26" s="2006">
        <v>4250</v>
      </c>
      <c r="D26" s="1495" t="s">
        <v>3607</v>
      </c>
      <c r="E26" s="1493" t="s">
        <v>84</v>
      </c>
      <c r="F26" s="1495" t="s">
        <v>3608</v>
      </c>
      <c r="G26" s="1851" t="s">
        <v>226</v>
      </c>
      <c r="H26" s="1851" t="s">
        <v>19</v>
      </c>
      <c r="I26" s="1851" t="s">
        <v>172</v>
      </c>
      <c r="J26" s="1600" t="s">
        <v>3601</v>
      </c>
      <c r="K26" s="1908" t="s">
        <v>3609</v>
      </c>
      <c r="L26" s="1493"/>
      <c r="M26" s="1790"/>
      <c r="N26" s="1548"/>
    </row>
    <row r="27" spans="1:14" s="1777" customFormat="1" ht="65.25" customHeight="1">
      <c r="A27" s="1542">
        <v>23</v>
      </c>
      <c r="B27" s="1493" t="s">
        <v>2915</v>
      </c>
      <c r="C27" s="2006">
        <v>3200</v>
      </c>
      <c r="D27" s="1495" t="s">
        <v>3610</v>
      </c>
      <c r="E27" s="1493" t="s">
        <v>61</v>
      </c>
      <c r="F27" s="1495" t="s">
        <v>3611</v>
      </c>
      <c r="G27" s="1851" t="s">
        <v>226</v>
      </c>
      <c r="H27" s="1851" t="s">
        <v>19</v>
      </c>
      <c r="I27" s="1851" t="s">
        <v>101</v>
      </c>
      <c r="J27" s="1600" t="s">
        <v>3612</v>
      </c>
      <c r="K27" s="1547"/>
      <c r="L27" s="1493"/>
      <c r="M27" s="1790"/>
      <c r="N27" s="1548"/>
    </row>
    <row r="28" spans="1:14" s="1997" customFormat="1" ht="94.5" customHeight="1">
      <c r="A28" s="1542">
        <v>24</v>
      </c>
      <c r="B28" s="1493" t="s">
        <v>3469</v>
      </c>
      <c r="C28" s="2006">
        <v>4280</v>
      </c>
      <c r="D28" s="1495" t="s">
        <v>3613</v>
      </c>
      <c r="E28" s="1493" t="s">
        <v>84</v>
      </c>
      <c r="F28" s="1495" t="s">
        <v>3614</v>
      </c>
      <c r="G28" s="1851" t="s">
        <v>226</v>
      </c>
      <c r="H28" s="1851" t="s">
        <v>19</v>
      </c>
      <c r="I28" s="1851" t="s">
        <v>172</v>
      </c>
      <c r="J28" s="1600" t="s">
        <v>3615</v>
      </c>
      <c r="K28" s="1908"/>
      <c r="L28" s="1493"/>
      <c r="M28" s="1790"/>
      <c r="N28" s="1548"/>
    </row>
    <row r="29" spans="1:14" s="1977" customFormat="1" ht="169.5" customHeight="1">
      <c r="A29" s="1542">
        <v>25</v>
      </c>
      <c r="B29" s="1493" t="s">
        <v>3616</v>
      </c>
      <c r="C29" s="2006">
        <f>6200+3000+11650</f>
        <v>20850</v>
      </c>
      <c r="D29" s="1495" t="s">
        <v>3574</v>
      </c>
      <c r="E29" s="1493" t="s">
        <v>3095</v>
      </c>
      <c r="F29" s="1495" t="s">
        <v>3617</v>
      </c>
      <c r="G29" s="1851" t="s">
        <v>226</v>
      </c>
      <c r="H29" s="1851" t="s">
        <v>3423</v>
      </c>
      <c r="I29" s="1851" t="s">
        <v>3351</v>
      </c>
      <c r="J29" s="1600" t="s">
        <v>3618</v>
      </c>
      <c r="K29" s="1547"/>
      <c r="L29" s="1493"/>
      <c r="M29" s="1790"/>
      <c r="N29" s="1548"/>
    </row>
    <row r="30" spans="1:14" s="1559" customFormat="1" ht="75" customHeight="1">
      <c r="A30" s="1553">
        <v>26</v>
      </c>
      <c r="B30" s="1545" t="s">
        <v>3619</v>
      </c>
      <c r="C30" s="2007">
        <v>11000</v>
      </c>
      <c r="D30" s="1543" t="s">
        <v>3620</v>
      </c>
      <c r="E30" s="1545" t="s">
        <v>16</v>
      </c>
      <c r="F30" s="1543" t="s">
        <v>3621</v>
      </c>
      <c r="G30" s="1851" t="s">
        <v>226</v>
      </c>
      <c r="H30" s="1543" t="s">
        <v>19</v>
      </c>
      <c r="I30" s="1543" t="s">
        <v>172</v>
      </c>
      <c r="J30" s="1605" t="s">
        <v>3622</v>
      </c>
      <c r="K30" s="1828"/>
      <c r="L30" s="1545"/>
      <c r="M30" s="1852"/>
    </row>
    <row r="31" spans="1:14" s="1548" customFormat="1" ht="90.75" customHeight="1">
      <c r="A31" s="1542">
        <v>27</v>
      </c>
      <c r="B31" s="1493" t="s">
        <v>3507</v>
      </c>
      <c r="C31" s="2006">
        <v>4400</v>
      </c>
      <c r="D31" s="1495" t="s">
        <v>3623</v>
      </c>
      <c r="E31" s="1493" t="s">
        <v>61</v>
      </c>
      <c r="F31" s="1495" t="s">
        <v>3624</v>
      </c>
      <c r="G31" s="1851" t="s">
        <v>226</v>
      </c>
      <c r="H31" s="1495" t="s">
        <v>19</v>
      </c>
      <c r="I31" s="1495" t="s">
        <v>517</v>
      </c>
      <c r="J31" s="1600" t="s">
        <v>3625</v>
      </c>
      <c r="K31" s="1547"/>
      <c r="L31" s="1493"/>
      <c r="M31" s="1790"/>
    </row>
    <row r="32" spans="1:14" s="1548" customFormat="1" ht="114" customHeight="1">
      <c r="A32" s="1542">
        <v>28</v>
      </c>
      <c r="B32" s="1493" t="s">
        <v>3460</v>
      </c>
      <c r="C32" s="2006">
        <v>4000</v>
      </c>
      <c r="D32" s="1495" t="s">
        <v>3626</v>
      </c>
      <c r="E32" s="1769" t="s">
        <v>61</v>
      </c>
      <c r="F32" s="1495" t="s">
        <v>3627</v>
      </c>
      <c r="G32" s="1851" t="s">
        <v>226</v>
      </c>
      <c r="H32" s="1851" t="s">
        <v>19</v>
      </c>
      <c r="I32" s="1872" t="s">
        <v>517</v>
      </c>
      <c r="J32" s="1600" t="s">
        <v>3628</v>
      </c>
      <c r="K32" s="1771"/>
      <c r="L32" s="1493"/>
      <c r="M32" s="1790"/>
    </row>
    <row r="33" spans="1:14" s="1548" customFormat="1" ht="176.25" customHeight="1">
      <c r="A33" s="1542">
        <v>29</v>
      </c>
      <c r="B33" s="1493" t="s">
        <v>3629</v>
      </c>
      <c r="C33" s="2006">
        <v>16000</v>
      </c>
      <c r="D33" s="1495" t="s">
        <v>3623</v>
      </c>
      <c r="E33" s="1493" t="s">
        <v>3416</v>
      </c>
      <c r="F33" s="1875" t="s">
        <v>3630</v>
      </c>
      <c r="G33" s="1851" t="s">
        <v>226</v>
      </c>
      <c r="H33" s="1851" t="s">
        <v>19</v>
      </c>
      <c r="I33" s="1851" t="s">
        <v>517</v>
      </c>
      <c r="J33" s="1966" t="s">
        <v>3631</v>
      </c>
      <c r="K33" s="1547"/>
      <c r="L33" s="1493"/>
      <c r="M33" s="1790"/>
    </row>
    <row r="34" spans="1:14" s="1548" customFormat="1" ht="83.25" customHeight="1">
      <c r="A34" s="1850">
        <v>30</v>
      </c>
      <c r="B34" s="1851" t="s">
        <v>3632</v>
      </c>
      <c r="C34" s="2005">
        <v>3100</v>
      </c>
      <c r="D34" s="2009" t="s">
        <v>3633</v>
      </c>
      <c r="E34" s="1935" t="s">
        <v>2260</v>
      </c>
      <c r="F34" s="1495" t="s">
        <v>3634</v>
      </c>
      <c r="G34" s="1851" t="s">
        <v>226</v>
      </c>
      <c r="H34" s="1851" t="s">
        <v>3423</v>
      </c>
      <c r="I34" s="1872" t="s">
        <v>3635</v>
      </c>
      <c r="J34" s="1600" t="s">
        <v>3636</v>
      </c>
      <c r="K34" s="1938"/>
      <c r="L34" s="1630"/>
      <c r="M34" s="1882"/>
      <c r="N34" s="1883"/>
    </row>
    <row r="35" spans="1:14" s="1548" customFormat="1" ht="132.75" customHeight="1">
      <c r="A35" s="1542">
        <v>31</v>
      </c>
      <c r="B35" s="1493" t="s">
        <v>3495</v>
      </c>
      <c r="C35" s="1808">
        <v>9000</v>
      </c>
      <c r="D35" s="1495" t="s">
        <v>3637</v>
      </c>
      <c r="E35" s="1769" t="s">
        <v>3401</v>
      </c>
      <c r="F35" s="1851" t="s">
        <v>3638</v>
      </c>
      <c r="G35" s="1851" t="s">
        <v>226</v>
      </c>
      <c r="H35" s="1851" t="s">
        <v>19</v>
      </c>
      <c r="I35" s="1851" t="s">
        <v>172</v>
      </c>
      <c r="J35" s="1497" t="s">
        <v>3639</v>
      </c>
      <c r="K35" s="1547"/>
      <c r="L35" s="1493"/>
      <c r="M35" s="1790"/>
    </row>
    <row r="36" spans="1:14" s="1777" customFormat="1" ht="81.75" customHeight="1">
      <c r="A36" s="738">
        <v>32</v>
      </c>
      <c r="B36" s="102"/>
      <c r="C36" s="2008"/>
      <c r="D36" s="109"/>
      <c r="E36" s="102"/>
      <c r="F36" s="109"/>
      <c r="G36" s="109"/>
      <c r="H36" s="109"/>
      <c r="I36" s="109"/>
      <c r="J36" s="696"/>
      <c r="K36" s="143"/>
      <c r="L36" s="102"/>
      <c r="M36" s="1853"/>
    </row>
    <row r="37" spans="1:14" s="1777" customFormat="1" ht="77.25" customHeight="1">
      <c r="A37" s="102">
        <v>33</v>
      </c>
      <c r="C37" s="102"/>
    </row>
    <row r="38" spans="1:14" s="1777" customFormat="1" ht="72" customHeight="1">
      <c r="A38" s="102">
        <v>34</v>
      </c>
      <c r="C38" s="102"/>
    </row>
    <row r="39" spans="1:14" ht="58.5" customHeight="1">
      <c r="A39" s="359">
        <v>35</v>
      </c>
    </row>
    <row r="40" spans="1:14" ht="58.5" customHeight="1">
      <c r="A40" s="359">
        <v>36</v>
      </c>
    </row>
    <row r="41" spans="1:14" ht="58.5" customHeight="1">
      <c r="A41" s="359">
        <v>37</v>
      </c>
    </row>
    <row r="42" spans="1:14" ht="58.5" customHeight="1">
      <c r="A42" s="359">
        <v>38</v>
      </c>
    </row>
    <row r="43" spans="1:14" ht="58.5" customHeight="1">
      <c r="A43" s="359">
        <v>39</v>
      </c>
    </row>
    <row r="44" spans="1:14" ht="58.5" customHeight="1">
      <c r="A44" s="359">
        <v>40</v>
      </c>
    </row>
    <row r="45" spans="1:14" ht="58.5" customHeight="1">
      <c r="A45" s="359">
        <v>41</v>
      </c>
    </row>
    <row r="46" spans="1:14" ht="58.5" customHeight="1">
      <c r="A46" s="359">
        <v>42</v>
      </c>
    </row>
    <row r="47" spans="1:14" ht="58.5" customHeight="1">
      <c r="A47" s="359">
        <v>43</v>
      </c>
    </row>
    <row r="48" spans="1:14" ht="58.5" customHeight="1">
      <c r="A48" s="359">
        <v>44</v>
      </c>
    </row>
    <row r="49" spans="1:1" ht="58.5" customHeight="1">
      <c r="A49" s="359">
        <v>45</v>
      </c>
    </row>
  </sheetData>
  <mergeCells count="3">
    <mergeCell ref="C1:K1"/>
    <mergeCell ref="A2:K2"/>
    <mergeCell ref="A3:B3"/>
  </mergeCells>
  <conditionalFormatting sqref="A1:A3">
    <cfRule type="duplicateValues" dxfId="445" priority="5"/>
  </conditionalFormatting>
  <conditionalFormatting sqref="A4">
    <cfRule type="duplicateValues" dxfId="444" priority="1072"/>
  </conditionalFormatting>
  <conditionalFormatting sqref="B4">
    <cfRule type="duplicateValues" dxfId="443" priority="1073"/>
    <cfRule type="duplicateValues" dxfId="442" priority="1074"/>
    <cfRule type="duplicateValues" dxfId="441" priority="1075"/>
  </conditionalFormatting>
  <pageMargins left="0.7" right="0.7" top="0.75" bottom="0.75" header="0.3" footer="0.3"/>
  <pageSetup paperSize="9" scale="40" orientation="landscape"/>
  <legacyDrawing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44E495-6AA7-4151-A93B-DF0BDF79D9EA}">
  <sheetPr>
    <tabColor theme="2" tint="-0.249977111117893"/>
    <pageSetUpPr fitToPage="1"/>
  </sheetPr>
  <dimension ref="A1:N54"/>
  <sheetViews>
    <sheetView topLeftCell="A2" zoomScale="70" zoomScaleNormal="70" workbookViewId="0">
      <pane xSplit="3" ySplit="3" topLeftCell="D18" activePane="bottomRight" state="frozen"/>
      <selection pane="topRight" activeCell="E39" sqref="E39"/>
      <selection pane="bottomLeft" activeCell="E39" sqref="E39"/>
      <selection pane="bottomRight" activeCell="E39" sqref="E39"/>
    </sheetView>
  </sheetViews>
  <sheetFormatPr defaultColWidth="32.140625" defaultRowHeight="58.5" customHeight="1"/>
  <cols>
    <col min="1" max="1" width="11.140625" style="359" customWidth="1"/>
    <col min="2" max="2" width="29.140625" style="1" customWidth="1"/>
    <col min="3" max="3" width="15.140625" style="1138" customWidth="1"/>
    <col min="4" max="4" width="27.85546875" style="271" customWidth="1"/>
    <col min="5" max="5" width="24" style="1" customWidth="1"/>
    <col min="6" max="6" width="21" style="271" customWidth="1"/>
    <col min="7" max="7" width="26" style="271" customWidth="1"/>
    <col min="8" max="8" width="20.85546875" style="271" customWidth="1"/>
    <col min="9" max="9" width="21.42578125" style="271" customWidth="1"/>
    <col min="10" max="10" width="115.42578125" style="9" customWidth="1"/>
    <col min="11" max="11" width="50.28515625" style="9" customWidth="1"/>
    <col min="12" max="12" width="17.28515625" style="1" customWidth="1"/>
    <col min="13" max="13" width="18.7109375" style="763" customWidth="1"/>
    <col min="14" max="14" width="35.42578125" style="3" customWidth="1"/>
    <col min="15" max="16384" width="32.140625" style="3"/>
  </cols>
  <sheetData>
    <row r="1" spans="1:14" ht="58.5" customHeight="1">
      <c r="B1" s="10"/>
      <c r="C1" s="3624"/>
      <c r="D1" s="3624"/>
      <c r="E1" s="3624"/>
      <c r="F1" s="3624"/>
      <c r="G1" s="3624"/>
      <c r="H1" s="3624"/>
      <c r="I1" s="3624"/>
      <c r="J1" s="3624"/>
      <c r="K1" s="3624"/>
      <c r="M1" s="1848"/>
    </row>
    <row r="2" spans="1:14" ht="42" customHeight="1">
      <c r="A2" s="3708" t="s">
        <v>3387</v>
      </c>
      <c r="B2" s="3708"/>
      <c r="C2" s="3708"/>
      <c r="D2" s="3708"/>
      <c r="E2" s="3708"/>
      <c r="F2" s="3708"/>
      <c r="G2" s="3708"/>
      <c r="H2" s="3708"/>
      <c r="I2" s="3708"/>
      <c r="J2" s="3708"/>
      <c r="K2" s="3709"/>
      <c r="L2" s="1905"/>
      <c r="M2" s="1905"/>
      <c r="N2" s="287"/>
    </row>
    <row r="3" spans="1:14" ht="37.5" customHeight="1">
      <c r="A3" s="3707" t="s">
        <v>3388</v>
      </c>
      <c r="B3" s="3707"/>
      <c r="C3" s="1950">
        <f>SUBTOTAL(9,C5:C559)</f>
        <v>214355</v>
      </c>
      <c r="D3" s="1932"/>
      <c r="E3" s="1951"/>
      <c r="F3" s="1932"/>
      <c r="G3" s="1932"/>
      <c r="H3" s="1932"/>
      <c r="I3" s="1932"/>
      <c r="J3" s="1934">
        <f ca="1">TODAY()</f>
        <v>45960</v>
      </c>
      <c r="K3" s="1622"/>
      <c r="L3" s="1952"/>
      <c r="M3" s="1951"/>
      <c r="N3" s="287"/>
    </row>
    <row r="4" spans="1:14" s="1149" customFormat="1" ht="53.25" customHeight="1">
      <c r="A4" s="1978" t="s">
        <v>1</v>
      </c>
      <c r="B4" s="1818" t="s">
        <v>2</v>
      </c>
      <c r="C4" s="1948" t="s">
        <v>3</v>
      </c>
      <c r="D4" s="1818" t="s">
        <v>3534</v>
      </c>
      <c r="E4" s="1818" t="s">
        <v>5</v>
      </c>
      <c r="F4" s="1818" t="s">
        <v>3535</v>
      </c>
      <c r="G4" s="1818" t="s">
        <v>7</v>
      </c>
      <c r="H4" s="1970" t="s">
        <v>8</v>
      </c>
      <c r="I4" s="1818" t="s">
        <v>9</v>
      </c>
      <c r="J4" s="1818" t="s">
        <v>10</v>
      </c>
      <c r="K4" s="1818" t="s">
        <v>11</v>
      </c>
      <c r="L4" s="1818" t="s">
        <v>12</v>
      </c>
      <c r="M4" s="1949" t="s">
        <v>13</v>
      </c>
      <c r="N4" s="1820" t="e">
        <f>SUM(#REF!)</f>
        <v>#REF!</v>
      </c>
    </row>
    <row r="5" spans="1:14" s="1916" customFormat="1" ht="69.75" customHeight="1">
      <c r="A5" s="1542" cm="1">
        <f t="array" ref="A5:A54">_xlfn.SEQUENCE(50,1,1,)</f>
        <v>1</v>
      </c>
      <c r="B5" s="1495" t="s">
        <v>3640</v>
      </c>
      <c r="C5" s="1494">
        <v>3750</v>
      </c>
      <c r="D5" s="1495" t="s">
        <v>3641</v>
      </c>
      <c r="E5" s="1769" t="s">
        <v>16</v>
      </c>
      <c r="F5" s="1495" t="s">
        <v>3642</v>
      </c>
      <c r="G5" s="1495" t="s">
        <v>226</v>
      </c>
      <c r="H5" s="1851" t="s">
        <v>19</v>
      </c>
      <c r="I5" s="1851" t="s">
        <v>253</v>
      </c>
      <c r="J5" s="1497" t="s">
        <v>3643</v>
      </c>
      <c r="K5" s="1547"/>
      <c r="L5" s="1493"/>
      <c r="M5" s="1790"/>
      <c r="N5" s="1548"/>
    </row>
    <row r="6" spans="1:14" s="1916" customFormat="1" ht="175.5" customHeight="1">
      <c r="A6" s="1542">
        <v>2</v>
      </c>
      <c r="B6" s="1493" t="s">
        <v>2915</v>
      </c>
      <c r="C6" s="1494">
        <v>3250</v>
      </c>
      <c r="D6" s="1495" t="s">
        <v>3644</v>
      </c>
      <c r="E6" s="1493" t="s">
        <v>61</v>
      </c>
      <c r="F6" s="1495" t="s">
        <v>3645</v>
      </c>
      <c r="G6" s="1495" t="s">
        <v>226</v>
      </c>
      <c r="H6" s="1851" t="s">
        <v>19</v>
      </c>
      <c r="I6" s="1851" t="s">
        <v>517</v>
      </c>
      <c r="J6" s="1496" t="s">
        <v>3646</v>
      </c>
      <c r="K6" s="1547"/>
      <c r="L6" s="1493"/>
      <c r="M6" s="1493"/>
      <c r="N6" s="1548"/>
    </row>
    <row r="7" spans="1:14" s="1916" customFormat="1" ht="69.75" customHeight="1">
      <c r="A7" s="1542">
        <v>3</v>
      </c>
      <c r="B7" s="1495" t="s">
        <v>52</v>
      </c>
      <c r="C7" s="1494">
        <v>3100</v>
      </c>
      <c r="D7" s="1495" t="s">
        <v>3647</v>
      </c>
      <c r="E7" s="1769" t="s">
        <v>84</v>
      </c>
      <c r="F7" s="1495" t="s">
        <v>3648</v>
      </c>
      <c r="G7" s="1495" t="s">
        <v>226</v>
      </c>
      <c r="H7" s="1851" t="s">
        <v>19</v>
      </c>
      <c r="I7" s="1851" t="s">
        <v>101</v>
      </c>
      <c r="J7" s="1497" t="s">
        <v>3649</v>
      </c>
      <c r="K7" s="1547"/>
      <c r="L7" s="1493"/>
      <c r="M7" s="1790"/>
      <c r="N7" s="1548"/>
    </row>
    <row r="8" spans="1:14" s="1548" customFormat="1" ht="85.5" customHeight="1">
      <c r="A8" s="1542">
        <v>4</v>
      </c>
      <c r="B8" s="1495" t="s">
        <v>3650</v>
      </c>
      <c r="C8" s="1494">
        <v>7000</v>
      </c>
      <c r="D8" s="2010" t="s">
        <v>3651</v>
      </c>
      <c r="E8" s="1493" t="s">
        <v>3421</v>
      </c>
      <c r="F8" s="1495" t="s">
        <v>3652</v>
      </c>
      <c r="G8" s="1495" t="s">
        <v>226</v>
      </c>
      <c r="H8" s="1495" t="s">
        <v>3423</v>
      </c>
      <c r="I8" s="1495" t="s">
        <v>69</v>
      </c>
      <c r="J8" s="1600" t="s">
        <v>3653</v>
      </c>
      <c r="K8" s="1547"/>
      <c r="L8" s="1493"/>
      <c r="M8" s="1790"/>
    </row>
    <row r="9" spans="1:14" s="1883" customFormat="1" ht="80.25" customHeight="1">
      <c r="A9" s="1850">
        <v>5</v>
      </c>
      <c r="B9" s="1495" t="s">
        <v>71</v>
      </c>
      <c r="C9" s="1631">
        <v>3000</v>
      </c>
      <c r="D9" s="1851" t="s">
        <v>3651</v>
      </c>
      <c r="E9" s="1630" t="s">
        <v>16</v>
      </c>
      <c r="F9" s="1851" t="s">
        <v>3654</v>
      </c>
      <c r="G9" s="1495" t="s">
        <v>226</v>
      </c>
      <c r="H9" s="1495" t="s">
        <v>19</v>
      </c>
      <c r="I9" s="1851" t="s">
        <v>253</v>
      </c>
      <c r="J9" s="1497" t="s">
        <v>3655</v>
      </c>
      <c r="K9" s="1881"/>
      <c r="L9" s="1630"/>
      <c r="M9" s="1882"/>
    </row>
    <row r="10" spans="1:14" s="2011" customFormat="1" ht="62.25" customHeight="1">
      <c r="A10" s="1850">
        <v>6</v>
      </c>
      <c r="B10" s="1495" t="s">
        <v>211</v>
      </c>
      <c r="C10" s="1631">
        <v>4000</v>
      </c>
      <c r="D10" s="1851" t="s">
        <v>3656</v>
      </c>
      <c r="E10" s="1630" t="s">
        <v>61</v>
      </c>
      <c r="F10" s="1851" t="s">
        <v>634</v>
      </c>
      <c r="G10" s="1495" t="s">
        <v>226</v>
      </c>
      <c r="H10" s="1495" t="s">
        <v>19</v>
      </c>
      <c r="I10" s="1851" t="s">
        <v>517</v>
      </c>
      <c r="J10" s="1497" t="s">
        <v>3657</v>
      </c>
      <c r="K10" s="1881"/>
      <c r="L10" s="1630"/>
      <c r="M10" s="1882"/>
      <c r="N10" s="1883"/>
    </row>
    <row r="11" spans="1:14" s="1883" customFormat="1" ht="96" customHeight="1">
      <c r="A11" s="1850">
        <v>7</v>
      </c>
      <c r="B11" s="1495" t="s">
        <v>3658</v>
      </c>
      <c r="C11" s="1631">
        <v>3700</v>
      </c>
      <c r="D11" s="1851" t="s">
        <v>3659</v>
      </c>
      <c r="E11" s="1630" t="s">
        <v>61</v>
      </c>
      <c r="F11" s="1851" t="s">
        <v>3660</v>
      </c>
      <c r="G11" s="1495" t="s">
        <v>226</v>
      </c>
      <c r="H11" s="1495" t="s">
        <v>19</v>
      </c>
      <c r="I11" s="1851" t="s">
        <v>172</v>
      </c>
      <c r="J11" s="1497" t="s">
        <v>3661</v>
      </c>
      <c r="K11" s="1881"/>
      <c r="L11" s="1630"/>
      <c r="M11" s="1882"/>
    </row>
    <row r="12" spans="1:14" s="1880" customFormat="1" ht="148.5" customHeight="1">
      <c r="A12" s="1850">
        <v>8</v>
      </c>
      <c r="B12" s="1495" t="s">
        <v>3662</v>
      </c>
      <c r="C12" s="1631">
        <v>14600</v>
      </c>
      <c r="D12" s="1851" t="s">
        <v>3663</v>
      </c>
      <c r="E12" s="1630" t="s">
        <v>3416</v>
      </c>
      <c r="F12" s="1851"/>
      <c r="G12" s="1495" t="s">
        <v>226</v>
      </c>
      <c r="H12" s="1495" t="s">
        <v>19</v>
      </c>
      <c r="I12" s="1851" t="s">
        <v>172</v>
      </c>
      <c r="J12" s="1497" t="s">
        <v>3664</v>
      </c>
      <c r="K12" s="1881"/>
      <c r="L12" s="1630"/>
      <c r="M12" s="1882"/>
      <c r="N12" s="1883"/>
    </row>
    <row r="13" spans="1:14" s="2012" customFormat="1" ht="90" customHeight="1">
      <c r="A13" s="1850">
        <v>9</v>
      </c>
      <c r="B13" s="1495" t="s">
        <v>82</v>
      </c>
      <c r="C13" s="1631">
        <v>4230</v>
      </c>
      <c r="D13" s="1851" t="s">
        <v>3665</v>
      </c>
      <c r="E13" s="1630" t="s">
        <v>84</v>
      </c>
      <c r="F13" s="1851" t="s">
        <v>3666</v>
      </c>
      <c r="G13" s="1495" t="s">
        <v>251</v>
      </c>
      <c r="H13" s="1495" t="s">
        <v>19</v>
      </c>
      <c r="I13" s="1851" t="s">
        <v>172</v>
      </c>
      <c r="J13" s="1497" t="s">
        <v>3667</v>
      </c>
      <c r="K13" s="1940"/>
      <c r="L13" s="1630"/>
      <c r="M13" s="1882"/>
      <c r="N13" s="1883"/>
    </row>
    <row r="14" spans="1:14" s="1883" customFormat="1" ht="280.5" customHeight="1">
      <c r="A14" s="1850">
        <v>10</v>
      </c>
      <c r="B14" s="1495" t="s">
        <v>3668</v>
      </c>
      <c r="C14" s="1631">
        <v>27275</v>
      </c>
      <c r="D14" s="1851" t="s">
        <v>3669</v>
      </c>
      <c r="E14" s="1630" t="s">
        <v>25</v>
      </c>
      <c r="F14" s="1851" t="s">
        <v>3670</v>
      </c>
      <c r="G14" s="1495" t="s">
        <v>251</v>
      </c>
      <c r="H14" s="1495" t="s">
        <v>3423</v>
      </c>
      <c r="I14" s="1851" t="s">
        <v>3513</v>
      </c>
      <c r="J14" s="1497" t="s">
        <v>3671</v>
      </c>
      <c r="K14" s="1881"/>
      <c r="L14" s="1630"/>
      <c r="M14" s="1882"/>
    </row>
    <row r="15" spans="1:14" s="1883" customFormat="1" ht="90" customHeight="1">
      <c r="A15" s="1542">
        <v>11</v>
      </c>
      <c r="B15" s="1493" t="s">
        <v>2921</v>
      </c>
      <c r="C15" s="1901">
        <v>6000</v>
      </c>
      <c r="D15" s="1495" t="s">
        <v>3672</v>
      </c>
      <c r="E15" s="1769" t="s">
        <v>3401</v>
      </c>
      <c r="F15" s="1851" t="s">
        <v>3673</v>
      </c>
      <c r="G15" s="1495" t="s">
        <v>251</v>
      </c>
      <c r="H15" s="1851" t="s">
        <v>19</v>
      </c>
      <c r="I15" s="1851" t="s">
        <v>517</v>
      </c>
      <c r="J15" s="2133" t="s">
        <v>3674</v>
      </c>
      <c r="K15" s="1771"/>
      <c r="L15" s="1493"/>
      <c r="M15" s="1790"/>
      <c r="N15" s="1548"/>
    </row>
    <row r="16" spans="1:14" s="1548" customFormat="1" ht="150" customHeight="1">
      <c r="A16" s="1542">
        <v>12</v>
      </c>
      <c r="B16" s="1495" t="s">
        <v>3675</v>
      </c>
      <c r="C16" s="1901">
        <v>8180</v>
      </c>
      <c r="D16" s="1495" t="s">
        <v>3676</v>
      </c>
      <c r="E16" s="1493" t="s">
        <v>3095</v>
      </c>
      <c r="F16" s="1495" t="s">
        <v>3677</v>
      </c>
      <c r="G16" s="2030" t="s">
        <v>3678</v>
      </c>
      <c r="H16" s="1495" t="s">
        <v>3423</v>
      </c>
      <c r="I16" s="1851" t="s">
        <v>3074</v>
      </c>
      <c r="J16" s="1600" t="s">
        <v>3679</v>
      </c>
      <c r="K16" s="1908" t="s">
        <v>3680</v>
      </c>
      <c r="L16" s="1493"/>
      <c r="M16" s="1790"/>
    </row>
    <row r="17" spans="1:14" s="1548" customFormat="1" ht="80.25" customHeight="1">
      <c r="A17" s="1542">
        <v>13</v>
      </c>
      <c r="B17" s="1493" t="s">
        <v>42</v>
      </c>
      <c r="C17" s="1901">
        <v>6000</v>
      </c>
      <c r="D17" s="1495" t="s">
        <v>3681</v>
      </c>
      <c r="E17" s="1493" t="s">
        <v>3401</v>
      </c>
      <c r="F17" s="1495" t="s">
        <v>3682</v>
      </c>
      <c r="G17" s="1495" t="s">
        <v>251</v>
      </c>
      <c r="H17" s="1851" t="s">
        <v>19</v>
      </c>
      <c r="I17" s="1851" t="s">
        <v>517</v>
      </c>
      <c r="J17" s="1600" t="s">
        <v>3683</v>
      </c>
      <c r="K17" s="1547"/>
      <c r="L17" s="1493"/>
      <c r="M17" s="1790"/>
    </row>
    <row r="18" spans="1:14" s="1548" customFormat="1" ht="69.75" customHeight="1">
      <c r="A18" s="1542">
        <v>14</v>
      </c>
      <c r="B18" s="1493" t="s">
        <v>87</v>
      </c>
      <c r="C18" s="1901">
        <v>3100</v>
      </c>
      <c r="D18" s="1495" t="s">
        <v>3684</v>
      </c>
      <c r="E18" s="1769" t="s">
        <v>61</v>
      </c>
      <c r="F18" s="1851" t="s">
        <v>3685</v>
      </c>
      <c r="G18" s="1495" t="s">
        <v>251</v>
      </c>
      <c r="H18" s="1851" t="s">
        <v>19</v>
      </c>
      <c r="I18" s="1851" t="s">
        <v>172</v>
      </c>
      <c r="J18" s="2133" t="s">
        <v>3686</v>
      </c>
      <c r="K18" s="1771"/>
      <c r="L18" s="1493"/>
      <c r="M18" s="1790"/>
    </row>
    <row r="19" spans="1:14" s="1548" customFormat="1" ht="69.75" customHeight="1">
      <c r="A19" s="1542">
        <v>15</v>
      </c>
      <c r="B19" s="1495" t="s">
        <v>3687</v>
      </c>
      <c r="C19" s="1901">
        <v>35000</v>
      </c>
      <c r="D19" s="1495" t="s">
        <v>3688</v>
      </c>
      <c r="E19" s="1493" t="s">
        <v>3689</v>
      </c>
      <c r="F19" s="1495" t="s">
        <v>3690</v>
      </c>
      <c r="G19" s="1495" t="s">
        <v>251</v>
      </c>
      <c r="H19" s="1495" t="s">
        <v>3423</v>
      </c>
      <c r="I19" s="1851" t="s">
        <v>3691</v>
      </c>
      <c r="J19" s="1600" t="s">
        <v>3692</v>
      </c>
      <c r="K19" s="1854" t="s">
        <v>3693</v>
      </c>
      <c r="L19" s="1493"/>
      <c r="M19" s="1790"/>
    </row>
    <row r="20" spans="1:14" s="1548" customFormat="1" ht="57" customHeight="1">
      <c r="A20" s="1542">
        <v>16</v>
      </c>
      <c r="B20" s="1493" t="s">
        <v>219</v>
      </c>
      <c r="C20" s="1901">
        <v>3750</v>
      </c>
      <c r="D20" s="1495" t="s">
        <v>3694</v>
      </c>
      <c r="E20" s="1769" t="s">
        <v>61</v>
      </c>
      <c r="F20" s="1851" t="s">
        <v>3695</v>
      </c>
      <c r="G20" s="1495" t="s">
        <v>251</v>
      </c>
      <c r="H20" s="1851" t="s">
        <v>19</v>
      </c>
      <c r="I20" s="1851" t="s">
        <v>20</v>
      </c>
      <c r="J20" s="2133" t="s">
        <v>3696</v>
      </c>
      <c r="K20" s="1771"/>
      <c r="L20" s="1493"/>
      <c r="M20" s="1790"/>
    </row>
    <row r="21" spans="1:14" s="1548" customFormat="1" ht="57" customHeight="1">
      <c r="A21" s="1542">
        <v>17</v>
      </c>
      <c r="B21" s="1493" t="s">
        <v>3697</v>
      </c>
      <c r="C21" s="1901">
        <v>3700</v>
      </c>
      <c r="D21" s="1495" t="s">
        <v>3694</v>
      </c>
      <c r="E21" s="1769" t="s">
        <v>89</v>
      </c>
      <c r="F21" s="1851" t="s">
        <v>158</v>
      </c>
      <c r="G21" s="1495" t="s">
        <v>251</v>
      </c>
      <c r="H21" s="1495" t="s">
        <v>19</v>
      </c>
      <c r="I21" s="1851" t="s">
        <v>172</v>
      </c>
      <c r="J21" s="2133" t="s">
        <v>3698</v>
      </c>
      <c r="K21" s="1771"/>
      <c r="L21" s="1493"/>
      <c r="M21" s="1790"/>
    </row>
    <row r="22" spans="1:14" s="1548" customFormat="1" ht="69.75" customHeight="1">
      <c r="A22" s="1542">
        <v>18</v>
      </c>
      <c r="B22" s="1493" t="s">
        <v>3699</v>
      </c>
      <c r="C22" s="1901">
        <v>4370</v>
      </c>
      <c r="D22" s="1495" t="s">
        <v>3700</v>
      </c>
      <c r="E22" s="1493" t="s">
        <v>61</v>
      </c>
      <c r="F22" s="1851" t="s">
        <v>3701</v>
      </c>
      <c r="G22" s="1495" t="s">
        <v>251</v>
      </c>
      <c r="H22" s="1851" t="s">
        <v>19</v>
      </c>
      <c r="I22" s="1851" t="s">
        <v>517</v>
      </c>
      <c r="J22" s="1497" t="s">
        <v>3702</v>
      </c>
      <c r="K22" s="1547"/>
      <c r="L22" s="1493"/>
      <c r="M22" s="1790"/>
    </row>
    <row r="23" spans="1:14" s="1548" customFormat="1" ht="76.5" customHeight="1">
      <c r="A23" s="1542">
        <v>19</v>
      </c>
      <c r="B23" s="1493" t="s">
        <v>93</v>
      </c>
      <c r="C23" s="1901">
        <v>2950</v>
      </c>
      <c r="D23" s="1495" t="s">
        <v>3700</v>
      </c>
      <c r="E23" s="1769" t="s">
        <v>84</v>
      </c>
      <c r="F23" s="1851" t="s">
        <v>3703</v>
      </c>
      <c r="G23" s="1495" t="s">
        <v>251</v>
      </c>
      <c r="H23" s="1851" t="s">
        <v>19</v>
      </c>
      <c r="I23" s="1851" t="s">
        <v>20</v>
      </c>
      <c r="J23" s="2133" t="s">
        <v>3704</v>
      </c>
      <c r="K23" s="1771"/>
      <c r="L23" s="1493"/>
      <c r="M23" s="1790"/>
    </row>
    <row r="24" spans="1:14" s="1548" customFormat="1" ht="135" customHeight="1">
      <c r="A24" s="1542">
        <v>20</v>
      </c>
      <c r="B24" s="1493" t="s">
        <v>112</v>
      </c>
      <c r="C24" s="1901">
        <v>11000</v>
      </c>
      <c r="D24" s="1495" t="s">
        <v>3705</v>
      </c>
      <c r="E24" s="1769" t="s">
        <v>16</v>
      </c>
      <c r="F24" s="1851" t="s">
        <v>3706</v>
      </c>
      <c r="G24" s="1495" t="s">
        <v>251</v>
      </c>
      <c r="H24" s="1495" t="s">
        <v>19</v>
      </c>
      <c r="I24" s="1851" t="s">
        <v>172</v>
      </c>
      <c r="J24" s="2133" t="s">
        <v>3707</v>
      </c>
      <c r="K24" s="1771"/>
      <c r="L24" s="1493"/>
      <c r="M24" s="1790"/>
    </row>
    <row r="25" spans="1:14" s="1548" customFormat="1" ht="115.5" customHeight="1">
      <c r="A25" s="1542">
        <v>21</v>
      </c>
      <c r="B25" s="1493" t="s">
        <v>3708</v>
      </c>
      <c r="C25" s="1901">
        <v>6000</v>
      </c>
      <c r="D25" s="1495" t="s">
        <v>3709</v>
      </c>
      <c r="E25" s="1493" t="s">
        <v>3401</v>
      </c>
      <c r="F25" s="1495" t="s">
        <v>3710</v>
      </c>
      <c r="G25" s="1495" t="s">
        <v>251</v>
      </c>
      <c r="H25" s="1851" t="s">
        <v>19</v>
      </c>
      <c r="I25" s="1851" t="s">
        <v>517</v>
      </c>
      <c r="J25" s="1600" t="s">
        <v>3711</v>
      </c>
      <c r="K25" s="1547"/>
      <c r="L25" s="1493"/>
      <c r="M25" s="1790"/>
    </row>
    <row r="26" spans="1:14" s="1548" customFormat="1" ht="66.75" customHeight="1">
      <c r="A26" s="1542">
        <v>22</v>
      </c>
      <c r="B26" s="1493" t="s">
        <v>3460</v>
      </c>
      <c r="C26" s="1901">
        <v>4000</v>
      </c>
      <c r="D26" s="1495" t="s">
        <v>3712</v>
      </c>
      <c r="E26" s="1493" t="s">
        <v>61</v>
      </c>
      <c r="F26" s="1851" t="s">
        <v>3713</v>
      </c>
      <c r="G26" s="1495" t="s">
        <v>251</v>
      </c>
      <c r="H26" s="1851" t="s">
        <v>19</v>
      </c>
      <c r="I26" s="1851" t="s">
        <v>517</v>
      </c>
      <c r="J26" s="2141" t="s">
        <v>3714</v>
      </c>
      <c r="K26" s="1547"/>
      <c r="L26" s="1493"/>
      <c r="M26" s="1790"/>
    </row>
    <row r="27" spans="1:14" s="1548" customFormat="1" ht="126.75" customHeight="1">
      <c r="A27" s="1542">
        <v>23</v>
      </c>
      <c r="B27" s="1493" t="s">
        <v>3715</v>
      </c>
      <c r="C27" s="1901">
        <v>4500</v>
      </c>
      <c r="D27" s="1495" t="s">
        <v>3716</v>
      </c>
      <c r="E27" s="1493" t="s">
        <v>84</v>
      </c>
      <c r="F27" s="1851" t="s">
        <v>3717</v>
      </c>
      <c r="G27" s="1495" t="s">
        <v>251</v>
      </c>
      <c r="H27" s="1851" t="s">
        <v>19</v>
      </c>
      <c r="I27" s="1851" t="s">
        <v>517</v>
      </c>
      <c r="J27" s="1600" t="s">
        <v>3718</v>
      </c>
      <c r="K27" s="2142"/>
      <c r="L27" s="1493"/>
      <c r="M27" s="1790"/>
    </row>
    <row r="28" spans="1:14" s="1559" customFormat="1" ht="144.75" customHeight="1">
      <c r="A28" s="1553">
        <v>24</v>
      </c>
      <c r="B28" s="1545" t="s">
        <v>3629</v>
      </c>
      <c r="C28" s="2029">
        <v>18000</v>
      </c>
      <c r="D28" s="1543" t="s">
        <v>3541</v>
      </c>
      <c r="E28" s="1601" t="s">
        <v>3416</v>
      </c>
      <c r="F28" s="1900" t="s">
        <v>153</v>
      </c>
      <c r="G28" s="1495" t="s">
        <v>251</v>
      </c>
      <c r="H28" s="1875" t="s">
        <v>19</v>
      </c>
      <c r="I28" s="1875" t="s">
        <v>3719</v>
      </c>
      <c r="J28" s="1546" t="s">
        <v>3720</v>
      </c>
      <c r="K28" s="1828"/>
      <c r="L28" s="1545"/>
      <c r="M28" s="1852"/>
    </row>
    <row r="29" spans="1:14" s="1548" customFormat="1" ht="99.75" customHeight="1">
      <c r="A29" s="1542">
        <v>25</v>
      </c>
      <c r="B29" s="1493" t="s">
        <v>211</v>
      </c>
      <c r="C29" s="1901">
        <v>1650</v>
      </c>
      <c r="D29" s="1495" t="s">
        <v>3721</v>
      </c>
      <c r="E29" s="1493" t="s">
        <v>61</v>
      </c>
      <c r="F29" s="1495" t="s">
        <v>3722</v>
      </c>
      <c r="G29" s="1495" t="s">
        <v>251</v>
      </c>
      <c r="H29" s="1495" t="s">
        <v>19</v>
      </c>
      <c r="I29" s="1495" t="s">
        <v>517</v>
      </c>
      <c r="J29" s="1496" t="s">
        <v>3723</v>
      </c>
      <c r="K29" s="2143"/>
      <c r="L29" s="1493"/>
      <c r="M29" s="1790"/>
    </row>
    <row r="30" spans="1:14" s="1945" customFormat="1" ht="65.25" customHeight="1">
      <c r="A30" s="1917">
        <v>26</v>
      </c>
      <c r="B30" s="1630" t="s">
        <v>2921</v>
      </c>
      <c r="C30" s="1631">
        <v>6000</v>
      </c>
      <c r="D30" s="1851" t="s">
        <v>3724</v>
      </c>
      <c r="E30" s="1630" t="s">
        <v>3401</v>
      </c>
      <c r="F30" s="2024" t="s">
        <v>3725</v>
      </c>
      <c r="G30" s="1495" t="s">
        <v>251</v>
      </c>
      <c r="H30" s="2025" t="s">
        <v>19</v>
      </c>
      <c r="I30" s="1851" t="s">
        <v>20</v>
      </c>
      <c r="J30" s="2144" t="s">
        <v>3726</v>
      </c>
      <c r="K30" s="2026"/>
      <c r="L30" s="1869"/>
      <c r="M30" s="1867"/>
    </row>
    <row r="31" spans="1:14" s="1945" customFormat="1" ht="99.75" customHeight="1">
      <c r="A31" s="1553">
        <v>27</v>
      </c>
      <c r="B31" s="1493" t="s">
        <v>217</v>
      </c>
      <c r="C31" s="1494">
        <v>4250</v>
      </c>
      <c r="D31" s="1851" t="s">
        <v>3727</v>
      </c>
      <c r="E31" s="1626" t="s">
        <v>3401</v>
      </c>
      <c r="F31" s="1943" t="s">
        <v>3728</v>
      </c>
      <c r="G31" s="1495" t="s">
        <v>251</v>
      </c>
      <c r="H31" s="1568" t="s">
        <v>19</v>
      </c>
      <c r="I31" s="1851" t="s">
        <v>172</v>
      </c>
      <c r="J31" s="2141" t="s">
        <v>3729</v>
      </c>
      <c r="K31" s="1828"/>
      <c r="L31" s="1545"/>
      <c r="M31" s="1852"/>
      <c r="N31" s="1559"/>
    </row>
    <row r="32" spans="1:14" s="1945" customFormat="1" ht="81.75" customHeight="1">
      <c r="A32" s="1553">
        <v>28</v>
      </c>
      <c r="B32" s="1545" t="s">
        <v>59</v>
      </c>
      <c r="C32" s="2027">
        <v>3200</v>
      </c>
      <c r="D32" s="1875" t="s">
        <v>3730</v>
      </c>
      <c r="E32" s="1601" t="s">
        <v>61</v>
      </c>
      <c r="F32" s="1943" t="s">
        <v>3731</v>
      </c>
      <c r="G32" s="1495" t="s">
        <v>251</v>
      </c>
      <c r="H32" s="2024" t="s">
        <v>19</v>
      </c>
      <c r="I32" s="2028" t="s">
        <v>3266</v>
      </c>
      <c r="J32" s="1546" t="s">
        <v>3732</v>
      </c>
      <c r="K32" s="1936"/>
      <c r="L32" s="1545"/>
      <c r="M32" s="1852"/>
      <c r="N32" s="1559"/>
    </row>
    <row r="33" spans="1:13" s="1548" customFormat="1" ht="86.25" customHeight="1">
      <c r="A33" s="1542">
        <v>29</v>
      </c>
      <c r="B33" s="1493" t="s">
        <v>3733</v>
      </c>
      <c r="C33" s="1901">
        <v>8800</v>
      </c>
      <c r="D33" s="1495" t="s">
        <v>3734</v>
      </c>
      <c r="E33" s="1493" t="s">
        <v>3401</v>
      </c>
      <c r="F33" s="1495" t="s">
        <v>3735</v>
      </c>
      <c r="G33" s="1495" t="s">
        <v>251</v>
      </c>
      <c r="H33" s="1495" t="s">
        <v>19</v>
      </c>
      <c r="I33" s="1495" t="s">
        <v>20</v>
      </c>
      <c r="J33" s="1496" t="s">
        <v>3736</v>
      </c>
      <c r="K33" s="1547"/>
      <c r="L33" s="1493"/>
      <c r="M33" s="1790"/>
    </row>
    <row r="34" spans="1:13" ht="58.5" customHeight="1">
      <c r="A34" s="359">
        <v>30</v>
      </c>
    </row>
    <row r="35" spans="1:13" ht="58.5" customHeight="1">
      <c r="A35" s="359">
        <v>31</v>
      </c>
    </row>
    <row r="36" spans="1:13" ht="58.5" customHeight="1">
      <c r="A36" s="359">
        <v>32</v>
      </c>
    </row>
    <row r="37" spans="1:13" ht="58.5" customHeight="1">
      <c r="A37" s="359">
        <v>33</v>
      </c>
    </row>
    <row r="38" spans="1:13" ht="58.5" customHeight="1">
      <c r="A38" s="359">
        <v>34</v>
      </c>
    </row>
    <row r="39" spans="1:13" ht="58.5" customHeight="1">
      <c r="A39" s="359">
        <v>35</v>
      </c>
    </row>
    <row r="40" spans="1:13" ht="58.5" customHeight="1">
      <c r="A40" s="359">
        <v>36</v>
      </c>
    </row>
    <row r="41" spans="1:13" ht="58.5" customHeight="1">
      <c r="A41" s="359">
        <v>37</v>
      </c>
    </row>
    <row r="42" spans="1:13" ht="58.5" customHeight="1">
      <c r="A42" s="359">
        <v>38</v>
      </c>
    </row>
    <row r="43" spans="1:13" ht="58.5" customHeight="1">
      <c r="A43" s="359">
        <v>39</v>
      </c>
    </row>
    <row r="44" spans="1:13" ht="58.5" customHeight="1">
      <c r="A44" s="359">
        <v>40</v>
      </c>
    </row>
    <row r="45" spans="1:13" ht="58.5" customHeight="1">
      <c r="A45" s="359">
        <v>41</v>
      </c>
    </row>
    <row r="46" spans="1:13" ht="58.5" customHeight="1">
      <c r="A46" s="359">
        <v>42</v>
      </c>
    </row>
    <row r="47" spans="1:13" ht="58.5" customHeight="1">
      <c r="A47" s="359">
        <v>43</v>
      </c>
    </row>
    <row r="48" spans="1:13" ht="58.5" customHeight="1">
      <c r="A48" s="359">
        <v>44</v>
      </c>
    </row>
    <row r="49" spans="1:1" ht="58.5" customHeight="1">
      <c r="A49" s="359">
        <v>45</v>
      </c>
    </row>
    <row r="50" spans="1:1" ht="58.5" customHeight="1">
      <c r="A50" s="359">
        <v>46</v>
      </c>
    </row>
    <row r="51" spans="1:1" ht="58.5" customHeight="1">
      <c r="A51" s="359">
        <v>47</v>
      </c>
    </row>
    <row r="52" spans="1:1" ht="58.5" customHeight="1">
      <c r="A52" s="359">
        <v>48</v>
      </c>
    </row>
    <row r="53" spans="1:1" ht="58.5" customHeight="1">
      <c r="A53" s="359">
        <v>49</v>
      </c>
    </row>
    <row r="54" spans="1:1" ht="58.5" customHeight="1">
      <c r="A54" s="359">
        <v>50</v>
      </c>
    </row>
  </sheetData>
  <autoFilter ref="A4:P54" xr:uid="{00000000-0009-0000-0000-000001000000}"/>
  <mergeCells count="3">
    <mergeCell ref="C1:K1"/>
    <mergeCell ref="A2:K2"/>
    <mergeCell ref="A3:B3"/>
  </mergeCells>
  <conditionalFormatting sqref="A1:A3">
    <cfRule type="duplicateValues" dxfId="440" priority="1"/>
  </conditionalFormatting>
  <conditionalFormatting sqref="A4">
    <cfRule type="duplicateValues" dxfId="439" priority="2"/>
  </conditionalFormatting>
  <conditionalFormatting sqref="B4">
    <cfRule type="duplicateValues" dxfId="438" priority="3"/>
    <cfRule type="duplicateValues" dxfId="437" priority="4"/>
    <cfRule type="duplicateValues" dxfId="436" priority="5"/>
  </conditionalFormatting>
  <pageMargins left="0.7" right="0.7" top="0.75" bottom="0.75" header="0.3" footer="0.3"/>
  <pageSetup paperSize="9" scale="40" orientation="landscape"/>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B830FB-F427-4A4B-8401-8D05EC558D92}">
  <sheetPr>
    <tabColor theme="2" tint="-0.249977111117893"/>
    <pageSetUpPr fitToPage="1"/>
  </sheetPr>
  <dimension ref="A1:Z54"/>
  <sheetViews>
    <sheetView topLeftCell="A2" zoomScale="70" zoomScaleNormal="70" workbookViewId="0">
      <pane xSplit="3" ySplit="3" topLeftCell="E39" activePane="bottomRight" state="frozen"/>
      <selection pane="topRight" activeCell="E39" sqref="E39"/>
      <selection pane="bottomLeft" activeCell="E39" sqref="E39"/>
      <selection pane="bottomRight" activeCell="E39" sqref="E39"/>
    </sheetView>
  </sheetViews>
  <sheetFormatPr defaultColWidth="32.140625" defaultRowHeight="58.5" customHeight="1"/>
  <cols>
    <col min="1" max="1" width="10.140625" style="359" customWidth="1"/>
    <col min="2" max="2" width="28.5703125" style="1" customWidth="1"/>
    <col min="3" max="3" width="17.85546875" style="1138" customWidth="1"/>
    <col min="4" max="4" width="23.85546875" style="271" bestFit="1" customWidth="1"/>
    <col min="5" max="5" width="25.42578125" style="1" customWidth="1"/>
    <col min="6" max="6" width="21.42578125" style="271" customWidth="1"/>
    <col min="7" max="7" width="35.42578125" style="271" customWidth="1"/>
    <col min="8" max="8" width="20" style="271" customWidth="1"/>
    <col min="9" max="9" width="21.85546875" style="271" customWidth="1"/>
    <col min="10" max="10" width="131.42578125" style="9" customWidth="1"/>
    <col min="11" max="11" width="54.42578125" style="9" customWidth="1"/>
    <col min="12" max="12" width="17.28515625" style="1" customWidth="1"/>
    <col min="13" max="13" width="18.7109375" style="763" customWidth="1"/>
    <col min="14" max="14" width="35.42578125" style="3" customWidth="1"/>
    <col min="15" max="16384" width="32.140625" style="3"/>
  </cols>
  <sheetData>
    <row r="1" spans="1:26" ht="58.5" customHeight="1">
      <c r="B1" s="10"/>
      <c r="C1" s="3710"/>
      <c r="D1" s="3710"/>
      <c r="E1" s="3710"/>
      <c r="F1" s="3710"/>
      <c r="G1" s="3710"/>
      <c r="H1" s="3710"/>
      <c r="I1" s="3710"/>
      <c r="J1" s="3710"/>
      <c r="K1" s="3710"/>
      <c r="M1" s="1848"/>
    </row>
    <row r="2" spans="1:26" ht="42" customHeight="1">
      <c r="A2" s="3711" t="s">
        <v>3387</v>
      </c>
      <c r="B2" s="3711"/>
      <c r="C2" s="3711"/>
      <c r="D2" s="3711"/>
      <c r="E2" s="3711"/>
      <c r="F2" s="3711"/>
      <c r="G2" s="3711"/>
      <c r="H2" s="3711"/>
      <c r="I2" s="3711"/>
      <c r="J2" s="3711"/>
      <c r="K2" s="3711"/>
      <c r="L2" s="1959"/>
      <c r="M2" s="1959"/>
      <c r="N2" s="218"/>
      <c r="O2" s="1777"/>
      <c r="P2" s="1777"/>
      <c r="Q2" s="1777"/>
      <c r="R2" s="1777"/>
      <c r="S2" s="1777"/>
      <c r="T2" s="1777"/>
      <c r="U2" s="1777"/>
      <c r="V2" s="1777"/>
      <c r="W2" s="1777"/>
      <c r="X2" s="1777"/>
      <c r="Y2" s="1777"/>
    </row>
    <row r="3" spans="1:26" ht="37.5" customHeight="1">
      <c r="A3" s="3712" t="s">
        <v>3388</v>
      </c>
      <c r="B3" s="3712"/>
      <c r="C3" s="1960">
        <f>SUBTOTAL(9,C5:C572)</f>
        <v>247335</v>
      </c>
      <c r="D3" s="1815"/>
      <c r="E3" s="1961"/>
      <c r="F3" s="1815"/>
      <c r="G3" s="1815"/>
      <c r="H3" s="1815"/>
      <c r="I3" s="1815"/>
      <c r="J3" s="1816">
        <f ca="1">TODAY()</f>
        <v>45960</v>
      </c>
      <c r="K3" s="143"/>
      <c r="L3" s="1816"/>
      <c r="M3" s="1961"/>
      <c r="N3" s="218"/>
      <c r="O3" s="1777"/>
      <c r="P3" s="1777"/>
      <c r="Q3" s="1777"/>
      <c r="R3" s="1777"/>
      <c r="S3" s="1777"/>
      <c r="T3" s="1777"/>
      <c r="U3" s="1777"/>
      <c r="V3" s="1777"/>
      <c r="W3" s="1777"/>
      <c r="X3" s="1777"/>
      <c r="Y3" s="1777"/>
    </row>
    <row r="4" spans="1:26" s="1149" customFormat="1" ht="53.25" customHeight="1">
      <c r="A4" s="1817" t="s">
        <v>1</v>
      </c>
      <c r="B4" s="1818" t="s">
        <v>2</v>
      </c>
      <c r="C4" s="1948" t="s">
        <v>3</v>
      </c>
      <c r="D4" s="1818" t="s">
        <v>3534</v>
      </c>
      <c r="E4" s="1818" t="s">
        <v>5</v>
      </c>
      <c r="F4" s="1818" t="s">
        <v>3535</v>
      </c>
      <c r="G4" s="1818" t="s">
        <v>7</v>
      </c>
      <c r="H4" s="1818" t="s">
        <v>8</v>
      </c>
      <c r="I4" s="1818" t="s">
        <v>9</v>
      </c>
      <c r="J4" s="1818" t="s">
        <v>10</v>
      </c>
      <c r="K4" s="1818" t="s">
        <v>11</v>
      </c>
      <c r="L4" s="1818" t="s">
        <v>12</v>
      </c>
      <c r="M4" s="1949" t="s">
        <v>13</v>
      </c>
      <c r="N4" s="1820" t="e">
        <f>SUM(#REF!)</f>
        <v>#REF!</v>
      </c>
      <c r="Z4" s="1980"/>
    </row>
    <row r="5" spans="1:26" s="1770" customFormat="1" ht="72.75" customHeight="1">
      <c r="A5" s="1971" cm="1">
        <f t="array" ref="A5:A54">_xlfn.SEQUENCE(50,1,1,)</f>
        <v>1</v>
      </c>
      <c r="B5" s="1972" t="s">
        <v>98</v>
      </c>
      <c r="C5" s="1973">
        <v>4350</v>
      </c>
      <c r="D5" s="1972" t="s">
        <v>3737</v>
      </c>
      <c r="E5" s="1972" t="s">
        <v>89</v>
      </c>
      <c r="F5" s="1972" t="s">
        <v>3738</v>
      </c>
      <c r="G5" s="1972" t="s">
        <v>226</v>
      </c>
      <c r="H5" s="1495" t="s">
        <v>19</v>
      </c>
      <c r="I5" s="1495" t="s">
        <v>517</v>
      </c>
      <c r="J5" s="1979" t="s">
        <v>3739</v>
      </c>
      <c r="K5" s="1972"/>
      <c r="L5" s="1972"/>
      <c r="M5" s="1974"/>
      <c r="N5" s="1975"/>
      <c r="Z5" s="1981"/>
    </row>
    <row r="6" spans="1:26" s="1559" customFormat="1" ht="186" customHeight="1">
      <c r="A6" s="1542">
        <v>2</v>
      </c>
      <c r="B6" s="1493" t="s">
        <v>3629</v>
      </c>
      <c r="C6" s="1901">
        <v>24000</v>
      </c>
      <c r="D6" s="1495" t="s">
        <v>3740</v>
      </c>
      <c r="E6" s="1493" t="s">
        <v>3416</v>
      </c>
      <c r="F6" s="1495" t="s">
        <v>3741</v>
      </c>
      <c r="G6" s="1972" t="s">
        <v>226</v>
      </c>
      <c r="H6" s="1495" t="s">
        <v>19</v>
      </c>
      <c r="I6" s="1495" t="s">
        <v>114</v>
      </c>
      <c r="J6" s="1600" t="s">
        <v>3742</v>
      </c>
      <c r="K6" s="1908" t="s">
        <v>3743</v>
      </c>
      <c r="L6" s="1493"/>
      <c r="M6" s="1790"/>
      <c r="N6" s="1548"/>
      <c r="O6" s="1548"/>
      <c r="P6" s="1548"/>
      <c r="Q6" s="1548"/>
      <c r="R6" s="1548"/>
      <c r="S6" s="1548"/>
      <c r="T6" s="1548"/>
      <c r="U6" s="1548"/>
      <c r="V6" s="1548"/>
      <c r="W6" s="1548"/>
      <c r="X6" s="1548"/>
      <c r="Y6" s="1548"/>
      <c r="Z6" s="1747"/>
    </row>
    <row r="7" spans="1:26" s="1559" customFormat="1" ht="66.75" customHeight="1">
      <c r="A7" s="1542">
        <v>3</v>
      </c>
      <c r="B7" s="1493" t="s">
        <v>3744</v>
      </c>
      <c r="C7" s="1901">
        <v>10000</v>
      </c>
      <c r="D7" s="1495" t="s">
        <v>3745</v>
      </c>
      <c r="E7" s="1493" t="s">
        <v>25</v>
      </c>
      <c r="F7" s="1495"/>
      <c r="G7" s="1972" t="s">
        <v>226</v>
      </c>
      <c r="H7" s="1495" t="s">
        <v>3423</v>
      </c>
      <c r="I7" s="1495" t="s">
        <v>178</v>
      </c>
      <c r="J7" s="1496" t="s">
        <v>3746</v>
      </c>
      <c r="K7" s="1547"/>
      <c r="L7" s="1493"/>
      <c r="M7" s="1790"/>
      <c r="N7" s="1964"/>
      <c r="O7" s="1548"/>
      <c r="P7" s="1548"/>
      <c r="Q7" s="1548"/>
      <c r="R7" s="1548"/>
      <c r="S7" s="1548"/>
      <c r="T7" s="1548"/>
      <c r="U7" s="1548"/>
      <c r="V7" s="1548"/>
      <c r="W7" s="1548"/>
      <c r="X7" s="1548"/>
      <c r="Y7" s="1548"/>
      <c r="Z7" s="1747"/>
    </row>
    <row r="8" spans="1:26" s="1548" customFormat="1" ht="123" customHeight="1">
      <c r="A8" s="1542">
        <v>4</v>
      </c>
      <c r="B8" s="1493" t="s">
        <v>211</v>
      </c>
      <c r="C8" s="1901">
        <v>4000</v>
      </c>
      <c r="D8" s="1495" t="s">
        <v>3747</v>
      </c>
      <c r="E8" s="1493" t="s">
        <v>61</v>
      </c>
      <c r="F8" s="1495" t="s">
        <v>3748</v>
      </c>
      <c r="G8" s="1972" t="s">
        <v>226</v>
      </c>
      <c r="H8" s="1495" t="s">
        <v>19</v>
      </c>
      <c r="I8" s="1495" t="s">
        <v>517</v>
      </c>
      <c r="J8" s="1976" t="s">
        <v>3749</v>
      </c>
      <c r="K8" s="1547" t="s">
        <v>3750</v>
      </c>
      <c r="L8" s="1493" t="s">
        <v>3751</v>
      </c>
      <c r="M8" s="1790" t="s">
        <v>3752</v>
      </c>
      <c r="N8" s="1548" t="s">
        <v>3753</v>
      </c>
      <c r="O8" s="1548" t="s">
        <v>3754</v>
      </c>
      <c r="P8" s="1548" t="s">
        <v>3755</v>
      </c>
      <c r="Q8" s="1548" t="s">
        <v>3756</v>
      </c>
      <c r="R8" s="1548" t="s">
        <v>3757</v>
      </c>
      <c r="S8" s="1548" t="s">
        <v>3758</v>
      </c>
      <c r="T8" s="1548" t="s">
        <v>3759</v>
      </c>
      <c r="U8" s="1548" t="s">
        <v>3760</v>
      </c>
      <c r="V8" s="1548" t="s">
        <v>3761</v>
      </c>
      <c r="W8" s="1548" t="s">
        <v>3762</v>
      </c>
      <c r="X8" s="1548" t="s">
        <v>3763</v>
      </c>
      <c r="Y8" s="1548" t="s">
        <v>3764</v>
      </c>
      <c r="Z8" s="1807"/>
    </row>
    <row r="9" spans="1:26" s="1883" customFormat="1" ht="165" customHeight="1">
      <c r="A9" s="1542">
        <v>5</v>
      </c>
      <c r="B9" s="1493" t="s">
        <v>3765</v>
      </c>
      <c r="C9" s="1901">
        <v>13475</v>
      </c>
      <c r="D9" s="1495" t="s">
        <v>3766</v>
      </c>
      <c r="E9" s="1493" t="s">
        <v>25</v>
      </c>
      <c r="F9" s="1495" t="s">
        <v>3767</v>
      </c>
      <c r="G9" s="1972" t="s">
        <v>226</v>
      </c>
      <c r="H9" s="1495" t="s">
        <v>19</v>
      </c>
      <c r="I9" s="1495" t="s">
        <v>3513</v>
      </c>
      <c r="J9" s="1976" t="s">
        <v>3768</v>
      </c>
      <c r="K9" s="1547"/>
      <c r="L9" s="1493"/>
      <c r="M9" s="1790"/>
      <c r="N9" s="1548"/>
      <c r="O9" s="1548"/>
      <c r="P9" s="1548"/>
      <c r="Q9" s="1548"/>
      <c r="R9" s="1548"/>
      <c r="S9" s="1548"/>
      <c r="T9" s="1548"/>
      <c r="U9" s="1548"/>
      <c r="V9" s="1548"/>
      <c r="W9" s="1548"/>
      <c r="X9" s="1548"/>
      <c r="Y9" s="1548"/>
      <c r="Z9" s="1982"/>
    </row>
    <row r="10" spans="1:26" s="1883" customFormat="1" ht="123" customHeight="1">
      <c r="A10" s="1542">
        <v>6</v>
      </c>
      <c r="B10" s="1493" t="s">
        <v>71</v>
      </c>
      <c r="C10" s="1901">
        <v>3600</v>
      </c>
      <c r="D10" s="1495" t="s">
        <v>3766</v>
      </c>
      <c r="E10" s="1493" t="s">
        <v>16</v>
      </c>
      <c r="F10" s="1495" t="s">
        <v>3769</v>
      </c>
      <c r="G10" s="1972" t="s">
        <v>226</v>
      </c>
      <c r="H10" s="1495" t="s">
        <v>19</v>
      </c>
      <c r="I10" s="1495" t="s">
        <v>517</v>
      </c>
      <c r="J10" s="1976" t="s">
        <v>3770</v>
      </c>
      <c r="K10" s="1547">
        <v>45512</v>
      </c>
      <c r="L10" s="1493" t="s">
        <v>3771</v>
      </c>
      <c r="M10" s="1790" t="s">
        <v>3772</v>
      </c>
      <c r="N10" s="1548" t="s">
        <v>3773</v>
      </c>
      <c r="O10" s="1548" t="s">
        <v>3774</v>
      </c>
      <c r="P10" s="1548" t="s">
        <v>3744</v>
      </c>
      <c r="Q10" s="1548"/>
      <c r="R10" s="1548" t="s">
        <v>3775</v>
      </c>
      <c r="S10" s="1548" t="s">
        <v>3776</v>
      </c>
      <c r="T10" s="1548" t="s">
        <v>3777</v>
      </c>
      <c r="U10" s="1548"/>
      <c r="V10" s="1548"/>
      <c r="W10" s="1548"/>
      <c r="X10" s="1548"/>
      <c r="Y10" s="1548" t="s">
        <v>3778</v>
      </c>
      <c r="Z10" s="1982"/>
    </row>
    <row r="11" spans="1:26" s="1977" customFormat="1" ht="77.25" customHeight="1">
      <c r="A11" s="1542">
        <v>7</v>
      </c>
      <c r="B11" s="1493" t="s">
        <v>3573</v>
      </c>
      <c r="C11" s="1901">
        <v>4450</v>
      </c>
      <c r="D11" s="1495" t="s">
        <v>3779</v>
      </c>
      <c r="E11" s="1493" t="s">
        <v>151</v>
      </c>
      <c r="F11" s="1495" t="s">
        <v>3780</v>
      </c>
      <c r="G11" s="1972" t="s">
        <v>226</v>
      </c>
      <c r="H11" s="1495" t="s">
        <v>19</v>
      </c>
      <c r="I11" s="1495" t="s">
        <v>172</v>
      </c>
      <c r="J11" s="1976" t="s">
        <v>3781</v>
      </c>
      <c r="K11" s="1547"/>
      <c r="L11" s="1493"/>
      <c r="M11" s="1790"/>
      <c r="N11" s="1548"/>
      <c r="O11" s="1548"/>
      <c r="P11" s="1548"/>
      <c r="Q11" s="1548"/>
      <c r="R11" s="1548"/>
      <c r="S11" s="1548"/>
      <c r="T11" s="1548"/>
      <c r="U11" s="1548"/>
      <c r="V11" s="1548"/>
      <c r="W11" s="1548"/>
      <c r="X11" s="1548"/>
      <c r="Y11" s="1548"/>
      <c r="Z11" s="1983"/>
    </row>
    <row r="12" spans="1:26" s="1977" customFormat="1" ht="188.25" customHeight="1">
      <c r="A12" s="1542">
        <v>8</v>
      </c>
      <c r="B12" s="1493" t="s">
        <v>131</v>
      </c>
      <c r="C12" s="1901">
        <v>3940</v>
      </c>
      <c r="D12" s="1495" t="s">
        <v>3779</v>
      </c>
      <c r="E12" s="1493" t="s">
        <v>3421</v>
      </c>
      <c r="F12" s="1495" t="s">
        <v>3782</v>
      </c>
      <c r="G12" s="1972" t="s">
        <v>226</v>
      </c>
      <c r="H12" s="1495" t="s">
        <v>3423</v>
      </c>
      <c r="I12" s="1495" t="s">
        <v>3513</v>
      </c>
      <c r="J12" s="1976" t="s">
        <v>3783</v>
      </c>
      <c r="K12" s="1547"/>
      <c r="L12" s="1493"/>
      <c r="M12" s="1790"/>
      <c r="N12" s="1548"/>
      <c r="O12" s="1548"/>
      <c r="P12" s="1548"/>
      <c r="Q12" s="1548"/>
      <c r="R12" s="1548"/>
      <c r="S12" s="1548"/>
      <c r="T12" s="1548"/>
      <c r="U12" s="1548"/>
      <c r="V12" s="1548"/>
      <c r="W12" s="1548"/>
      <c r="X12" s="1548"/>
      <c r="Y12" s="1548"/>
      <c r="Z12" s="1983"/>
    </row>
    <row r="13" spans="1:26" s="1623" customFormat="1" ht="97.5" customHeight="1">
      <c r="A13" s="1542">
        <v>9</v>
      </c>
      <c r="B13" s="1493" t="s">
        <v>47</v>
      </c>
      <c r="C13" s="1901">
        <v>4250</v>
      </c>
      <c r="D13" s="1495" t="s">
        <v>3784</v>
      </c>
      <c r="E13" s="1493" t="s">
        <v>3401</v>
      </c>
      <c r="F13" s="1495" t="s">
        <v>3785</v>
      </c>
      <c r="G13" s="1972" t="s">
        <v>226</v>
      </c>
      <c r="H13" s="1495" t="s">
        <v>19</v>
      </c>
      <c r="I13" s="1495" t="s">
        <v>172</v>
      </c>
      <c r="J13" s="1976" t="s">
        <v>3786</v>
      </c>
      <c r="K13" s="1547"/>
      <c r="L13" s="1493"/>
      <c r="M13" s="1790"/>
      <c r="N13" s="1548"/>
      <c r="O13" s="1548"/>
      <c r="P13" s="1548"/>
      <c r="Q13" s="1548"/>
      <c r="R13" s="1548"/>
      <c r="S13" s="1548"/>
      <c r="T13" s="1548"/>
      <c r="U13" s="1548"/>
      <c r="V13" s="1548"/>
      <c r="W13" s="1548"/>
      <c r="X13" s="1548"/>
      <c r="Y13" s="1548"/>
      <c r="Z13" s="1654"/>
    </row>
    <row r="14" spans="1:26" s="1958" customFormat="1" ht="97.5" customHeight="1">
      <c r="A14" s="1542">
        <v>10</v>
      </c>
      <c r="B14" s="1493" t="s">
        <v>3708</v>
      </c>
      <c r="C14" s="1901">
        <v>6000</v>
      </c>
      <c r="D14" s="1495" t="s">
        <v>3787</v>
      </c>
      <c r="E14" s="1493" t="s">
        <v>3401</v>
      </c>
      <c r="F14" s="1495" t="s">
        <v>3788</v>
      </c>
      <c r="G14" s="1972" t="s">
        <v>226</v>
      </c>
      <c r="H14" s="1495" t="s">
        <v>19</v>
      </c>
      <c r="I14" s="1495" t="s">
        <v>517</v>
      </c>
      <c r="J14" s="1976" t="s">
        <v>3789</v>
      </c>
      <c r="K14" s="1547"/>
      <c r="L14" s="1493"/>
      <c r="M14" s="1790"/>
      <c r="N14" s="1548"/>
      <c r="O14" s="1548"/>
      <c r="P14" s="1548"/>
      <c r="Q14" s="1548"/>
      <c r="R14" s="1548"/>
      <c r="S14" s="1548"/>
      <c r="T14" s="1548"/>
      <c r="U14" s="1548"/>
      <c r="V14" s="1548"/>
      <c r="W14" s="1548"/>
      <c r="X14" s="1548"/>
      <c r="Y14" s="1548"/>
      <c r="Z14" s="1984"/>
    </row>
    <row r="15" spans="1:26" s="1977" customFormat="1" ht="61.5" customHeight="1">
      <c r="A15" s="1542">
        <v>11</v>
      </c>
      <c r="B15" s="1493" t="s">
        <v>82</v>
      </c>
      <c r="C15" s="1901">
        <v>4250</v>
      </c>
      <c r="D15" s="1495" t="s">
        <v>3790</v>
      </c>
      <c r="E15" s="1493" t="s">
        <v>84</v>
      </c>
      <c r="F15" s="1495" t="s">
        <v>3791</v>
      </c>
      <c r="G15" s="1972" t="s">
        <v>226</v>
      </c>
      <c r="H15" s="1495" t="s">
        <v>19</v>
      </c>
      <c r="I15" s="1495" t="s">
        <v>517</v>
      </c>
      <c r="J15" s="1976" t="s">
        <v>3792</v>
      </c>
      <c r="K15" s="1547"/>
      <c r="L15" s="1493"/>
      <c r="M15" s="1790"/>
      <c r="N15" s="1548"/>
      <c r="O15" s="1548"/>
      <c r="P15" s="1548"/>
      <c r="Q15" s="1548"/>
      <c r="R15" s="1548"/>
      <c r="S15" s="1548"/>
      <c r="T15" s="1548"/>
      <c r="U15" s="1548"/>
      <c r="V15" s="1548"/>
      <c r="W15" s="1548"/>
      <c r="X15" s="1548"/>
      <c r="Y15" s="1548"/>
      <c r="Z15" s="1983"/>
    </row>
    <row r="16" spans="1:26" s="1977" customFormat="1" ht="56.25" customHeight="1">
      <c r="A16" s="1542">
        <v>12</v>
      </c>
      <c r="B16" s="1493" t="s">
        <v>3507</v>
      </c>
      <c r="C16" s="1901">
        <v>4300</v>
      </c>
      <c r="D16" s="1495" t="s">
        <v>3793</v>
      </c>
      <c r="E16" s="1493" t="s">
        <v>89</v>
      </c>
      <c r="F16" s="1495" t="s">
        <v>3794</v>
      </c>
      <c r="G16" s="1972" t="s">
        <v>226</v>
      </c>
      <c r="H16" s="1495" t="s">
        <v>19</v>
      </c>
      <c r="I16" s="1495" t="s">
        <v>172</v>
      </c>
      <c r="J16" s="1976" t="s">
        <v>3795</v>
      </c>
      <c r="K16" s="1547"/>
      <c r="L16" s="1493"/>
      <c r="M16" s="1790"/>
      <c r="N16" s="1548"/>
      <c r="O16" s="1548"/>
      <c r="P16" s="1548"/>
      <c r="Q16" s="1548"/>
      <c r="R16" s="1548"/>
      <c r="S16" s="1548"/>
      <c r="T16" s="1548"/>
      <c r="U16" s="1548"/>
      <c r="V16" s="1548"/>
      <c r="W16" s="1548"/>
      <c r="X16" s="1548"/>
      <c r="Y16" s="1548"/>
      <c r="Z16" s="1983"/>
    </row>
    <row r="17" spans="1:26" s="1958" customFormat="1" ht="82.5" customHeight="1">
      <c r="A17" s="1542">
        <v>13</v>
      </c>
      <c r="B17" s="1493" t="s">
        <v>3563</v>
      </c>
      <c r="C17" s="1901">
        <v>3300</v>
      </c>
      <c r="D17" s="1495" t="s">
        <v>3796</v>
      </c>
      <c r="E17" s="1493" t="s">
        <v>89</v>
      </c>
      <c r="F17" s="1495" t="s">
        <v>3797</v>
      </c>
      <c r="G17" s="1972" t="s">
        <v>226</v>
      </c>
      <c r="H17" s="1495" t="s">
        <v>19</v>
      </c>
      <c r="I17" s="1495" t="s">
        <v>172</v>
      </c>
      <c r="J17" s="1976" t="s">
        <v>3798</v>
      </c>
      <c r="K17" s="1547"/>
      <c r="L17" s="1493"/>
      <c r="M17" s="1790"/>
      <c r="N17" s="1548"/>
      <c r="O17" s="1548"/>
      <c r="P17" s="1548"/>
      <c r="Q17" s="1548"/>
      <c r="R17" s="1548"/>
      <c r="S17" s="1548"/>
      <c r="T17" s="1548"/>
      <c r="U17" s="1548"/>
      <c r="V17" s="1548"/>
      <c r="W17" s="1548"/>
      <c r="X17" s="1548"/>
      <c r="Y17" s="1548"/>
      <c r="Z17" s="1984"/>
    </row>
    <row r="18" spans="1:26" s="1945" customFormat="1" ht="234" customHeight="1">
      <c r="A18" s="1542">
        <v>14</v>
      </c>
      <c r="B18" s="1493" t="s">
        <v>3799</v>
      </c>
      <c r="C18" s="1901">
        <v>11610</v>
      </c>
      <c r="D18" s="1495" t="s">
        <v>3800</v>
      </c>
      <c r="E18" s="1495" t="s">
        <v>3095</v>
      </c>
      <c r="F18" s="1495" t="s">
        <v>3801</v>
      </c>
      <c r="G18" s="1972" t="s">
        <v>226</v>
      </c>
      <c r="H18" s="1495" t="s">
        <v>19</v>
      </c>
      <c r="I18" s="1495" t="s">
        <v>3351</v>
      </c>
      <c r="J18" s="1854" t="s">
        <v>3802</v>
      </c>
      <c r="K18" s="1547"/>
      <c r="L18" s="1493"/>
      <c r="M18" s="1790"/>
      <c r="N18" s="1548"/>
      <c r="O18" s="1548"/>
      <c r="P18" s="1548"/>
      <c r="Q18" s="1548"/>
      <c r="R18" s="1548"/>
      <c r="S18" s="1548"/>
      <c r="T18" s="1548"/>
      <c r="U18" s="1548"/>
      <c r="V18" s="1548"/>
      <c r="W18" s="1548"/>
      <c r="X18" s="1548"/>
      <c r="Y18" s="1548"/>
      <c r="Z18" s="1985"/>
    </row>
    <row r="19" spans="1:26" s="1548" customFormat="1" ht="84" customHeight="1">
      <c r="A19" s="1542">
        <v>15</v>
      </c>
      <c r="B19" s="1493" t="s">
        <v>3460</v>
      </c>
      <c r="C19" s="1901">
        <v>4000</v>
      </c>
      <c r="D19" s="1495" t="s">
        <v>3803</v>
      </c>
      <c r="E19" s="1495" t="s">
        <v>61</v>
      </c>
      <c r="F19" s="1495" t="s">
        <v>3804</v>
      </c>
      <c r="G19" s="1972" t="s">
        <v>226</v>
      </c>
      <c r="H19" s="1495" t="s">
        <v>19</v>
      </c>
      <c r="I19" s="1495" t="s">
        <v>172</v>
      </c>
      <c r="J19" s="1854" t="s">
        <v>3805</v>
      </c>
      <c r="K19" s="1547"/>
      <c r="L19" s="1493"/>
      <c r="M19" s="1790"/>
      <c r="Z19" s="1807"/>
    </row>
    <row r="20" spans="1:26" s="1548" customFormat="1" ht="63" customHeight="1">
      <c r="A20" s="1542">
        <v>16</v>
      </c>
      <c r="B20" s="1493" t="s">
        <v>211</v>
      </c>
      <c r="C20" s="1901">
        <v>4000</v>
      </c>
      <c r="D20" s="1495" t="s">
        <v>3803</v>
      </c>
      <c r="E20" s="1495" t="s">
        <v>61</v>
      </c>
      <c r="F20" s="1495" t="s">
        <v>3806</v>
      </c>
      <c r="G20" s="1972" t="s">
        <v>226</v>
      </c>
      <c r="H20" s="1495" t="s">
        <v>19</v>
      </c>
      <c r="I20" s="1495" t="s">
        <v>172</v>
      </c>
      <c r="J20" s="1854" t="s">
        <v>3807</v>
      </c>
      <c r="K20" s="1547"/>
      <c r="L20" s="1493"/>
      <c r="M20" s="1790"/>
      <c r="Z20" s="1807"/>
    </row>
    <row r="21" spans="1:26" s="1559" customFormat="1" ht="60" customHeight="1">
      <c r="A21" s="1542">
        <v>17</v>
      </c>
      <c r="B21" s="1493" t="s">
        <v>117</v>
      </c>
      <c r="C21" s="1901">
        <v>4000</v>
      </c>
      <c r="D21" s="1495" t="s">
        <v>3803</v>
      </c>
      <c r="E21" s="1493" t="s">
        <v>84</v>
      </c>
      <c r="F21" s="1495" t="s">
        <v>3808</v>
      </c>
      <c r="G21" s="1972" t="s">
        <v>226</v>
      </c>
      <c r="H21" s="1495" t="s">
        <v>19</v>
      </c>
      <c r="I21" s="1495" t="s">
        <v>517</v>
      </c>
      <c r="J21" s="1600" t="s">
        <v>3809</v>
      </c>
      <c r="K21" s="1547"/>
      <c r="L21" s="1493"/>
      <c r="M21" s="1790"/>
      <c r="N21" s="1548"/>
      <c r="O21" s="1548"/>
      <c r="P21" s="1548"/>
      <c r="Q21" s="1548"/>
      <c r="R21" s="1548"/>
      <c r="S21" s="1548"/>
      <c r="T21" s="1548"/>
      <c r="U21" s="1548"/>
      <c r="V21" s="1548"/>
      <c r="W21" s="1548"/>
      <c r="X21" s="1548"/>
      <c r="Y21" s="1548"/>
      <c r="Z21" s="1747"/>
    </row>
    <row r="22" spans="1:26" s="1559" customFormat="1" ht="69" customHeight="1">
      <c r="A22" s="1542">
        <v>18</v>
      </c>
      <c r="B22" s="1493" t="s">
        <v>52</v>
      </c>
      <c r="C22" s="1901">
        <v>4620</v>
      </c>
      <c r="D22" s="1495" t="s">
        <v>3810</v>
      </c>
      <c r="E22" s="1493" t="s">
        <v>84</v>
      </c>
      <c r="F22" s="1495" t="s">
        <v>3811</v>
      </c>
      <c r="G22" s="1972" t="s">
        <v>226</v>
      </c>
      <c r="H22" s="1495" t="s">
        <v>19</v>
      </c>
      <c r="I22" s="1495" t="s">
        <v>517</v>
      </c>
      <c r="J22" s="1496" t="s">
        <v>3812</v>
      </c>
      <c r="K22" s="1547"/>
      <c r="L22" s="1493"/>
      <c r="M22" s="1790"/>
      <c r="N22" s="1548"/>
      <c r="O22" s="1548"/>
      <c r="P22" s="1548"/>
      <c r="Q22" s="1548"/>
      <c r="R22" s="1548"/>
      <c r="S22" s="1548"/>
      <c r="T22" s="1548"/>
      <c r="U22" s="1548"/>
      <c r="V22" s="1548"/>
      <c r="W22" s="1548"/>
      <c r="X22" s="1548"/>
      <c r="Y22" s="1548"/>
      <c r="Z22" s="1747"/>
    </row>
    <row r="23" spans="1:26" s="1548" customFormat="1" ht="79.5" customHeight="1">
      <c r="A23" s="1542">
        <v>19</v>
      </c>
      <c r="B23" s="1493" t="s">
        <v>3813</v>
      </c>
      <c r="C23" s="1901">
        <v>15000</v>
      </c>
      <c r="D23" s="1495" t="s">
        <v>3814</v>
      </c>
      <c r="E23" s="1495" t="s">
        <v>3815</v>
      </c>
      <c r="F23" s="1495" t="s">
        <v>3816</v>
      </c>
      <c r="G23" s="1972" t="s">
        <v>226</v>
      </c>
      <c r="H23" s="1495" t="s">
        <v>19</v>
      </c>
      <c r="I23" s="1495" t="s">
        <v>3817</v>
      </c>
      <c r="J23" s="1600" t="s">
        <v>3818</v>
      </c>
      <c r="K23" s="1547"/>
      <c r="L23" s="1493"/>
      <c r="M23" s="1790"/>
      <c r="Z23" s="1807"/>
    </row>
    <row r="24" spans="1:26" s="1977" customFormat="1" ht="105" customHeight="1">
      <c r="A24" s="1542">
        <v>20</v>
      </c>
      <c r="B24" s="1493" t="s">
        <v>3399</v>
      </c>
      <c r="C24" s="1901">
        <v>8000</v>
      </c>
      <c r="D24" s="1495" t="s">
        <v>3819</v>
      </c>
      <c r="E24" s="1495" t="s">
        <v>3401</v>
      </c>
      <c r="F24" s="1495" t="s">
        <v>3820</v>
      </c>
      <c r="G24" s="1972" t="s">
        <v>226</v>
      </c>
      <c r="H24" s="1495" t="s">
        <v>19</v>
      </c>
      <c r="I24" s="1495" t="s">
        <v>172</v>
      </c>
      <c r="J24" s="1600" t="s">
        <v>3821</v>
      </c>
      <c r="K24" s="1547"/>
      <c r="L24" s="1493"/>
      <c r="M24" s="1790"/>
      <c r="N24" s="1548"/>
      <c r="O24" s="1548"/>
      <c r="P24" s="1548"/>
      <c r="Q24" s="1548"/>
      <c r="R24" s="1548"/>
      <c r="S24" s="1548"/>
      <c r="T24" s="1548"/>
      <c r="U24" s="1548"/>
      <c r="V24" s="1548"/>
      <c r="W24" s="1548"/>
      <c r="X24" s="1548"/>
      <c r="Y24" s="1548"/>
      <c r="Z24" s="1983"/>
    </row>
    <row r="25" spans="1:26" s="1945" customFormat="1" ht="74.25" customHeight="1">
      <c r="A25" s="1542">
        <v>21</v>
      </c>
      <c r="B25" s="1493" t="s">
        <v>3822</v>
      </c>
      <c r="C25" s="1901">
        <v>11000</v>
      </c>
      <c r="D25" s="1495" t="s">
        <v>3823</v>
      </c>
      <c r="E25" s="1493" t="s">
        <v>3824</v>
      </c>
      <c r="F25" s="1787" t="s">
        <v>3825</v>
      </c>
      <c r="G25" s="1972" t="s">
        <v>226</v>
      </c>
      <c r="H25" s="1495" t="s">
        <v>19</v>
      </c>
      <c r="I25" s="1495" t="s">
        <v>3351</v>
      </c>
      <c r="J25" s="1600" t="s">
        <v>3826</v>
      </c>
      <c r="K25" s="1547"/>
      <c r="L25" s="1493"/>
      <c r="M25" s="1790"/>
      <c r="N25" s="1548"/>
      <c r="O25" s="1548"/>
      <c r="P25" s="1548"/>
      <c r="Q25" s="1548"/>
      <c r="R25" s="1548"/>
      <c r="S25" s="1548"/>
      <c r="T25" s="1548"/>
      <c r="U25" s="1548"/>
      <c r="V25" s="1548"/>
      <c r="W25" s="1548"/>
      <c r="X25" s="1548"/>
      <c r="Y25" s="1548"/>
      <c r="Z25" s="1985"/>
    </row>
    <row r="26" spans="1:26" s="1548" customFormat="1" ht="261.75" customHeight="1">
      <c r="A26" s="1542">
        <v>22</v>
      </c>
      <c r="B26" s="1493" t="s">
        <v>3827</v>
      </c>
      <c r="C26" s="1901">
        <v>24990</v>
      </c>
      <c r="D26" s="1495" t="s">
        <v>3828</v>
      </c>
      <c r="E26" s="1493" t="s">
        <v>25</v>
      </c>
      <c r="F26" s="1495" t="s">
        <v>3829</v>
      </c>
      <c r="G26" s="1972" t="s">
        <v>226</v>
      </c>
      <c r="H26" s="1495" t="s">
        <v>19</v>
      </c>
      <c r="I26" s="1495" t="s">
        <v>3513</v>
      </c>
      <c r="J26" s="1600" t="s">
        <v>3830</v>
      </c>
      <c r="K26" s="1547" t="s">
        <v>3831</v>
      </c>
      <c r="L26" s="1493"/>
      <c r="M26" s="1790"/>
      <c r="Z26" s="1807"/>
    </row>
    <row r="27" spans="1:26" s="1548" customFormat="1" ht="70.5" customHeight="1">
      <c r="A27" s="1542">
        <v>23</v>
      </c>
      <c r="B27" s="1493" t="s">
        <v>71</v>
      </c>
      <c r="C27" s="1901">
        <v>3750</v>
      </c>
      <c r="D27" s="1495" t="s">
        <v>3832</v>
      </c>
      <c r="E27" s="1493" t="s">
        <v>16</v>
      </c>
      <c r="F27" s="1495" t="s">
        <v>3833</v>
      </c>
      <c r="G27" s="1972" t="s">
        <v>226</v>
      </c>
      <c r="H27" s="1495" t="s">
        <v>19</v>
      </c>
      <c r="I27" s="1495" t="s">
        <v>517</v>
      </c>
      <c r="J27" s="1600" t="s">
        <v>3834</v>
      </c>
      <c r="K27" s="1547"/>
      <c r="L27" s="1493"/>
      <c r="M27" s="1790"/>
      <c r="Z27" s="1807"/>
    </row>
    <row r="28" spans="1:26" s="1548" customFormat="1" ht="111.75" customHeight="1">
      <c r="A28" s="1542">
        <v>24</v>
      </c>
      <c r="B28" s="1495" t="s">
        <v>3835</v>
      </c>
      <c r="C28" s="1494">
        <v>4000</v>
      </c>
      <c r="D28" s="1495" t="s">
        <v>3836</v>
      </c>
      <c r="E28" s="1495" t="s">
        <v>61</v>
      </c>
      <c r="F28" s="1495" t="s">
        <v>3837</v>
      </c>
      <c r="G28" s="1972" t="s">
        <v>226</v>
      </c>
      <c r="H28" s="1495" t="s">
        <v>19</v>
      </c>
      <c r="I28" s="1495" t="s">
        <v>517</v>
      </c>
      <c r="J28" s="1600" t="s">
        <v>3838</v>
      </c>
      <c r="K28" s="1547"/>
      <c r="L28" s="1493"/>
      <c r="M28" s="1790"/>
      <c r="Z28" s="1807"/>
    </row>
    <row r="29" spans="1:26" s="1977" customFormat="1" ht="65.25" customHeight="1">
      <c r="A29" s="1542">
        <v>25</v>
      </c>
      <c r="B29" s="1495" t="s">
        <v>3563</v>
      </c>
      <c r="C29" s="1494">
        <v>3300</v>
      </c>
      <c r="D29" s="1495" t="s">
        <v>3839</v>
      </c>
      <c r="E29" s="1495" t="s">
        <v>89</v>
      </c>
      <c r="F29" s="1495" t="s">
        <v>3840</v>
      </c>
      <c r="G29" s="1972" t="s">
        <v>226</v>
      </c>
      <c r="H29" s="1495" t="s">
        <v>19</v>
      </c>
      <c r="I29" s="1495" t="s">
        <v>101</v>
      </c>
      <c r="J29" s="1600" t="s">
        <v>3841</v>
      </c>
      <c r="K29" s="1547"/>
      <c r="L29" s="1493"/>
      <c r="M29" s="1790"/>
      <c r="N29" s="1548"/>
      <c r="O29" s="1548"/>
      <c r="P29" s="1548"/>
      <c r="Q29" s="1548"/>
      <c r="R29" s="1548"/>
      <c r="S29" s="1548"/>
      <c r="T29" s="1548"/>
      <c r="U29" s="1548"/>
      <c r="V29" s="1548"/>
      <c r="W29" s="1548"/>
      <c r="X29" s="1548"/>
      <c r="Y29" s="1548"/>
      <c r="Z29" s="1983"/>
    </row>
    <row r="30" spans="1:26" s="1945" customFormat="1" ht="162" customHeight="1">
      <c r="A30" s="1542">
        <v>26</v>
      </c>
      <c r="B30" s="1493" t="s">
        <v>3842</v>
      </c>
      <c r="C30" s="1494">
        <v>9800</v>
      </c>
      <c r="D30" s="1495" t="s">
        <v>3819</v>
      </c>
      <c r="E30" s="1493" t="s">
        <v>3421</v>
      </c>
      <c r="F30" s="1495" t="s">
        <v>3843</v>
      </c>
      <c r="G30" s="1972" t="s">
        <v>226</v>
      </c>
      <c r="H30" s="1495" t="s">
        <v>19</v>
      </c>
      <c r="I30" s="1495" t="s">
        <v>3844</v>
      </c>
      <c r="J30" s="1496" t="s">
        <v>3845</v>
      </c>
      <c r="K30" s="1600" t="s">
        <v>3846</v>
      </c>
      <c r="L30" s="1493"/>
      <c r="M30" s="1790"/>
      <c r="N30" s="1548"/>
      <c r="O30" s="1548"/>
      <c r="P30" s="1548"/>
      <c r="Q30" s="1548"/>
      <c r="R30" s="1548"/>
      <c r="S30" s="1548"/>
      <c r="T30" s="1548"/>
      <c r="U30" s="1548"/>
      <c r="V30" s="1548"/>
      <c r="W30" s="1548"/>
      <c r="X30" s="1548"/>
      <c r="Y30" s="1548"/>
      <c r="Z30" s="1985"/>
    </row>
    <row r="31" spans="1:26" s="1945" customFormat="1" ht="62.25" customHeight="1">
      <c r="A31" s="1542">
        <v>27</v>
      </c>
      <c r="B31" s="1493" t="s">
        <v>3619</v>
      </c>
      <c r="C31" s="1494">
        <v>11000</v>
      </c>
      <c r="D31" s="1495" t="s">
        <v>3847</v>
      </c>
      <c r="E31" s="1493" t="s">
        <v>16</v>
      </c>
      <c r="F31" s="1495" t="s">
        <v>3848</v>
      </c>
      <c r="G31" s="1972" t="s">
        <v>226</v>
      </c>
      <c r="H31" s="1495" t="s">
        <v>19</v>
      </c>
      <c r="I31" s="1495" t="s">
        <v>20</v>
      </c>
      <c r="J31" s="1600" t="s">
        <v>3849</v>
      </c>
      <c r="K31" s="1547"/>
      <c r="L31" s="1493"/>
      <c r="M31" s="1790"/>
      <c r="N31" s="1548"/>
      <c r="O31" s="1548"/>
      <c r="P31" s="1548"/>
      <c r="Q31" s="1548"/>
      <c r="R31" s="1548"/>
      <c r="S31" s="1548"/>
      <c r="T31" s="1548"/>
      <c r="U31" s="1548"/>
      <c r="V31" s="1548"/>
      <c r="W31" s="1548"/>
      <c r="X31" s="1548"/>
      <c r="Y31" s="1548"/>
      <c r="Z31" s="1985"/>
    </row>
    <row r="32" spans="1:26" s="1559" customFormat="1" ht="57" customHeight="1">
      <c r="A32" s="1542">
        <v>28</v>
      </c>
      <c r="B32" s="1495" t="s">
        <v>211</v>
      </c>
      <c r="C32" s="1494">
        <v>4000</v>
      </c>
      <c r="D32" s="1495" t="s">
        <v>3850</v>
      </c>
      <c r="E32" s="1493" t="s">
        <v>61</v>
      </c>
      <c r="F32" s="1495" t="s">
        <v>3851</v>
      </c>
      <c r="G32" s="1972" t="s">
        <v>226</v>
      </c>
      <c r="H32" s="1495" t="s">
        <v>19</v>
      </c>
      <c r="I32" s="1495" t="s">
        <v>253</v>
      </c>
      <c r="J32" s="1600" t="s">
        <v>3852</v>
      </c>
      <c r="K32" s="1547"/>
      <c r="L32" s="1493"/>
      <c r="M32" s="1790"/>
      <c r="N32" s="1548"/>
      <c r="O32" s="1548"/>
      <c r="P32" s="1548"/>
      <c r="Q32" s="1548"/>
      <c r="R32" s="1548"/>
      <c r="S32" s="1548"/>
      <c r="T32" s="1548"/>
      <c r="U32" s="1548"/>
      <c r="V32" s="1548"/>
      <c r="W32" s="1548"/>
      <c r="X32" s="1548"/>
      <c r="Y32" s="1548"/>
      <c r="Z32" s="1747"/>
    </row>
    <row r="33" spans="1:26" s="1958" customFormat="1" ht="69.75" customHeight="1">
      <c r="A33" s="1542">
        <v>29</v>
      </c>
      <c r="B33" s="1495" t="s">
        <v>82</v>
      </c>
      <c r="C33" s="1494">
        <v>1300</v>
      </c>
      <c r="D33" s="1495" t="s">
        <v>3853</v>
      </c>
      <c r="E33" s="1493" t="s">
        <v>84</v>
      </c>
      <c r="F33" s="1495" t="s">
        <v>3854</v>
      </c>
      <c r="G33" s="1972" t="s">
        <v>226</v>
      </c>
      <c r="H33" s="1495" t="s">
        <v>19</v>
      </c>
      <c r="I33" s="1495" t="s">
        <v>517</v>
      </c>
      <c r="J33" s="1600" t="s">
        <v>3855</v>
      </c>
      <c r="K33" s="1547"/>
      <c r="L33" s="1493"/>
      <c r="M33" s="1790"/>
      <c r="N33" s="1548"/>
      <c r="O33" s="1548"/>
      <c r="P33" s="1548"/>
      <c r="Q33" s="1548"/>
      <c r="R33" s="1548"/>
      <c r="S33" s="1548"/>
      <c r="T33" s="1548"/>
      <c r="U33" s="1548"/>
      <c r="V33" s="1548"/>
      <c r="W33" s="1548"/>
      <c r="X33" s="1548"/>
      <c r="Y33" s="1548"/>
      <c r="Z33" s="1747"/>
    </row>
    <row r="34" spans="1:26" s="1977" customFormat="1" ht="57" customHeight="1">
      <c r="A34" s="1542">
        <v>30</v>
      </c>
      <c r="B34" s="1495" t="s">
        <v>3856</v>
      </c>
      <c r="C34" s="1494">
        <v>3950</v>
      </c>
      <c r="D34" s="1495" t="s">
        <v>3853</v>
      </c>
      <c r="E34" s="1493" t="s">
        <v>89</v>
      </c>
      <c r="F34" s="1495" t="s">
        <v>3857</v>
      </c>
      <c r="G34" s="1972" t="s">
        <v>226</v>
      </c>
      <c r="H34" s="1495" t="s">
        <v>19</v>
      </c>
      <c r="I34" s="1495" t="s">
        <v>172</v>
      </c>
      <c r="J34" s="1600" t="s">
        <v>3858</v>
      </c>
      <c r="K34" s="1547"/>
      <c r="L34" s="1493"/>
      <c r="M34" s="1790"/>
      <c r="N34" s="1548"/>
      <c r="O34" s="1548"/>
      <c r="P34" s="1548"/>
      <c r="Q34" s="1548"/>
      <c r="R34" s="1548"/>
      <c r="S34" s="1548"/>
      <c r="T34" s="1548"/>
      <c r="U34" s="1548"/>
      <c r="V34" s="1548"/>
      <c r="W34" s="1548"/>
      <c r="X34" s="1548"/>
      <c r="Y34" s="1548"/>
      <c r="Z34" s="1747"/>
    </row>
    <row r="35" spans="1:26" s="1559" customFormat="1" ht="81.75" customHeight="1">
      <c r="A35" s="1542">
        <v>31</v>
      </c>
      <c r="B35" s="1493" t="s">
        <v>3859</v>
      </c>
      <c r="C35" s="1494">
        <v>8000</v>
      </c>
      <c r="D35" s="1495" t="s">
        <v>3850</v>
      </c>
      <c r="E35" s="1493" t="s">
        <v>3421</v>
      </c>
      <c r="F35" s="1495" t="s">
        <v>3860</v>
      </c>
      <c r="G35" s="1972" t="s">
        <v>226</v>
      </c>
      <c r="H35" s="1495" t="s">
        <v>19</v>
      </c>
      <c r="I35" s="1495" t="s">
        <v>3844</v>
      </c>
      <c r="J35" s="1600" t="s">
        <v>3861</v>
      </c>
      <c r="K35" s="1547" t="s">
        <v>3862</v>
      </c>
      <c r="L35" s="1493"/>
      <c r="M35" s="1790"/>
      <c r="N35" s="1548"/>
      <c r="O35" s="1548"/>
      <c r="P35" s="1548"/>
      <c r="Q35" s="1548"/>
      <c r="R35" s="1548"/>
      <c r="S35" s="1548"/>
      <c r="T35" s="1548"/>
      <c r="U35" s="1548"/>
      <c r="V35" s="1548"/>
      <c r="W35" s="1548"/>
      <c r="X35" s="1548"/>
      <c r="Y35" s="1548"/>
      <c r="Z35" s="1747"/>
    </row>
    <row r="36" spans="1:26" s="1945" customFormat="1" ht="57" customHeight="1">
      <c r="A36" s="1542">
        <v>32</v>
      </c>
      <c r="B36" s="1495" t="s">
        <v>2921</v>
      </c>
      <c r="C36" s="1494">
        <v>6000</v>
      </c>
      <c r="D36" s="1495" t="s">
        <v>3863</v>
      </c>
      <c r="E36" s="1493" t="s">
        <v>3401</v>
      </c>
      <c r="F36" s="1495" t="s">
        <v>3864</v>
      </c>
      <c r="G36" s="1972" t="s">
        <v>226</v>
      </c>
      <c r="H36" s="1495" t="s">
        <v>19</v>
      </c>
      <c r="I36" s="1495" t="s">
        <v>172</v>
      </c>
      <c r="J36" s="1600" t="s">
        <v>3865</v>
      </c>
      <c r="K36" s="1547"/>
      <c r="L36" s="1493"/>
      <c r="M36" s="1790"/>
      <c r="N36" s="1548"/>
      <c r="O36" s="1548"/>
      <c r="P36" s="1548"/>
      <c r="Q36" s="1548"/>
      <c r="R36" s="1548"/>
      <c r="S36" s="1548"/>
      <c r="T36" s="1548"/>
      <c r="U36" s="1548"/>
      <c r="V36" s="1548"/>
      <c r="W36" s="1548"/>
      <c r="X36" s="1548"/>
      <c r="Y36" s="1548"/>
      <c r="Z36" s="1985"/>
    </row>
    <row r="37" spans="1:26" s="1548" customFormat="1" ht="64.5" customHeight="1">
      <c r="A37" s="1542">
        <v>33</v>
      </c>
      <c r="B37" s="1493" t="s">
        <v>3507</v>
      </c>
      <c r="C37" s="1494">
        <v>4400</v>
      </c>
      <c r="D37" s="1495" t="s">
        <v>3866</v>
      </c>
      <c r="E37" s="1493" t="s">
        <v>61</v>
      </c>
      <c r="F37" s="1495" t="s">
        <v>3867</v>
      </c>
      <c r="G37" s="1972" t="s">
        <v>226</v>
      </c>
      <c r="H37" s="1495" t="s">
        <v>19</v>
      </c>
      <c r="I37" s="1495" t="s">
        <v>253</v>
      </c>
      <c r="J37" s="1600" t="s">
        <v>3868</v>
      </c>
      <c r="K37" s="1547"/>
      <c r="L37" s="1493"/>
      <c r="M37" s="1790"/>
      <c r="Z37" s="1807"/>
    </row>
    <row r="38" spans="1:26" s="1883" customFormat="1" ht="64.5" customHeight="1">
      <c r="A38" s="1542">
        <v>34</v>
      </c>
      <c r="B38" s="1493" t="s">
        <v>3425</v>
      </c>
      <c r="C38" s="1494">
        <v>3700</v>
      </c>
      <c r="D38" s="1495" t="s">
        <v>3869</v>
      </c>
      <c r="E38" s="1493" t="s">
        <v>89</v>
      </c>
      <c r="F38" s="1495" t="s">
        <v>3870</v>
      </c>
      <c r="G38" s="1495"/>
      <c r="H38" s="1495" t="s">
        <v>19</v>
      </c>
      <c r="I38" s="1495" t="s">
        <v>517</v>
      </c>
      <c r="J38" s="1600" t="s">
        <v>3871</v>
      </c>
      <c r="K38" s="1547"/>
      <c r="L38" s="1493"/>
      <c r="M38" s="1790"/>
      <c r="N38" s="1548"/>
      <c r="O38" s="1548"/>
      <c r="P38" s="1548"/>
      <c r="Q38" s="1548"/>
      <c r="R38" s="1548"/>
      <c r="S38" s="1548"/>
      <c r="T38" s="1548"/>
      <c r="U38" s="1548"/>
      <c r="V38" s="1548"/>
      <c r="W38" s="1548"/>
      <c r="X38" s="1548"/>
      <c r="Y38" s="1548"/>
      <c r="Z38" s="1982"/>
    </row>
    <row r="39" spans="1:26" s="1548" customFormat="1" ht="141" customHeight="1">
      <c r="A39" s="1542">
        <v>35</v>
      </c>
      <c r="B39" s="1493" t="s">
        <v>2927</v>
      </c>
      <c r="C39" s="1494">
        <v>7000</v>
      </c>
      <c r="D39" s="1495" t="s">
        <v>3872</v>
      </c>
      <c r="E39" s="1493" t="s">
        <v>3401</v>
      </c>
      <c r="F39" s="1495" t="s">
        <v>3873</v>
      </c>
      <c r="G39" s="1495"/>
      <c r="H39" s="1495" t="s">
        <v>19</v>
      </c>
      <c r="I39" s="1495" t="s">
        <v>172</v>
      </c>
      <c r="J39" s="1600" t="s">
        <v>3874</v>
      </c>
      <c r="K39" s="1547"/>
      <c r="L39" s="1493"/>
      <c r="M39" s="1790"/>
      <c r="Z39" s="1807"/>
    </row>
    <row r="40" spans="1:26" s="1777" customFormat="1" ht="67.5" customHeight="1">
      <c r="A40" s="738">
        <v>36</v>
      </c>
      <c r="B40" s="102"/>
      <c r="C40" s="1894"/>
      <c r="D40" s="109"/>
      <c r="E40" s="102"/>
      <c r="F40" s="109"/>
      <c r="G40" s="109"/>
      <c r="H40" s="109"/>
      <c r="I40" s="109"/>
      <c r="J40" s="696"/>
      <c r="K40" s="143"/>
      <c r="L40" s="102"/>
      <c r="M40" s="1853"/>
      <c r="Z40" s="1986"/>
    </row>
    <row r="41" spans="1:26" s="1777" customFormat="1" ht="96" customHeight="1">
      <c r="A41" s="738">
        <v>37</v>
      </c>
      <c r="B41" s="102"/>
      <c r="C41" s="1167"/>
      <c r="D41" s="109"/>
      <c r="E41" s="102"/>
      <c r="F41" s="109"/>
      <c r="G41" s="109"/>
      <c r="H41" s="109"/>
      <c r="I41" s="109"/>
      <c r="J41" s="696"/>
      <c r="K41" s="143"/>
      <c r="L41" s="102"/>
      <c r="M41" s="1853"/>
      <c r="Z41" s="1986"/>
    </row>
    <row r="42" spans="1:26" s="1777" customFormat="1" ht="81.75" customHeight="1">
      <c r="A42" s="738">
        <v>38</v>
      </c>
      <c r="B42" s="102"/>
      <c r="C42" s="1167"/>
      <c r="D42" s="109"/>
      <c r="E42" s="102"/>
      <c r="F42" s="109"/>
      <c r="G42" s="109"/>
      <c r="H42" s="109"/>
      <c r="I42" s="109"/>
      <c r="J42" s="696"/>
      <c r="K42" s="143"/>
      <c r="L42" s="102"/>
      <c r="M42" s="1853"/>
      <c r="Z42" s="1986"/>
    </row>
    <row r="43" spans="1:26" s="1777" customFormat="1" ht="81.75" customHeight="1">
      <c r="A43" s="738">
        <v>39</v>
      </c>
      <c r="B43" s="102"/>
      <c r="C43" s="1167"/>
      <c r="D43" s="109"/>
      <c r="E43" s="102"/>
      <c r="F43" s="109"/>
      <c r="G43" s="109"/>
      <c r="H43" s="109"/>
      <c r="I43" s="109"/>
      <c r="J43" s="696"/>
      <c r="K43" s="143"/>
      <c r="L43" s="102"/>
      <c r="M43" s="1853"/>
      <c r="Z43" s="1986"/>
    </row>
    <row r="44" spans="1:26" s="1777" customFormat="1" ht="77.25" customHeight="1">
      <c r="A44" s="102">
        <v>40</v>
      </c>
      <c r="Z44" s="1986"/>
    </row>
    <row r="45" spans="1:26" s="1777" customFormat="1" ht="72" customHeight="1">
      <c r="A45" s="102">
        <v>41</v>
      </c>
      <c r="Z45" s="1986"/>
    </row>
    <row r="46" spans="1:26" ht="58.5" customHeight="1">
      <c r="A46" s="738">
        <v>42</v>
      </c>
      <c r="B46" s="102"/>
      <c r="C46" s="1167"/>
      <c r="D46" s="109"/>
      <c r="E46" s="102"/>
      <c r="F46" s="109"/>
      <c r="G46" s="109"/>
      <c r="H46" s="109"/>
      <c r="I46" s="109"/>
      <c r="J46" s="143"/>
      <c r="K46" s="143"/>
      <c r="L46" s="102"/>
      <c r="M46" s="1853"/>
      <c r="N46" s="1777"/>
      <c r="O46" s="1777"/>
      <c r="P46" s="1777"/>
      <c r="Q46" s="1777"/>
      <c r="R46" s="1777"/>
      <c r="S46" s="1777"/>
      <c r="T46" s="1777"/>
      <c r="U46" s="1777"/>
      <c r="V46" s="1777"/>
      <c r="W46" s="1777"/>
      <c r="X46" s="1777"/>
      <c r="Y46" s="1777"/>
    </row>
    <row r="47" spans="1:26" ht="58.5" customHeight="1">
      <c r="A47" s="738">
        <v>43</v>
      </c>
      <c r="B47" s="102"/>
      <c r="C47" s="1167"/>
      <c r="D47" s="109"/>
      <c r="E47" s="102"/>
      <c r="F47" s="109"/>
      <c r="G47" s="109"/>
      <c r="H47" s="109"/>
      <c r="I47" s="109"/>
      <c r="J47" s="143"/>
      <c r="K47" s="143"/>
      <c r="L47" s="102"/>
      <c r="M47" s="1853"/>
      <c r="N47" s="1777"/>
      <c r="O47" s="1777"/>
      <c r="P47" s="1777"/>
      <c r="Q47" s="1777"/>
      <c r="R47" s="1777"/>
      <c r="S47" s="1777"/>
      <c r="T47" s="1777"/>
      <c r="U47" s="1777"/>
      <c r="V47" s="1777"/>
      <c r="W47" s="1777"/>
      <c r="X47" s="1777"/>
      <c r="Y47" s="1777"/>
    </row>
    <row r="48" spans="1:26" ht="58.5" customHeight="1">
      <c r="A48" s="738">
        <v>44</v>
      </c>
      <c r="B48" s="102"/>
      <c r="C48" s="1167"/>
      <c r="D48" s="109"/>
      <c r="E48" s="102"/>
      <c r="F48" s="109"/>
      <c r="G48" s="109"/>
      <c r="H48" s="109"/>
      <c r="I48" s="109"/>
      <c r="J48" s="143"/>
      <c r="K48" s="143"/>
      <c r="L48" s="102"/>
      <c r="M48" s="1853"/>
      <c r="N48" s="1777"/>
      <c r="O48" s="1777"/>
      <c r="P48" s="1777"/>
      <c r="Q48" s="1777"/>
      <c r="R48" s="1777"/>
      <c r="S48" s="1777"/>
      <c r="T48" s="1777"/>
      <c r="U48" s="1777"/>
      <c r="V48" s="1777"/>
      <c r="W48" s="1777"/>
      <c r="X48" s="1777"/>
      <c r="Y48" s="1777"/>
    </row>
    <row r="49" spans="1:25" ht="58.5" customHeight="1">
      <c r="A49" s="738">
        <v>45</v>
      </c>
      <c r="B49" s="102"/>
      <c r="C49" s="1167"/>
      <c r="D49" s="109"/>
      <c r="E49" s="102"/>
      <c r="F49" s="109"/>
      <c r="G49" s="109"/>
      <c r="H49" s="109"/>
      <c r="I49" s="109"/>
      <c r="J49" s="143"/>
      <c r="K49" s="143"/>
      <c r="L49" s="102"/>
      <c r="M49" s="1853"/>
      <c r="N49" s="1777"/>
      <c r="O49" s="1777"/>
      <c r="P49" s="1777"/>
      <c r="Q49" s="1777"/>
      <c r="R49" s="1777"/>
      <c r="S49" s="1777"/>
      <c r="T49" s="1777"/>
      <c r="U49" s="1777"/>
      <c r="V49" s="1777"/>
      <c r="W49" s="1777"/>
      <c r="X49" s="1777"/>
      <c r="Y49" s="1777"/>
    </row>
    <row r="50" spans="1:25" ht="58.5" customHeight="1">
      <c r="A50" s="738">
        <v>46</v>
      </c>
      <c r="B50" s="102"/>
      <c r="C50" s="1167"/>
      <c r="D50" s="109"/>
      <c r="E50" s="102"/>
      <c r="F50" s="109"/>
      <c r="G50" s="109"/>
      <c r="H50" s="109"/>
      <c r="I50" s="109"/>
      <c r="J50" s="143"/>
      <c r="K50" s="143"/>
      <c r="L50" s="102"/>
      <c r="M50" s="1853"/>
      <c r="N50" s="1777"/>
      <c r="O50" s="1777"/>
      <c r="P50" s="1777"/>
      <c r="Q50" s="1777"/>
      <c r="R50" s="1777"/>
      <c r="S50" s="1777"/>
      <c r="T50" s="1777"/>
      <c r="U50" s="1777"/>
      <c r="V50" s="1777"/>
      <c r="W50" s="1777"/>
      <c r="X50" s="1777"/>
      <c r="Y50" s="1777"/>
    </row>
    <row r="51" spans="1:25" ht="58.5" customHeight="1">
      <c r="A51" s="738">
        <v>47</v>
      </c>
      <c r="B51" s="102"/>
      <c r="C51" s="1167"/>
      <c r="D51" s="109"/>
      <c r="E51" s="102"/>
      <c r="F51" s="109"/>
      <c r="G51" s="109"/>
      <c r="H51" s="109"/>
      <c r="I51" s="109"/>
      <c r="J51" s="143"/>
      <c r="K51" s="143"/>
      <c r="L51" s="102"/>
      <c r="M51" s="1853"/>
      <c r="N51" s="1777"/>
      <c r="O51" s="1777"/>
      <c r="P51" s="1777"/>
      <c r="Q51" s="1777"/>
      <c r="R51" s="1777"/>
      <c r="S51" s="1777"/>
      <c r="T51" s="1777"/>
      <c r="U51" s="1777"/>
      <c r="V51" s="1777"/>
      <c r="W51" s="1777"/>
      <c r="X51" s="1777"/>
      <c r="Y51" s="1777"/>
    </row>
    <row r="52" spans="1:25" ht="58.5" customHeight="1">
      <c r="A52" s="738">
        <v>48</v>
      </c>
      <c r="B52" s="102"/>
      <c r="C52" s="1167"/>
      <c r="D52" s="109"/>
      <c r="E52" s="102"/>
      <c r="F52" s="109"/>
      <c r="G52" s="109"/>
      <c r="H52" s="109"/>
      <c r="I52" s="109"/>
      <c r="J52" s="143"/>
      <c r="K52" s="143"/>
      <c r="L52" s="102"/>
      <c r="M52" s="1853"/>
      <c r="N52" s="1777"/>
      <c r="O52" s="1777"/>
      <c r="P52" s="1777"/>
      <c r="Q52" s="1777"/>
      <c r="R52" s="1777"/>
      <c r="S52" s="1777"/>
      <c r="T52" s="1777"/>
      <c r="U52" s="1777"/>
      <c r="V52" s="1777"/>
      <c r="W52" s="1777"/>
      <c r="X52" s="1777"/>
      <c r="Y52" s="1777"/>
    </row>
    <row r="53" spans="1:25" ht="58.5" customHeight="1">
      <c r="A53" s="738">
        <v>49</v>
      </c>
      <c r="B53" s="102"/>
      <c r="C53" s="1167"/>
      <c r="D53" s="109"/>
      <c r="E53" s="102"/>
      <c r="F53" s="109"/>
      <c r="G53" s="109"/>
      <c r="H53" s="109"/>
      <c r="I53" s="109"/>
      <c r="J53" s="143"/>
      <c r="K53" s="143"/>
      <c r="L53" s="102"/>
      <c r="M53" s="1853"/>
      <c r="N53" s="1777"/>
      <c r="O53" s="1777"/>
      <c r="P53" s="1777"/>
      <c r="Q53" s="1777"/>
      <c r="R53" s="1777"/>
      <c r="S53" s="1777"/>
      <c r="T53" s="1777"/>
      <c r="U53" s="1777"/>
      <c r="V53" s="1777"/>
      <c r="W53" s="1777"/>
      <c r="X53" s="1777"/>
      <c r="Y53" s="1777"/>
    </row>
    <row r="54" spans="1:25" ht="58.5" customHeight="1">
      <c r="A54" s="738">
        <v>50</v>
      </c>
      <c r="B54" s="102"/>
      <c r="C54" s="1167"/>
      <c r="D54" s="109"/>
      <c r="E54" s="102"/>
      <c r="F54" s="109"/>
      <c r="G54" s="109"/>
      <c r="H54" s="109"/>
      <c r="I54" s="109"/>
      <c r="J54" s="143"/>
      <c r="K54" s="143"/>
      <c r="L54" s="102"/>
      <c r="M54" s="1853"/>
      <c r="N54" s="1777"/>
      <c r="O54" s="1777"/>
      <c r="P54" s="1777"/>
      <c r="Q54" s="1777"/>
      <c r="R54" s="1777"/>
      <c r="S54" s="1777"/>
      <c r="T54" s="1777"/>
      <c r="U54" s="1777"/>
      <c r="V54" s="1777"/>
      <c r="W54" s="1777"/>
      <c r="X54" s="1777"/>
      <c r="Y54" s="1777"/>
    </row>
  </sheetData>
  <autoFilter ref="A4:P67" xr:uid="{00000000-0009-0000-0000-000001000000}"/>
  <mergeCells count="3">
    <mergeCell ref="C1:K1"/>
    <mergeCell ref="A2:K2"/>
    <mergeCell ref="A3:B3"/>
  </mergeCells>
  <conditionalFormatting sqref="A1:A3">
    <cfRule type="duplicateValues" dxfId="435" priority="5"/>
  </conditionalFormatting>
  <conditionalFormatting sqref="A4:A5">
    <cfRule type="duplicateValues" dxfId="434" priority="4"/>
  </conditionalFormatting>
  <conditionalFormatting sqref="B4:B5">
    <cfRule type="duplicateValues" dxfId="433" priority="1"/>
    <cfRule type="duplicateValues" dxfId="432" priority="2"/>
    <cfRule type="duplicateValues" dxfId="431" priority="3"/>
  </conditionalFormatting>
  <pageMargins left="0.7" right="0.7" top="0.75" bottom="0.75" header="0.3" footer="0.3"/>
  <pageSetup paperSize="9" scale="40" orientation="landscape"/>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5E3381-C398-459A-89E0-A6DB393CEC25}">
  <sheetPr>
    <tabColor theme="2" tint="-0.249977111117893"/>
    <pageSetUpPr fitToPage="1"/>
  </sheetPr>
  <dimension ref="A1:O61"/>
  <sheetViews>
    <sheetView topLeftCell="A2" zoomScale="70" zoomScaleNormal="70" workbookViewId="0">
      <pane xSplit="3" ySplit="3" topLeftCell="D36" activePane="bottomRight" state="frozen"/>
      <selection pane="topRight" activeCell="E39" sqref="E39"/>
      <selection pane="bottomLeft" activeCell="E39" sqref="E39"/>
      <selection pane="bottomRight" activeCell="E39" sqref="E39"/>
    </sheetView>
  </sheetViews>
  <sheetFormatPr defaultColWidth="32.140625" defaultRowHeight="58.5" customHeight="1"/>
  <cols>
    <col min="1" max="1" width="10.140625" style="359" customWidth="1"/>
    <col min="2" max="2" width="31.42578125" style="1" customWidth="1"/>
    <col min="3" max="3" width="15" style="1138" customWidth="1"/>
    <col min="4" max="4" width="24.28515625" style="271" customWidth="1"/>
    <col min="5" max="5" width="23.42578125" style="1" customWidth="1"/>
    <col min="6" max="6" width="21.7109375" style="271" customWidth="1"/>
    <col min="7" max="7" width="24.28515625" style="271" customWidth="1"/>
    <col min="8" max="8" width="19.42578125" style="271" customWidth="1"/>
    <col min="9" max="9" width="21.85546875" style="271" customWidth="1"/>
    <col min="10" max="10" width="123" style="9" customWidth="1"/>
    <col min="11" max="11" width="47.5703125" style="9" customWidth="1"/>
    <col min="12" max="12" width="17.28515625" style="1" customWidth="1"/>
    <col min="13" max="13" width="18.7109375" style="763" customWidth="1"/>
    <col min="14" max="14" width="35.42578125" style="3" customWidth="1"/>
    <col min="15" max="16384" width="32.140625" style="3"/>
  </cols>
  <sheetData>
    <row r="1" spans="1:14" ht="58.5" customHeight="1">
      <c r="B1" s="10"/>
      <c r="C1" s="3624"/>
      <c r="D1" s="3624"/>
      <c r="E1" s="3624"/>
      <c r="F1" s="3624"/>
      <c r="G1" s="3624"/>
      <c r="H1" s="3624"/>
      <c r="I1" s="3624"/>
      <c r="J1" s="3624"/>
      <c r="K1" s="3624"/>
      <c r="M1" s="1848"/>
    </row>
    <row r="2" spans="1:14" ht="42" customHeight="1">
      <c r="A2" s="3708" t="s">
        <v>3387</v>
      </c>
      <c r="B2" s="3708"/>
      <c r="C2" s="3708"/>
      <c r="D2" s="3708"/>
      <c r="E2" s="3708"/>
      <c r="F2" s="3708"/>
      <c r="G2" s="3708"/>
      <c r="H2" s="3708"/>
      <c r="I2" s="3708"/>
      <c r="J2" s="3708"/>
      <c r="K2" s="3709"/>
      <c r="L2" s="1905"/>
      <c r="M2" s="1905"/>
      <c r="N2" s="287"/>
    </row>
    <row r="3" spans="1:14" ht="37.5" customHeight="1">
      <c r="A3" s="3707" t="s">
        <v>3388</v>
      </c>
      <c r="B3" s="3707"/>
      <c r="C3" s="1950">
        <f>SUM(C5:C157)</f>
        <v>187725</v>
      </c>
      <c r="D3" s="1932"/>
      <c r="E3" s="1951"/>
      <c r="F3" s="1932"/>
      <c r="G3" s="1932"/>
      <c r="H3" s="1932"/>
      <c r="I3" s="1932"/>
      <c r="J3" s="1934">
        <f ca="1">TODAY()</f>
        <v>45960</v>
      </c>
      <c r="K3" s="1622"/>
      <c r="L3" s="1952"/>
      <c r="M3" s="1951"/>
      <c r="N3" s="287"/>
    </row>
    <row r="4" spans="1:14" s="1149" customFormat="1" ht="53.25" customHeight="1">
      <c r="A4" s="1817" t="s">
        <v>1</v>
      </c>
      <c r="B4" s="1818" t="s">
        <v>2</v>
      </c>
      <c r="C4" s="1948" t="s">
        <v>3</v>
      </c>
      <c r="D4" s="1818" t="s">
        <v>3534</v>
      </c>
      <c r="E4" s="1818" t="s">
        <v>5</v>
      </c>
      <c r="F4" s="1818" t="s">
        <v>3535</v>
      </c>
      <c r="G4" s="1818" t="s">
        <v>7</v>
      </c>
      <c r="H4" s="1818" t="s">
        <v>8</v>
      </c>
      <c r="I4" s="1818" t="s">
        <v>9</v>
      </c>
      <c r="J4" s="1818" t="s">
        <v>10</v>
      </c>
      <c r="K4" s="1818" t="s">
        <v>11</v>
      </c>
      <c r="L4" s="1818" t="s">
        <v>12</v>
      </c>
      <c r="M4" s="1949" t="s">
        <v>13</v>
      </c>
      <c r="N4" s="1820" t="e">
        <f>SUM(#REF!)</f>
        <v>#REF!</v>
      </c>
    </row>
    <row r="5" spans="1:14" s="1548" customFormat="1" ht="67.5" customHeight="1">
      <c r="A5" s="1542" cm="1">
        <f t="array" ref="A5:A49">_xlfn.SEQUENCE(45,1,1,)</f>
        <v>1</v>
      </c>
      <c r="B5" s="1493" t="s">
        <v>3715</v>
      </c>
      <c r="C5" s="1901">
        <v>4450</v>
      </c>
      <c r="D5" s="1495" t="s">
        <v>3875</v>
      </c>
      <c r="E5" s="1493" t="s">
        <v>84</v>
      </c>
      <c r="F5" s="1495" t="s">
        <v>3876</v>
      </c>
      <c r="G5" s="1495" t="s">
        <v>226</v>
      </c>
      <c r="H5" s="1495" t="s">
        <v>19</v>
      </c>
      <c r="I5" s="1495" t="s">
        <v>517</v>
      </c>
      <c r="J5" s="1600" t="s">
        <v>3877</v>
      </c>
      <c r="K5" s="1843"/>
      <c r="L5" s="1493"/>
      <c r="M5" s="1790"/>
    </row>
    <row r="6" spans="1:14" s="1548" customFormat="1" ht="57" customHeight="1">
      <c r="A6" s="1542">
        <v>2</v>
      </c>
      <c r="B6" s="1493" t="s">
        <v>71</v>
      </c>
      <c r="C6" s="1901">
        <v>3720</v>
      </c>
      <c r="D6" s="1495" t="s">
        <v>3878</v>
      </c>
      <c r="E6" s="1493" t="s">
        <v>16</v>
      </c>
      <c r="F6" s="1495" t="s">
        <v>3879</v>
      </c>
      <c r="G6" s="1495" t="s">
        <v>226</v>
      </c>
      <c r="H6" s="1495" t="s">
        <v>19</v>
      </c>
      <c r="I6" s="1495" t="s">
        <v>517</v>
      </c>
      <c r="J6" s="1600" t="s">
        <v>3880</v>
      </c>
      <c r="K6" s="1843"/>
      <c r="L6" s="1493"/>
      <c r="M6" s="1790"/>
    </row>
    <row r="7" spans="1:14" s="1548" customFormat="1" ht="63.75" customHeight="1">
      <c r="A7" s="1542">
        <v>3</v>
      </c>
      <c r="B7" s="1493" t="s">
        <v>93</v>
      </c>
      <c r="C7" s="1901">
        <v>2950</v>
      </c>
      <c r="D7" s="1495" t="s">
        <v>3881</v>
      </c>
      <c r="E7" s="1493" t="s">
        <v>84</v>
      </c>
      <c r="F7" s="1495" t="s">
        <v>3879</v>
      </c>
      <c r="G7" s="1495" t="s">
        <v>226</v>
      </c>
      <c r="H7" s="1495" t="s">
        <v>19</v>
      </c>
      <c r="I7" s="1495" t="s">
        <v>253</v>
      </c>
      <c r="J7" s="1496" t="s">
        <v>3882</v>
      </c>
      <c r="K7" s="1843"/>
      <c r="L7" s="1493"/>
      <c r="M7" s="1790"/>
    </row>
    <row r="8" spans="1:14" s="1548" customFormat="1" ht="57" customHeight="1">
      <c r="A8" s="1542">
        <v>4</v>
      </c>
      <c r="B8" s="1493" t="s">
        <v>3460</v>
      </c>
      <c r="C8" s="1901">
        <v>4000</v>
      </c>
      <c r="D8" s="1495" t="s">
        <v>3883</v>
      </c>
      <c r="E8" s="1493" t="s">
        <v>61</v>
      </c>
      <c r="F8" s="1495" t="s">
        <v>3884</v>
      </c>
      <c r="G8" s="1495" t="s">
        <v>226</v>
      </c>
      <c r="H8" s="1495" t="s">
        <v>19</v>
      </c>
      <c r="I8" s="1495" t="s">
        <v>101</v>
      </c>
      <c r="J8" s="1496" t="s">
        <v>3885</v>
      </c>
      <c r="K8" s="1843"/>
      <c r="L8" s="1493"/>
      <c r="M8" s="1790"/>
    </row>
    <row r="9" spans="1:14" s="1958" customFormat="1" ht="72.75" customHeight="1">
      <c r="A9" s="1542">
        <v>5</v>
      </c>
      <c r="B9" s="1493" t="s">
        <v>52</v>
      </c>
      <c r="C9" s="1901">
        <v>4430</v>
      </c>
      <c r="D9" s="1495" t="s">
        <v>3886</v>
      </c>
      <c r="E9" s="1493" t="s">
        <v>84</v>
      </c>
      <c r="F9" s="1495" t="s">
        <v>3887</v>
      </c>
      <c r="G9" s="1495" t="s">
        <v>226</v>
      </c>
      <c r="H9" s="1495" t="s">
        <v>19</v>
      </c>
      <c r="I9" s="1495" t="s">
        <v>517</v>
      </c>
      <c r="J9" s="1496" t="s">
        <v>3888</v>
      </c>
      <c r="K9" s="1843"/>
      <c r="L9" s="1493"/>
      <c r="M9" s="1790"/>
      <c r="N9" s="1548"/>
    </row>
    <row r="10" spans="1:14" ht="65.25" customHeight="1">
      <c r="A10" s="1542">
        <v>6</v>
      </c>
      <c r="B10" s="1493" t="s">
        <v>3429</v>
      </c>
      <c r="C10" s="1901">
        <v>3000</v>
      </c>
      <c r="D10" s="1495" t="s">
        <v>3889</v>
      </c>
      <c r="E10" s="1493" t="s">
        <v>3890</v>
      </c>
      <c r="F10" s="1495" t="s">
        <v>3891</v>
      </c>
      <c r="G10" s="1495" t="s">
        <v>226</v>
      </c>
      <c r="H10" s="1495" t="s">
        <v>19</v>
      </c>
      <c r="I10" s="1495" t="s">
        <v>3892</v>
      </c>
      <c r="J10" s="1496" t="s">
        <v>222</v>
      </c>
      <c r="K10" s="1843"/>
      <c r="L10" s="1493"/>
      <c r="M10" s="1790"/>
      <c r="N10" s="1548"/>
    </row>
    <row r="11" spans="1:14" s="1467" customFormat="1" ht="65.25" customHeight="1">
      <c r="A11" s="1542">
        <v>7</v>
      </c>
      <c r="B11" s="1493" t="s">
        <v>3856</v>
      </c>
      <c r="C11" s="1901">
        <v>4000</v>
      </c>
      <c r="D11" s="1495" t="s">
        <v>3893</v>
      </c>
      <c r="E11" s="1493" t="s">
        <v>54</v>
      </c>
      <c r="F11" s="1495" t="s">
        <v>3894</v>
      </c>
      <c r="G11" s="1495" t="s">
        <v>226</v>
      </c>
      <c r="H11" s="1495" t="s">
        <v>19</v>
      </c>
      <c r="I11" s="1495" t="s">
        <v>517</v>
      </c>
      <c r="J11" s="1605" t="s">
        <v>3895</v>
      </c>
      <c r="K11" s="1860"/>
      <c r="L11" s="1493"/>
      <c r="M11" s="1790"/>
      <c r="N11" s="1548"/>
    </row>
    <row r="12" spans="1:14" s="1548" customFormat="1" ht="60" customHeight="1">
      <c r="A12" s="1542">
        <v>8</v>
      </c>
      <c r="B12" s="1493" t="s">
        <v>3896</v>
      </c>
      <c r="C12" s="1901">
        <v>5100</v>
      </c>
      <c r="D12" s="1495" t="s">
        <v>3897</v>
      </c>
      <c r="E12" s="1493" t="s">
        <v>25</v>
      </c>
      <c r="F12" s="1495" t="s">
        <v>3898</v>
      </c>
      <c r="G12" s="1495" t="s">
        <v>226</v>
      </c>
      <c r="H12" s="1495" t="s">
        <v>3423</v>
      </c>
      <c r="I12" s="1773" t="s">
        <v>3844</v>
      </c>
      <c r="J12" s="1496" t="s">
        <v>3899</v>
      </c>
      <c r="K12" s="1938"/>
      <c r="L12" s="1493"/>
      <c r="M12" s="1790"/>
      <c r="N12" s="1964"/>
    </row>
    <row r="13" spans="1:14" s="432" customFormat="1" ht="153" customHeight="1">
      <c r="A13" s="1542">
        <v>9</v>
      </c>
      <c r="B13" s="1493" t="s">
        <v>3414</v>
      </c>
      <c r="C13" s="1901">
        <v>24000</v>
      </c>
      <c r="D13" s="1495" t="s">
        <v>3900</v>
      </c>
      <c r="E13" s="1493" t="s">
        <v>3416</v>
      </c>
      <c r="F13" s="1495" t="s">
        <v>3901</v>
      </c>
      <c r="G13" s="1495" t="s">
        <v>226</v>
      </c>
      <c r="H13" s="1495" t="s">
        <v>19</v>
      </c>
      <c r="I13" s="1773" t="s">
        <v>172</v>
      </c>
      <c r="J13" s="1496" t="s">
        <v>3902</v>
      </c>
      <c r="K13" s="1938"/>
      <c r="L13" s="1493"/>
      <c r="M13" s="1790"/>
      <c r="N13" s="1964"/>
    </row>
    <row r="14" spans="1:14" s="1467" customFormat="1" ht="95.25" customHeight="1">
      <c r="A14" s="1542">
        <v>10</v>
      </c>
      <c r="B14" s="1493" t="s">
        <v>2915</v>
      </c>
      <c r="C14" s="1901">
        <v>3200</v>
      </c>
      <c r="D14" s="1495" t="s">
        <v>3903</v>
      </c>
      <c r="E14" s="1493" t="s">
        <v>89</v>
      </c>
      <c r="F14" s="1495" t="s">
        <v>3904</v>
      </c>
      <c r="G14" s="1495" t="s">
        <v>226</v>
      </c>
      <c r="H14" s="1495" t="s">
        <v>19</v>
      </c>
      <c r="I14" s="1773" t="s">
        <v>517</v>
      </c>
      <c r="J14" s="1496" t="s">
        <v>3905</v>
      </c>
      <c r="K14" s="1938"/>
      <c r="L14" s="1493"/>
      <c r="M14" s="1790"/>
      <c r="N14" s="1964"/>
    </row>
    <row r="15" spans="1:14" s="1467" customFormat="1" ht="78" customHeight="1">
      <c r="A15" s="1542">
        <v>11</v>
      </c>
      <c r="B15" s="1493" t="s">
        <v>93</v>
      </c>
      <c r="C15" s="1901">
        <v>2950</v>
      </c>
      <c r="D15" s="1495" t="s">
        <v>3893</v>
      </c>
      <c r="E15" s="1493" t="s">
        <v>84</v>
      </c>
      <c r="F15" s="1495" t="s">
        <v>3906</v>
      </c>
      <c r="G15" s="1495" t="s">
        <v>226</v>
      </c>
      <c r="H15" s="1495" t="s">
        <v>19</v>
      </c>
      <c r="I15" s="1773" t="s">
        <v>517</v>
      </c>
      <c r="J15" s="1496" t="s">
        <v>3907</v>
      </c>
      <c r="K15" s="1938"/>
      <c r="L15" s="1493"/>
      <c r="M15" s="1790"/>
      <c r="N15" s="1964"/>
    </row>
    <row r="16" spans="1:14" s="1467" customFormat="1" ht="81" customHeight="1">
      <c r="A16" s="1542">
        <v>12</v>
      </c>
      <c r="B16" s="1493" t="s">
        <v>3908</v>
      </c>
      <c r="C16" s="1901">
        <v>4350</v>
      </c>
      <c r="D16" s="1495" t="s">
        <v>3909</v>
      </c>
      <c r="E16" s="1493" t="s">
        <v>84</v>
      </c>
      <c r="F16" s="1495" t="s">
        <v>3910</v>
      </c>
      <c r="G16" s="1495" t="s">
        <v>226</v>
      </c>
      <c r="H16" s="1495" t="s">
        <v>19</v>
      </c>
      <c r="I16" s="1773" t="s">
        <v>517</v>
      </c>
      <c r="J16" s="1496" t="s">
        <v>3911</v>
      </c>
      <c r="K16" s="1938"/>
      <c r="L16" s="1493"/>
      <c r="M16" s="1790"/>
      <c r="N16" s="1964"/>
    </row>
    <row r="17" spans="1:15" s="432" customFormat="1" ht="86.25" customHeight="1">
      <c r="A17" s="1542">
        <v>13</v>
      </c>
      <c r="B17" s="1493" t="s">
        <v>98</v>
      </c>
      <c r="C17" s="1901">
        <v>4150</v>
      </c>
      <c r="D17" s="1495" t="s">
        <v>3912</v>
      </c>
      <c r="E17" s="1493" t="s">
        <v>89</v>
      </c>
      <c r="F17" s="1495" t="s">
        <v>3913</v>
      </c>
      <c r="G17" s="1495" t="s">
        <v>226</v>
      </c>
      <c r="H17" s="1495" t="s">
        <v>19</v>
      </c>
      <c r="I17" s="1773" t="s">
        <v>172</v>
      </c>
      <c r="J17" s="1496" t="s">
        <v>3914</v>
      </c>
      <c r="K17" s="1938"/>
      <c r="L17" s="1493"/>
      <c r="M17" s="1790"/>
      <c r="N17" s="1964"/>
    </row>
    <row r="18" spans="1:15" ht="69.75" customHeight="1">
      <c r="A18" s="1542">
        <v>14</v>
      </c>
      <c r="B18" s="1493" t="s">
        <v>3469</v>
      </c>
      <c r="C18" s="1901">
        <v>4280</v>
      </c>
      <c r="D18" s="1495" t="s">
        <v>3915</v>
      </c>
      <c r="E18" s="1493" t="s">
        <v>84</v>
      </c>
      <c r="F18" s="1495" t="s">
        <v>3916</v>
      </c>
      <c r="G18" s="1495" t="s">
        <v>226</v>
      </c>
      <c r="H18" s="1495" t="s">
        <v>19</v>
      </c>
      <c r="I18" s="1773" t="s">
        <v>172</v>
      </c>
      <c r="J18" s="1496" t="s">
        <v>3917</v>
      </c>
      <c r="K18" s="1938"/>
      <c r="L18" s="1493"/>
      <c r="M18" s="1790"/>
      <c r="N18" s="1964"/>
    </row>
    <row r="19" spans="1:15" s="432" customFormat="1" ht="63.75" customHeight="1">
      <c r="A19" s="1542">
        <v>15</v>
      </c>
      <c r="B19" s="1493" t="s">
        <v>217</v>
      </c>
      <c r="C19" s="1901">
        <v>4250</v>
      </c>
      <c r="D19" s="1495" t="s">
        <v>3918</v>
      </c>
      <c r="E19" s="1493" t="s">
        <v>3401</v>
      </c>
      <c r="F19" s="1495" t="s">
        <v>3919</v>
      </c>
      <c r="G19" s="1495" t="s">
        <v>226</v>
      </c>
      <c r="H19" s="1495" t="s">
        <v>19</v>
      </c>
      <c r="I19" s="1773" t="s">
        <v>517</v>
      </c>
      <c r="J19" s="1496" t="s">
        <v>3920</v>
      </c>
      <c r="K19" s="1938"/>
      <c r="L19" s="1493"/>
      <c r="M19" s="1790"/>
      <c r="N19" s="1964"/>
    </row>
    <row r="20" spans="1:15" ht="68.25" customHeight="1">
      <c r="A20" s="1542">
        <v>16</v>
      </c>
      <c r="B20" s="1493" t="s">
        <v>211</v>
      </c>
      <c r="C20" s="1901">
        <v>3950</v>
      </c>
      <c r="D20" s="1495" t="s">
        <v>3921</v>
      </c>
      <c r="E20" s="1493" t="s">
        <v>61</v>
      </c>
      <c r="F20" s="1495" t="s">
        <v>3922</v>
      </c>
      <c r="G20" s="1495" t="s">
        <v>226</v>
      </c>
      <c r="H20" s="1495" t="s">
        <v>19</v>
      </c>
      <c r="I20" s="1773" t="s">
        <v>101</v>
      </c>
      <c r="J20" s="1496" t="s">
        <v>3923</v>
      </c>
      <c r="K20" s="1938"/>
      <c r="L20" s="1493"/>
      <c r="M20" s="1790"/>
      <c r="N20" s="1964"/>
    </row>
    <row r="21" spans="1:15" s="1548" customFormat="1" ht="95.25" customHeight="1">
      <c r="A21" s="1542">
        <v>17</v>
      </c>
      <c r="B21" s="1493" t="s">
        <v>3924</v>
      </c>
      <c r="C21" s="1901">
        <v>7250</v>
      </c>
      <c r="D21" s="1495" t="s">
        <v>3925</v>
      </c>
      <c r="E21" s="1493" t="s">
        <v>3401</v>
      </c>
      <c r="F21" s="1748" t="s">
        <v>3926</v>
      </c>
      <c r="G21" s="1495" t="s">
        <v>226</v>
      </c>
      <c r="H21" s="1495" t="s">
        <v>19</v>
      </c>
      <c r="I21" s="1773" t="s">
        <v>517</v>
      </c>
      <c r="J21" s="1496" t="s">
        <v>3927</v>
      </c>
      <c r="K21" s="1938"/>
      <c r="L21" s="1493"/>
      <c r="M21" s="1790"/>
      <c r="N21" s="1964"/>
    </row>
    <row r="22" spans="1:15" s="432" customFormat="1" ht="65.25" customHeight="1">
      <c r="A22" s="1542">
        <v>18</v>
      </c>
      <c r="B22" s="1493" t="s">
        <v>47</v>
      </c>
      <c r="C22" s="1901">
        <v>4250</v>
      </c>
      <c r="D22" s="1495" t="s">
        <v>3928</v>
      </c>
      <c r="E22" s="1493" t="s">
        <v>3401</v>
      </c>
      <c r="F22" s="1748" t="s">
        <v>3929</v>
      </c>
      <c r="G22" s="1495" t="s">
        <v>226</v>
      </c>
      <c r="H22" s="1495" t="s">
        <v>19</v>
      </c>
      <c r="I22" s="1773" t="s">
        <v>172</v>
      </c>
      <c r="J22" s="1496" t="s">
        <v>3930</v>
      </c>
      <c r="K22" s="1938" t="s">
        <v>3931</v>
      </c>
      <c r="L22" s="1493"/>
      <c r="M22" s="1790"/>
      <c r="N22" s="1964"/>
    </row>
    <row r="23" spans="1:15" s="432" customFormat="1" ht="79.5" customHeight="1">
      <c r="A23" s="1542">
        <v>19</v>
      </c>
      <c r="B23" s="1493" t="s">
        <v>117</v>
      </c>
      <c r="C23" s="1901">
        <v>3950</v>
      </c>
      <c r="D23" s="1495" t="s">
        <v>3932</v>
      </c>
      <c r="E23" s="1493" t="s">
        <v>84</v>
      </c>
      <c r="F23" s="1748" t="s">
        <v>3933</v>
      </c>
      <c r="G23" s="1495" t="s">
        <v>226</v>
      </c>
      <c r="H23" s="1495" t="s">
        <v>19</v>
      </c>
      <c r="I23" s="1773" t="s">
        <v>63</v>
      </c>
      <c r="J23" s="1496" t="s">
        <v>3934</v>
      </c>
      <c r="K23" s="1938" t="s">
        <v>3931</v>
      </c>
      <c r="L23" s="1493"/>
      <c r="M23" s="1790"/>
      <c r="N23" s="1964"/>
    </row>
    <row r="24" spans="1:15" s="1777" customFormat="1" ht="71.25" customHeight="1">
      <c r="A24" s="1542">
        <v>20</v>
      </c>
      <c r="B24" s="1493" t="s">
        <v>3391</v>
      </c>
      <c r="C24" s="1901">
        <v>3300</v>
      </c>
      <c r="D24" s="1495" t="s">
        <v>3935</v>
      </c>
      <c r="E24" s="1493" t="s">
        <v>89</v>
      </c>
      <c r="F24" s="1748" t="s">
        <v>3936</v>
      </c>
      <c r="G24" s="1495" t="s">
        <v>226</v>
      </c>
      <c r="H24" s="1495" t="s">
        <v>19</v>
      </c>
      <c r="I24" s="1773" t="s">
        <v>101</v>
      </c>
      <c r="J24" s="1496" t="s">
        <v>3937</v>
      </c>
      <c r="K24" s="1938"/>
      <c r="L24" s="1493"/>
      <c r="M24" s="1790"/>
      <c r="N24" s="1964"/>
    </row>
    <row r="25" spans="1:15" s="1777" customFormat="1" ht="88.5" customHeight="1">
      <c r="A25" s="1542">
        <v>21</v>
      </c>
      <c r="B25" s="1493" t="s">
        <v>3708</v>
      </c>
      <c r="C25" s="1901">
        <v>6000</v>
      </c>
      <c r="D25" s="1495" t="s">
        <v>3938</v>
      </c>
      <c r="E25" s="1493" t="s">
        <v>3401</v>
      </c>
      <c r="F25" s="1748" t="s">
        <v>3939</v>
      </c>
      <c r="G25" s="1495" t="s">
        <v>226</v>
      </c>
      <c r="H25" s="1495" t="s">
        <v>19</v>
      </c>
      <c r="I25" s="1773" t="s">
        <v>172</v>
      </c>
      <c r="J25" s="1496" t="s">
        <v>3940</v>
      </c>
      <c r="K25" s="1938"/>
      <c r="L25" s="1493"/>
      <c r="M25" s="1790"/>
      <c r="N25" s="1964"/>
    </row>
    <row r="26" spans="1:15" ht="86.25" customHeight="1">
      <c r="A26" s="1542">
        <v>22</v>
      </c>
      <c r="B26" s="1493" t="s">
        <v>3573</v>
      </c>
      <c r="C26" s="1901">
        <v>4300</v>
      </c>
      <c r="D26" s="1495" t="s">
        <v>3941</v>
      </c>
      <c r="E26" s="1493" t="s">
        <v>16</v>
      </c>
      <c r="F26" s="1748" t="s">
        <v>3942</v>
      </c>
      <c r="G26" s="1495" t="s">
        <v>226</v>
      </c>
      <c r="H26" s="1495" t="s">
        <v>19</v>
      </c>
      <c r="I26" s="1773" t="s">
        <v>517</v>
      </c>
      <c r="J26" s="1496" t="s">
        <v>3943</v>
      </c>
      <c r="K26" s="1938"/>
      <c r="L26" s="1493"/>
      <c r="M26" s="1790"/>
      <c r="N26" s="1964"/>
    </row>
    <row r="27" spans="1:15" s="1467" customFormat="1" ht="75.75" customHeight="1">
      <c r="A27" s="1542">
        <v>23</v>
      </c>
      <c r="B27" s="1493" t="s">
        <v>71</v>
      </c>
      <c r="C27" s="1901">
        <v>3720</v>
      </c>
      <c r="D27" s="1495" t="s">
        <v>3944</v>
      </c>
      <c r="E27" s="1935" t="s">
        <v>16</v>
      </c>
      <c r="F27" s="1495" t="s">
        <v>3945</v>
      </c>
      <c r="G27" s="1495" t="s">
        <v>226</v>
      </c>
      <c r="H27" s="1495" t="s">
        <v>19</v>
      </c>
      <c r="I27" s="1495" t="s">
        <v>517</v>
      </c>
      <c r="J27" s="1496" t="s">
        <v>3946</v>
      </c>
      <c r="K27" s="1860"/>
      <c r="L27" s="1493"/>
      <c r="M27" s="1790"/>
      <c r="N27" s="1548"/>
    </row>
    <row r="28" spans="1:15" s="1548" customFormat="1" ht="60.75" customHeight="1">
      <c r="A28" s="1542">
        <v>24</v>
      </c>
      <c r="B28" s="1493" t="s">
        <v>3947</v>
      </c>
      <c r="C28" s="1901">
        <v>7000</v>
      </c>
      <c r="D28" s="1495" t="s">
        <v>3948</v>
      </c>
      <c r="E28" s="1493" t="s">
        <v>2260</v>
      </c>
      <c r="F28" s="1495" t="s">
        <v>3949</v>
      </c>
      <c r="G28" s="1495" t="s">
        <v>226</v>
      </c>
      <c r="H28" s="1495" t="s">
        <v>3423</v>
      </c>
      <c r="I28" s="1773" t="s">
        <v>3950</v>
      </c>
      <c r="J28" s="1967" t="s">
        <v>3951</v>
      </c>
      <c r="K28" s="1547"/>
      <c r="L28" s="1941"/>
      <c r="M28" s="1882"/>
      <c r="N28" s="1919"/>
    </row>
    <row r="29" spans="1:15" s="1548" customFormat="1" ht="69.75" customHeight="1">
      <c r="A29" s="1542">
        <v>25</v>
      </c>
      <c r="B29" s="1493" t="s">
        <v>3460</v>
      </c>
      <c r="C29" s="1901">
        <v>4000</v>
      </c>
      <c r="D29" s="1495" t="s">
        <v>3952</v>
      </c>
      <c r="E29" s="1493" t="s">
        <v>61</v>
      </c>
      <c r="F29" s="1495"/>
      <c r="G29" s="1495" t="s">
        <v>226</v>
      </c>
      <c r="H29" s="1495" t="s">
        <v>19</v>
      </c>
      <c r="I29" s="1773" t="s">
        <v>74</v>
      </c>
      <c r="J29" s="1967" t="s">
        <v>3953</v>
      </c>
      <c r="K29" s="1547"/>
      <c r="L29" s="1941"/>
      <c r="M29" s="1968"/>
      <c r="N29" s="1964"/>
      <c r="O29" s="1807"/>
    </row>
    <row r="30" spans="1:15" s="1548" customFormat="1" ht="66.75" customHeight="1">
      <c r="A30" s="1542">
        <v>26</v>
      </c>
      <c r="B30" s="1493" t="s">
        <v>3399</v>
      </c>
      <c r="C30" s="1901">
        <v>8865</v>
      </c>
      <c r="D30" s="1495" t="s">
        <v>3954</v>
      </c>
      <c r="E30" s="1493" t="s">
        <v>3401</v>
      </c>
      <c r="F30" s="1748" t="s">
        <v>3955</v>
      </c>
      <c r="G30" s="1495" t="s">
        <v>226</v>
      </c>
      <c r="H30" s="1495" t="s">
        <v>19</v>
      </c>
      <c r="I30" s="1773" t="s">
        <v>20</v>
      </c>
      <c r="J30" s="1995" t="s">
        <v>3956</v>
      </c>
      <c r="K30" s="1843"/>
      <c r="L30" s="1941"/>
      <c r="M30" s="1968"/>
      <c r="O30" s="1807"/>
    </row>
    <row r="31" spans="1:15" s="1548" customFormat="1" ht="156.75" customHeight="1">
      <c r="A31" s="1542">
        <v>27</v>
      </c>
      <c r="B31" s="1493" t="s">
        <v>3957</v>
      </c>
      <c r="C31" s="1901">
        <v>8350</v>
      </c>
      <c r="D31" s="1495" t="s">
        <v>3958</v>
      </c>
      <c r="E31" s="1493" t="s">
        <v>3401</v>
      </c>
      <c r="F31" s="1493" t="s">
        <v>3959</v>
      </c>
      <c r="G31" s="1495" t="s">
        <v>226</v>
      </c>
      <c r="H31" s="1495" t="s">
        <v>19</v>
      </c>
      <c r="I31" s="1495" t="s">
        <v>517</v>
      </c>
      <c r="J31" s="1496" t="s">
        <v>3960</v>
      </c>
      <c r="K31" s="1843"/>
      <c r="L31" s="1493"/>
      <c r="M31" s="1790"/>
    </row>
    <row r="32" spans="1:15" s="1559" customFormat="1" ht="63.75" customHeight="1">
      <c r="A32" s="1553">
        <v>28</v>
      </c>
      <c r="B32" s="1545" t="s">
        <v>117</v>
      </c>
      <c r="C32" s="1913">
        <v>4000</v>
      </c>
      <c r="D32" s="1543" t="s">
        <v>3958</v>
      </c>
      <c r="E32" s="1545" t="s">
        <v>84</v>
      </c>
      <c r="F32" s="1545"/>
      <c r="G32" s="1495" t="s">
        <v>226</v>
      </c>
      <c r="H32" s="1543" t="s">
        <v>19</v>
      </c>
      <c r="I32" s="1543" t="s">
        <v>517</v>
      </c>
      <c r="J32" s="1546" t="s">
        <v>3961</v>
      </c>
      <c r="K32" s="1860"/>
      <c r="L32" s="1545"/>
      <c r="M32" s="1852"/>
    </row>
    <row r="33" spans="1:15" s="1548" customFormat="1" ht="86.25" customHeight="1">
      <c r="A33" s="1542">
        <v>29</v>
      </c>
      <c r="B33" s="1493" t="s">
        <v>3924</v>
      </c>
      <c r="C33" s="1901">
        <v>7200</v>
      </c>
      <c r="D33" s="1495" t="s">
        <v>3954</v>
      </c>
      <c r="E33" s="1493" t="s">
        <v>3401</v>
      </c>
      <c r="F33" s="1495" t="s">
        <v>3962</v>
      </c>
      <c r="G33" s="1495" t="s">
        <v>226</v>
      </c>
      <c r="H33" s="1495" t="s">
        <v>19</v>
      </c>
      <c r="I33" s="1773" t="s">
        <v>172</v>
      </c>
      <c r="J33" s="1496" t="s">
        <v>3963</v>
      </c>
      <c r="K33" s="1771"/>
      <c r="L33" s="1493"/>
      <c r="M33" s="1790"/>
    </row>
    <row r="34" spans="1:15" s="1945" customFormat="1" ht="91.5" customHeight="1">
      <c r="A34" s="1553">
        <v>30</v>
      </c>
      <c r="B34" s="1545" t="s">
        <v>93</v>
      </c>
      <c r="C34" s="1913">
        <v>2950</v>
      </c>
      <c r="D34" s="1543" t="s">
        <v>3964</v>
      </c>
      <c r="E34" s="1545" t="s">
        <v>84</v>
      </c>
      <c r="F34" s="1543" t="s">
        <v>3965</v>
      </c>
      <c r="G34" s="1543" t="s">
        <v>226</v>
      </c>
      <c r="H34" s="1543" t="s">
        <v>19</v>
      </c>
      <c r="I34" s="1543" t="s">
        <v>517</v>
      </c>
      <c r="J34" s="1546" t="s">
        <v>3966</v>
      </c>
      <c r="K34" s="1936"/>
      <c r="L34" s="1545"/>
      <c r="M34" s="1852"/>
      <c r="N34" s="1559"/>
      <c r="O34" s="1559"/>
    </row>
    <row r="35" spans="1:15" s="1958" customFormat="1" ht="114.75" customHeight="1">
      <c r="A35" s="1553">
        <v>31</v>
      </c>
      <c r="B35" s="1545" t="s">
        <v>3967</v>
      </c>
      <c r="C35" s="1913">
        <v>4850</v>
      </c>
      <c r="D35" s="1543" t="s">
        <v>3968</v>
      </c>
      <c r="E35" s="1545" t="s">
        <v>3095</v>
      </c>
      <c r="F35" s="1543" t="s">
        <v>3969</v>
      </c>
      <c r="G35" s="1543" t="s">
        <v>226</v>
      </c>
      <c r="H35" s="1543" t="s">
        <v>19</v>
      </c>
      <c r="I35" s="1543" t="s">
        <v>3351</v>
      </c>
      <c r="J35" s="1546" t="s">
        <v>3970</v>
      </c>
      <c r="K35" s="1936"/>
      <c r="L35" s="1545"/>
      <c r="M35" s="1852"/>
      <c r="N35" s="1559"/>
      <c r="O35" s="1559"/>
    </row>
    <row r="36" spans="1:15" s="1883" customFormat="1" ht="59.25" customHeight="1">
      <c r="A36" s="1542">
        <v>32</v>
      </c>
      <c r="B36" s="1493" t="s">
        <v>3856</v>
      </c>
      <c r="C36" s="1901">
        <v>3940</v>
      </c>
      <c r="D36" s="1773" t="s">
        <v>3971</v>
      </c>
      <c r="E36" s="1493" t="s">
        <v>89</v>
      </c>
      <c r="F36" s="1568" t="s">
        <v>3972</v>
      </c>
      <c r="G36" s="1543" t="s">
        <v>226</v>
      </c>
      <c r="H36" s="1495" t="s">
        <v>19</v>
      </c>
      <c r="I36" s="1773" t="s">
        <v>172</v>
      </c>
      <c r="J36" s="1546" t="s">
        <v>3973</v>
      </c>
      <c r="K36" s="1771"/>
      <c r="L36" s="1493"/>
      <c r="M36" s="1790"/>
      <c r="N36" s="1548"/>
      <c r="O36" s="1548"/>
    </row>
    <row r="37" spans="1:15" s="1548" customFormat="1" ht="87.75" customHeight="1">
      <c r="A37" s="1542">
        <v>33</v>
      </c>
      <c r="B37" s="1493" t="s">
        <v>3395</v>
      </c>
      <c r="C37" s="1901">
        <v>10230</v>
      </c>
      <c r="D37" s="1495" t="s">
        <v>3974</v>
      </c>
      <c r="E37" s="1630" t="s">
        <v>16</v>
      </c>
      <c r="F37" s="1495" t="s">
        <v>3975</v>
      </c>
      <c r="G37" s="1543" t="s">
        <v>226</v>
      </c>
      <c r="H37" s="1495" t="s">
        <v>19</v>
      </c>
      <c r="I37" s="1773" t="s">
        <v>253</v>
      </c>
      <c r="J37" s="1600" t="s">
        <v>3976</v>
      </c>
      <c r="K37" s="1969"/>
      <c r="L37" s="1941"/>
      <c r="M37" s="1882"/>
      <c r="N37" s="1467"/>
    </row>
    <row r="38" spans="1:15" s="1548" customFormat="1" ht="74.25" customHeight="1">
      <c r="A38" s="1850">
        <v>34</v>
      </c>
      <c r="B38" s="1630" t="s">
        <v>3977</v>
      </c>
      <c r="C38" s="1915">
        <v>3550</v>
      </c>
      <c r="D38" s="1851" t="s">
        <v>3954</v>
      </c>
      <c r="E38" s="1630" t="s">
        <v>61</v>
      </c>
      <c r="F38" s="1875" t="s">
        <v>3978</v>
      </c>
      <c r="G38" s="1543" t="s">
        <v>226</v>
      </c>
      <c r="H38" s="1851" t="s">
        <v>19</v>
      </c>
      <c r="I38" s="1851" t="s">
        <v>517</v>
      </c>
      <c r="J38" s="1988" t="s">
        <v>3979</v>
      </c>
      <c r="K38" s="1938"/>
      <c r="L38" s="1630"/>
      <c r="M38" s="1882"/>
      <c r="N38" s="1883"/>
      <c r="O38" s="1883"/>
    </row>
    <row r="39" spans="1:15" s="1548" customFormat="1" ht="84" customHeight="1">
      <c r="A39" s="1542">
        <v>35</v>
      </c>
      <c r="B39" s="1493" t="s">
        <v>157</v>
      </c>
      <c r="C39" s="1901">
        <v>3240</v>
      </c>
      <c r="D39" s="1495" t="s">
        <v>3980</v>
      </c>
      <c r="E39" s="1935" t="s">
        <v>89</v>
      </c>
      <c r="F39" s="1495" t="s">
        <v>3981</v>
      </c>
      <c r="G39" s="1543" t="s">
        <v>226</v>
      </c>
      <c r="H39" s="1495" t="s">
        <v>19</v>
      </c>
      <c r="I39" s="1773" t="s">
        <v>172</v>
      </c>
      <c r="J39" s="1496" t="s">
        <v>3982</v>
      </c>
      <c r="K39" s="1771"/>
      <c r="L39" s="1493"/>
      <c r="M39" s="1790"/>
    </row>
    <row r="40" spans="1:15" s="1559" customFormat="1" ht="146.25" customHeight="1">
      <c r="A40" s="1553">
        <v>36</v>
      </c>
      <c r="B40" s="1545" t="s">
        <v>3460</v>
      </c>
      <c r="C40" s="1913">
        <v>4000</v>
      </c>
      <c r="D40" s="1899" t="s">
        <v>3983</v>
      </c>
      <c r="E40" s="1493" t="s">
        <v>61</v>
      </c>
      <c r="F40" s="1495" t="s">
        <v>3984</v>
      </c>
      <c r="G40" s="1543" t="s">
        <v>226</v>
      </c>
      <c r="H40" s="1543" t="s">
        <v>19</v>
      </c>
      <c r="I40" s="1543" t="s">
        <v>517</v>
      </c>
      <c r="J40" s="1605" t="s">
        <v>3985</v>
      </c>
      <c r="K40" s="1936"/>
      <c r="L40" s="1545"/>
      <c r="M40" s="1852"/>
    </row>
    <row r="41" spans="1:15" s="1623" customFormat="1" ht="66.75" customHeight="1">
      <c r="A41" s="1344">
        <v>37</v>
      </c>
      <c r="B41" s="144"/>
      <c r="C41" s="1922"/>
      <c r="D41" s="109"/>
      <c r="E41" s="875"/>
      <c r="F41" s="109"/>
      <c r="G41" s="109"/>
      <c r="H41" s="109"/>
      <c r="I41" s="106"/>
      <c r="J41" s="1923" t="s">
        <v>3986</v>
      </c>
      <c r="K41" s="1629"/>
      <c r="L41" s="144"/>
      <c r="M41" s="1924"/>
    </row>
    <row r="42" spans="1:15" s="1623" customFormat="1" ht="60" customHeight="1">
      <c r="A42" s="1344">
        <v>38</v>
      </c>
      <c r="B42" s="144"/>
      <c r="C42" s="1922"/>
      <c r="D42" s="110"/>
      <c r="E42" s="102"/>
      <c r="F42" s="1929"/>
      <c r="G42" s="109"/>
      <c r="H42" s="111"/>
      <c r="I42" s="111"/>
      <c r="J42" s="1923"/>
      <c r="K42" s="1629"/>
      <c r="L42" s="144"/>
      <c r="M42" s="1924"/>
    </row>
    <row r="43" spans="1:15" s="1777" customFormat="1" ht="60" customHeight="1">
      <c r="A43" s="738">
        <v>39</v>
      </c>
      <c r="B43" s="102"/>
      <c r="C43" s="1894"/>
      <c r="D43" s="109"/>
      <c r="E43" s="875"/>
      <c r="F43" s="109"/>
      <c r="G43" s="109"/>
      <c r="H43" s="109"/>
      <c r="I43" s="109"/>
      <c r="J43" s="1996"/>
      <c r="K43" s="143"/>
      <c r="L43" s="102"/>
      <c r="M43" s="1853"/>
    </row>
    <row r="44" spans="1:15" s="1880" customFormat="1" ht="63" customHeight="1">
      <c r="A44" s="874">
        <v>40</v>
      </c>
      <c r="B44" s="112"/>
      <c r="C44" s="1925"/>
      <c r="D44" s="735"/>
      <c r="E44" s="875"/>
      <c r="F44" s="735"/>
      <c r="G44" s="109"/>
      <c r="H44" s="109"/>
      <c r="I44" s="109"/>
      <c r="J44" s="1928"/>
      <c r="K44" s="1927"/>
      <c r="L44" s="112"/>
      <c r="M44" s="1879"/>
    </row>
    <row r="45" spans="1:15" s="1880" customFormat="1" ht="69.75" customHeight="1">
      <c r="A45" s="874">
        <v>41</v>
      </c>
      <c r="B45" s="112"/>
      <c r="C45" s="1925"/>
      <c r="D45" s="735"/>
      <c r="E45" s="875"/>
      <c r="F45" s="735"/>
      <c r="G45" s="109"/>
      <c r="H45" s="109"/>
      <c r="I45" s="109"/>
      <c r="J45" s="1928"/>
      <c r="K45" s="1927"/>
      <c r="L45" s="112"/>
      <c r="M45" s="1879"/>
    </row>
    <row r="46" spans="1:15" s="1880" customFormat="1" ht="67.5" customHeight="1">
      <c r="A46" s="874">
        <v>42</v>
      </c>
      <c r="B46" s="112"/>
      <c r="C46" s="1925"/>
      <c r="D46" s="735"/>
      <c r="E46" s="875"/>
      <c r="F46" s="735"/>
      <c r="G46" s="109"/>
      <c r="H46" s="735"/>
      <c r="I46" s="1926"/>
      <c r="J46" s="1877"/>
      <c r="K46" s="1927"/>
      <c r="L46" s="112"/>
      <c r="M46" s="1879"/>
    </row>
    <row r="47" spans="1:15" s="1777" customFormat="1" ht="63.75" customHeight="1">
      <c r="A47" s="738">
        <v>43</v>
      </c>
      <c r="B47" s="102"/>
      <c r="C47" s="1167"/>
      <c r="D47" s="109"/>
      <c r="E47" s="102"/>
      <c r="F47" s="109"/>
      <c r="G47" s="109"/>
      <c r="H47" s="111"/>
      <c r="I47" s="111"/>
      <c r="J47" s="696"/>
      <c r="K47" s="143"/>
      <c r="L47" s="102"/>
      <c r="M47" s="1853"/>
    </row>
    <row r="48" spans="1:15" s="1777" customFormat="1" ht="81.75" customHeight="1">
      <c r="A48" s="738">
        <v>44</v>
      </c>
      <c r="B48" s="1895"/>
      <c r="C48" s="1167"/>
      <c r="D48" s="109"/>
      <c r="E48" s="102"/>
      <c r="F48" s="109"/>
      <c r="G48" s="109"/>
      <c r="H48" s="111"/>
      <c r="I48" s="109"/>
      <c r="J48" s="696"/>
      <c r="K48" s="143"/>
      <c r="L48" s="102"/>
      <c r="M48" s="1853"/>
    </row>
    <row r="49" spans="1:13" s="1777" customFormat="1" ht="81.75" customHeight="1">
      <c r="A49" s="738">
        <v>45</v>
      </c>
      <c r="B49" s="102"/>
      <c r="C49" s="1894"/>
      <c r="D49" s="109"/>
      <c r="E49" s="102"/>
      <c r="F49" s="109"/>
      <c r="G49" s="109"/>
      <c r="H49" s="109"/>
      <c r="I49" s="109"/>
      <c r="J49" s="696"/>
      <c r="K49" s="143"/>
      <c r="L49" s="102"/>
      <c r="M49" s="1853"/>
    </row>
    <row r="50" spans="1:13" s="1777" customFormat="1" ht="68.25" customHeight="1">
      <c r="A50" s="738"/>
      <c r="B50" s="102"/>
      <c r="C50" s="1167"/>
      <c r="D50" s="109"/>
      <c r="E50" s="102"/>
      <c r="F50" s="109"/>
      <c r="G50" s="109"/>
      <c r="H50" s="109"/>
      <c r="I50" s="109"/>
      <c r="J50" s="696"/>
      <c r="K50" s="143"/>
      <c r="L50" s="102"/>
      <c r="M50" s="1853"/>
    </row>
    <row r="51" spans="1:13" s="1777" customFormat="1" ht="59.25" customHeight="1">
      <c r="A51" s="738"/>
      <c r="B51" s="102"/>
      <c r="C51" s="1167"/>
      <c r="D51" s="109"/>
      <c r="E51" s="102"/>
      <c r="F51" s="109"/>
      <c r="G51" s="109"/>
      <c r="H51" s="109"/>
      <c r="I51" s="109"/>
      <c r="J51" s="670"/>
      <c r="K51" s="143"/>
      <c r="L51" s="102"/>
      <c r="M51" s="1853"/>
    </row>
    <row r="52" spans="1:13" s="1777" customFormat="1" ht="69.75" customHeight="1">
      <c r="A52" s="738"/>
      <c r="B52" s="102"/>
      <c r="C52" s="1167"/>
      <c r="D52" s="109"/>
      <c r="E52" s="102"/>
      <c r="F52" s="109"/>
      <c r="G52" s="109"/>
      <c r="H52" s="109"/>
      <c r="I52" s="109"/>
      <c r="J52" s="696"/>
      <c r="K52" s="143"/>
      <c r="L52" s="102"/>
      <c r="M52" s="1853"/>
    </row>
    <row r="53" spans="1:13" s="1777" customFormat="1" ht="86.25" customHeight="1">
      <c r="A53" s="738"/>
      <c r="B53" s="102"/>
      <c r="C53" s="1167"/>
      <c r="D53" s="109"/>
      <c r="E53" s="102"/>
      <c r="F53" s="109"/>
      <c r="G53" s="109"/>
      <c r="H53" s="109"/>
      <c r="I53" s="109"/>
      <c r="J53" s="696"/>
      <c r="K53" s="143"/>
      <c r="L53" s="102"/>
      <c r="M53" s="1853"/>
    </row>
    <row r="54" spans="1:13" s="1777" customFormat="1" ht="84.75" customHeight="1">
      <c r="A54" s="738"/>
      <c r="B54" s="102"/>
      <c r="C54" s="1167"/>
      <c r="D54" s="109"/>
      <c r="E54" s="102"/>
      <c r="F54" s="109"/>
      <c r="G54" s="109"/>
      <c r="H54" s="109"/>
      <c r="I54" s="109"/>
      <c r="J54" s="696"/>
      <c r="K54" s="143"/>
      <c r="L54" s="102"/>
      <c r="M54" s="1853"/>
    </row>
    <row r="55" spans="1:13" s="1777" customFormat="1" ht="54" customHeight="1">
      <c r="A55" s="738"/>
      <c r="B55" s="102"/>
      <c r="C55" s="1894"/>
      <c r="D55" s="109"/>
      <c r="E55" s="102"/>
      <c r="F55" s="109"/>
      <c r="G55" s="109"/>
      <c r="H55" s="109"/>
      <c r="I55" s="109"/>
      <c r="J55" s="696"/>
      <c r="K55" s="143"/>
      <c r="L55" s="102"/>
      <c r="M55" s="1853"/>
    </row>
    <row r="56" spans="1:13" s="1777" customFormat="1" ht="96" customHeight="1">
      <c r="A56" s="738"/>
      <c r="B56" s="102"/>
      <c r="C56" s="1167"/>
      <c r="D56" s="109"/>
      <c r="E56" s="102"/>
      <c r="F56" s="109"/>
      <c r="G56" s="109"/>
      <c r="H56" s="109"/>
      <c r="I56" s="109"/>
      <c r="J56" s="696"/>
      <c r="K56" s="143"/>
      <c r="L56" s="102"/>
      <c r="M56" s="1853"/>
    </row>
    <row r="57" spans="1:13" s="1777" customFormat="1" ht="81.75" customHeight="1">
      <c r="A57" s="738"/>
      <c r="B57" s="102"/>
      <c r="C57" s="1167"/>
      <c r="D57" s="109"/>
      <c r="E57" s="102"/>
      <c r="F57" s="109"/>
      <c r="G57" s="109"/>
      <c r="H57" s="109"/>
      <c r="I57" s="109"/>
      <c r="J57" s="696"/>
      <c r="K57" s="143"/>
      <c r="L57" s="102"/>
      <c r="M57" s="1853"/>
    </row>
    <row r="58" spans="1:13" s="1777" customFormat="1" ht="81.75" customHeight="1">
      <c r="A58" s="738"/>
      <c r="B58" s="102"/>
      <c r="C58" s="1167"/>
      <c r="D58" s="109"/>
      <c r="E58" s="102"/>
      <c r="F58" s="109"/>
      <c r="G58" s="109"/>
      <c r="H58" s="109"/>
      <c r="I58" s="109"/>
      <c r="J58" s="696"/>
      <c r="K58" s="143"/>
      <c r="L58" s="102"/>
      <c r="M58" s="1853"/>
    </row>
    <row r="59" spans="1:13" s="1777" customFormat="1" ht="77.25" customHeight="1">
      <c r="A59" s="102"/>
    </row>
    <row r="60" spans="1:13" s="1777" customFormat="1" ht="72" customHeight="1">
      <c r="A60" s="102"/>
    </row>
    <row r="61" spans="1:13" s="1777" customFormat="1" ht="76.5" customHeight="1"/>
  </sheetData>
  <autoFilter ref="A4:P73" xr:uid="{00000000-0009-0000-0000-000001000000}"/>
  <mergeCells count="3">
    <mergeCell ref="C1:K1"/>
    <mergeCell ref="A2:K2"/>
    <mergeCell ref="A3:B3"/>
  </mergeCells>
  <conditionalFormatting sqref="A1:A3">
    <cfRule type="duplicateValues" dxfId="430" priority="5"/>
  </conditionalFormatting>
  <conditionalFormatting sqref="A4">
    <cfRule type="duplicateValues" dxfId="429" priority="4"/>
  </conditionalFormatting>
  <conditionalFormatting sqref="B4">
    <cfRule type="duplicateValues" dxfId="428" priority="1"/>
    <cfRule type="duplicateValues" dxfId="427" priority="2"/>
    <cfRule type="duplicateValues" dxfId="426" priority="3"/>
  </conditionalFormatting>
  <pageMargins left="0.7" right="0.7" top="0.75" bottom="0.75" header="0.3" footer="0.3"/>
  <pageSetup paperSize="9" scale="40" orientation="portrait"/>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314EFA-A21D-4D2B-B70B-E37277981909}">
  <sheetPr>
    <tabColor theme="2" tint="-0.499984740745262"/>
    <pageSetUpPr fitToPage="1"/>
  </sheetPr>
  <dimension ref="A1:N54"/>
  <sheetViews>
    <sheetView topLeftCell="A2" zoomScale="70" zoomScaleNormal="70" workbookViewId="0">
      <pane xSplit="3" ySplit="3" topLeftCell="E42" activePane="bottomRight" state="frozen"/>
      <selection pane="topRight" activeCell="E39" sqref="E39"/>
      <selection pane="bottomLeft" activeCell="E39" sqref="E39"/>
      <selection pane="bottomRight" activeCell="E39" sqref="E39"/>
    </sheetView>
  </sheetViews>
  <sheetFormatPr defaultColWidth="9" defaultRowHeight="58.5" customHeight="1"/>
  <cols>
    <col min="1" max="1" width="9" style="359" customWidth="1"/>
    <col min="2" max="2" width="28" style="1" customWidth="1"/>
    <col min="3" max="3" width="15.140625" style="1138" customWidth="1"/>
    <col min="4" max="4" width="21.140625" style="271" customWidth="1"/>
    <col min="5" max="5" width="20.140625" style="1" customWidth="1"/>
    <col min="6" max="6" width="20.5703125" style="271" customWidth="1"/>
    <col min="7" max="7" width="23.28515625" style="271" customWidth="1"/>
    <col min="8" max="8" width="18.28515625" style="271" customWidth="1"/>
    <col min="9" max="9" width="23" style="271" customWidth="1"/>
    <col min="10" max="10" width="167.85546875" style="9" customWidth="1"/>
    <col min="11" max="11" width="68" style="9" customWidth="1"/>
    <col min="12" max="12" width="30" style="1" customWidth="1"/>
    <col min="13" max="13" width="30" style="763" customWidth="1"/>
    <col min="14" max="20" width="30" style="3" customWidth="1"/>
    <col min="21" max="21" width="9" style="3" customWidth="1"/>
    <col min="22" max="16384" width="9" style="3"/>
  </cols>
  <sheetData>
    <row r="1" spans="1:14" ht="58.5" customHeight="1">
      <c r="B1" s="10"/>
      <c r="C1" s="3710"/>
      <c r="D1" s="3710"/>
      <c r="E1" s="3710"/>
      <c r="F1" s="3710"/>
      <c r="G1" s="3710"/>
      <c r="H1" s="3710"/>
      <c r="I1" s="3710"/>
      <c r="J1" s="3710"/>
      <c r="K1" s="3710"/>
      <c r="M1" s="1848"/>
    </row>
    <row r="2" spans="1:14" ht="42" customHeight="1">
      <c r="A2" s="3711" t="s">
        <v>3387</v>
      </c>
      <c r="B2" s="3711"/>
      <c r="C2" s="3711"/>
      <c r="D2" s="3711"/>
      <c r="E2" s="3711"/>
      <c r="F2" s="3711"/>
      <c r="G2" s="3711"/>
      <c r="H2" s="3711"/>
      <c r="I2" s="3711"/>
      <c r="J2" s="3711"/>
      <c r="K2" s="3711"/>
      <c r="L2" s="1959"/>
      <c r="M2" s="1959"/>
      <c r="N2" s="218"/>
    </row>
    <row r="3" spans="1:14" ht="37.5" customHeight="1">
      <c r="A3" s="3712" t="s">
        <v>3388</v>
      </c>
      <c r="B3" s="3712"/>
      <c r="C3" s="1960">
        <f>SUM(C5:C159)</f>
        <v>267570</v>
      </c>
      <c r="D3" s="1815"/>
      <c r="E3" s="1961"/>
      <c r="F3" s="1815"/>
      <c r="G3" s="1815"/>
      <c r="H3" s="1815"/>
      <c r="I3" s="1815"/>
      <c r="J3" s="1816">
        <f ca="1">TODAY()</f>
        <v>45960</v>
      </c>
      <c r="K3" s="143"/>
      <c r="L3" s="1816"/>
      <c r="M3" s="1961"/>
      <c r="N3" s="218"/>
    </row>
    <row r="4" spans="1:14" s="1149" customFormat="1" ht="53.25" customHeight="1">
      <c r="A4" s="1817" t="s">
        <v>1</v>
      </c>
      <c r="B4" s="1818" t="s">
        <v>2</v>
      </c>
      <c r="C4" s="1948" t="s">
        <v>3987</v>
      </c>
      <c r="D4" s="1818" t="s">
        <v>3534</v>
      </c>
      <c r="E4" s="1818" t="s">
        <v>5</v>
      </c>
      <c r="F4" s="1818" t="s">
        <v>3535</v>
      </c>
      <c r="G4" s="1818" t="s">
        <v>7</v>
      </c>
      <c r="H4" s="1818" t="s">
        <v>8</v>
      </c>
      <c r="I4" s="1818" t="s">
        <v>9</v>
      </c>
      <c r="J4" s="1818" t="s">
        <v>10</v>
      </c>
      <c r="K4" s="1818" t="s">
        <v>11</v>
      </c>
      <c r="L4" s="1818" t="s">
        <v>12</v>
      </c>
      <c r="M4" s="1949" t="s">
        <v>13</v>
      </c>
      <c r="N4" s="1820" t="e">
        <f>SUM(#REF!)</f>
        <v>#REF!</v>
      </c>
    </row>
    <row r="5" spans="1:14" s="1883" customFormat="1" ht="88.5" customHeight="1">
      <c r="A5" s="1542" cm="1">
        <f t="array" ref="A5:A54">_xlfn.SEQUENCE(50,1,1,)</f>
        <v>1</v>
      </c>
      <c r="B5" s="1493" t="s">
        <v>71</v>
      </c>
      <c r="C5" s="1901">
        <v>3720</v>
      </c>
      <c r="D5" s="1495" t="s">
        <v>3988</v>
      </c>
      <c r="E5" s="1493" t="s">
        <v>151</v>
      </c>
      <c r="F5" s="1787" t="s">
        <v>3989</v>
      </c>
      <c r="G5" s="1495" t="s">
        <v>3990</v>
      </c>
      <c r="H5" s="1495" t="s">
        <v>19</v>
      </c>
      <c r="I5" s="1495" t="s">
        <v>172</v>
      </c>
      <c r="J5" s="1600" t="s">
        <v>3991</v>
      </c>
      <c r="K5" s="1547"/>
      <c r="L5" s="1493"/>
      <c r="M5" s="1790"/>
      <c r="N5" s="1548"/>
    </row>
    <row r="6" spans="1:14" s="1883" customFormat="1" ht="147.75" customHeight="1">
      <c r="A6" s="1542">
        <v>2</v>
      </c>
      <c r="B6" s="1493" t="s">
        <v>3162</v>
      </c>
      <c r="C6" s="1901">
        <v>10640</v>
      </c>
      <c r="D6" s="1495" t="s">
        <v>3992</v>
      </c>
      <c r="E6" s="1493" t="s">
        <v>25</v>
      </c>
      <c r="F6" s="1495" t="s">
        <v>634</v>
      </c>
      <c r="G6" s="1495" t="s">
        <v>3993</v>
      </c>
      <c r="H6" s="1495" t="s">
        <v>3423</v>
      </c>
      <c r="I6" s="1495" t="s">
        <v>3513</v>
      </c>
      <c r="J6" s="1496" t="s">
        <v>3994</v>
      </c>
      <c r="K6" s="1547"/>
      <c r="L6" s="1493"/>
      <c r="M6" s="1790"/>
      <c r="N6" s="1548"/>
    </row>
    <row r="7" spans="1:14" s="1883" customFormat="1" ht="146.25" customHeight="1">
      <c r="A7" s="1542">
        <v>3</v>
      </c>
      <c r="B7" s="1493" t="s">
        <v>3619</v>
      </c>
      <c r="C7" s="1494">
        <v>11000</v>
      </c>
      <c r="D7" s="1495" t="s">
        <v>3995</v>
      </c>
      <c r="E7" s="1493" t="s">
        <v>3401</v>
      </c>
      <c r="F7" s="1495" t="s">
        <v>3996</v>
      </c>
      <c r="G7" s="1495" t="s">
        <v>3997</v>
      </c>
      <c r="H7" s="1495" t="s">
        <v>19</v>
      </c>
      <c r="I7" s="1495" t="s">
        <v>517</v>
      </c>
      <c r="J7" s="1600" t="s">
        <v>3998</v>
      </c>
      <c r="K7" s="1547"/>
      <c r="L7" s="1493"/>
      <c r="M7" s="1790"/>
      <c r="N7" s="1548"/>
    </row>
    <row r="8" spans="1:14" s="1883" customFormat="1" ht="92.25" customHeight="1">
      <c r="A8" s="1781">
        <v>4</v>
      </c>
      <c r="B8" s="1782" t="s">
        <v>3460</v>
      </c>
      <c r="C8" s="1783">
        <v>4000</v>
      </c>
      <c r="D8" s="1780" t="s">
        <v>3999</v>
      </c>
      <c r="E8" s="1782" t="s">
        <v>61</v>
      </c>
      <c r="F8" s="1780" t="s">
        <v>4000</v>
      </c>
      <c r="G8" s="1780"/>
      <c r="H8" s="1780" t="s">
        <v>19</v>
      </c>
      <c r="I8" s="1780" t="s">
        <v>517</v>
      </c>
      <c r="J8" s="1496" t="s">
        <v>4001</v>
      </c>
      <c r="K8" s="1784"/>
      <c r="L8" s="1782"/>
      <c r="M8" s="1782"/>
      <c r="N8" s="1821"/>
    </row>
    <row r="9" spans="1:14" s="1945" customFormat="1" ht="80.25" customHeight="1">
      <c r="A9" s="1542">
        <v>5</v>
      </c>
      <c r="B9" s="1493" t="s">
        <v>3715</v>
      </c>
      <c r="C9" s="1494">
        <v>4450</v>
      </c>
      <c r="D9" s="1495" t="s">
        <v>4002</v>
      </c>
      <c r="E9" s="1493" t="s">
        <v>84</v>
      </c>
      <c r="F9" s="1495" t="s">
        <v>4003</v>
      </c>
      <c r="G9" s="1495" t="s">
        <v>4004</v>
      </c>
      <c r="H9" s="1495" t="s">
        <v>19</v>
      </c>
      <c r="I9" s="1495" t="s">
        <v>101</v>
      </c>
      <c r="J9" s="1600" t="s">
        <v>4005</v>
      </c>
      <c r="K9" s="1547"/>
      <c r="L9" s="1493"/>
      <c r="M9" s="1790"/>
      <c r="N9" s="1548"/>
    </row>
    <row r="10" spans="1:14" s="1467" customFormat="1" ht="80.25" customHeight="1">
      <c r="A10" s="1542">
        <v>6</v>
      </c>
      <c r="B10" s="1493" t="s">
        <v>3391</v>
      </c>
      <c r="C10" s="1494">
        <v>3300</v>
      </c>
      <c r="D10" s="1624" t="s">
        <v>4006</v>
      </c>
      <c r="E10" s="1493" t="s">
        <v>89</v>
      </c>
      <c r="F10" s="1495" t="s">
        <v>4007</v>
      </c>
      <c r="G10" s="1495"/>
      <c r="H10" s="1495" t="s">
        <v>19</v>
      </c>
      <c r="I10" s="1495" t="s">
        <v>253</v>
      </c>
      <c r="J10" s="1496" t="s">
        <v>4008</v>
      </c>
      <c r="K10" s="1547" t="s">
        <v>4009</v>
      </c>
      <c r="L10" s="1493"/>
      <c r="M10" s="1790"/>
      <c r="N10" s="1548"/>
    </row>
    <row r="11" spans="1:14" s="1467" customFormat="1" ht="93.75" customHeight="1">
      <c r="A11" s="1542">
        <v>7</v>
      </c>
      <c r="B11" s="1493" t="s">
        <v>3856</v>
      </c>
      <c r="C11" s="1901">
        <v>3950</v>
      </c>
      <c r="D11" s="1495" t="s">
        <v>4010</v>
      </c>
      <c r="E11" s="1493" t="s">
        <v>61</v>
      </c>
      <c r="F11" s="1495" t="s">
        <v>4011</v>
      </c>
      <c r="G11" s="1495"/>
      <c r="H11" s="1495" t="s">
        <v>19</v>
      </c>
      <c r="I11" s="1495" t="s">
        <v>172</v>
      </c>
      <c r="J11" s="1600" t="s">
        <v>4012</v>
      </c>
      <c r="K11" s="1843"/>
      <c r="L11" s="1493"/>
      <c r="M11" s="1790"/>
      <c r="N11" s="1548"/>
    </row>
    <row r="12" spans="1:14" s="1467" customFormat="1" ht="76.5" customHeight="1">
      <c r="A12" s="1542">
        <v>8</v>
      </c>
      <c r="B12" s="1493" t="s">
        <v>98</v>
      </c>
      <c r="C12" s="1494">
        <v>3250</v>
      </c>
      <c r="D12" s="1495" t="s">
        <v>4013</v>
      </c>
      <c r="E12" s="1493" t="s">
        <v>89</v>
      </c>
      <c r="F12" s="1495" t="s">
        <v>4014</v>
      </c>
      <c r="G12" s="1495"/>
      <c r="H12" s="1495" t="s">
        <v>19</v>
      </c>
      <c r="I12" s="1495" t="s">
        <v>253</v>
      </c>
      <c r="J12" s="1600" t="s">
        <v>4015</v>
      </c>
      <c r="K12" s="1854" t="s">
        <v>4016</v>
      </c>
      <c r="L12" s="1493"/>
      <c r="M12" s="1790"/>
      <c r="N12" s="1548"/>
    </row>
    <row r="13" spans="1:14" s="1904" customFormat="1" ht="192" customHeight="1">
      <c r="A13" s="1542">
        <v>9</v>
      </c>
      <c r="B13" s="1493" t="s">
        <v>4017</v>
      </c>
      <c r="C13" s="1901">
        <v>11200</v>
      </c>
      <c r="D13" s="1495" t="s">
        <v>4018</v>
      </c>
      <c r="E13" s="1493" t="s">
        <v>25</v>
      </c>
      <c r="F13" s="1495"/>
      <c r="G13" s="1495" t="s">
        <v>4019</v>
      </c>
      <c r="H13" s="1495" t="s">
        <v>3423</v>
      </c>
      <c r="I13" s="1495" t="s">
        <v>3513</v>
      </c>
      <c r="J13" s="1600" t="s">
        <v>4020</v>
      </c>
      <c r="K13" s="1843"/>
      <c r="L13" s="1493"/>
      <c r="M13" s="1790"/>
      <c r="N13" s="1548"/>
    </row>
    <row r="14" spans="1:14" s="1945" customFormat="1" ht="60" customHeight="1">
      <c r="A14" s="1542">
        <v>10</v>
      </c>
      <c r="B14" s="1493" t="s">
        <v>52</v>
      </c>
      <c r="C14" s="1494">
        <v>4650</v>
      </c>
      <c r="D14" s="1495" t="s">
        <v>4021</v>
      </c>
      <c r="E14" s="1493" t="s">
        <v>84</v>
      </c>
      <c r="F14" s="1495" t="s">
        <v>4022</v>
      </c>
      <c r="G14" s="1495" t="s">
        <v>4023</v>
      </c>
      <c r="H14" s="1495" t="s">
        <v>19</v>
      </c>
      <c r="I14" s="1495" t="s">
        <v>253</v>
      </c>
      <c r="J14" s="1600" t="s">
        <v>4024</v>
      </c>
      <c r="K14" s="1547" t="s">
        <v>4025</v>
      </c>
      <c r="L14" s="1493"/>
      <c r="M14" s="1790"/>
      <c r="N14" s="1548"/>
    </row>
    <row r="15" spans="1:14" s="1548" customFormat="1" ht="126" customHeight="1">
      <c r="A15" s="1542">
        <v>11</v>
      </c>
      <c r="B15" s="1493" t="s">
        <v>87</v>
      </c>
      <c r="C15" s="1494">
        <v>3080</v>
      </c>
      <c r="D15" s="1495" t="s">
        <v>4026</v>
      </c>
      <c r="E15" s="1493" t="s">
        <v>89</v>
      </c>
      <c r="F15" s="1495" t="s">
        <v>4027</v>
      </c>
      <c r="G15" s="1495" t="s">
        <v>4028</v>
      </c>
      <c r="H15" s="1495" t="s">
        <v>19</v>
      </c>
      <c r="I15" s="1495" t="s">
        <v>517</v>
      </c>
      <c r="J15" s="1600" t="s">
        <v>4029</v>
      </c>
      <c r="K15" s="1547"/>
      <c r="L15" s="1493"/>
      <c r="M15" s="1790"/>
    </row>
    <row r="16" spans="1:14" s="1883" customFormat="1" ht="78" customHeight="1">
      <c r="A16" s="1542">
        <v>12</v>
      </c>
      <c r="B16" s="1493" t="s">
        <v>4030</v>
      </c>
      <c r="C16" s="1901">
        <v>35000</v>
      </c>
      <c r="D16" s="1495" t="s">
        <v>4026</v>
      </c>
      <c r="E16" s="1493" t="s">
        <v>4031</v>
      </c>
      <c r="F16" s="1495"/>
      <c r="G16" s="1495"/>
      <c r="H16" s="1495" t="s">
        <v>3423</v>
      </c>
      <c r="I16" s="1495" t="s">
        <v>4032</v>
      </c>
      <c r="J16" s="1496" t="s">
        <v>4033</v>
      </c>
      <c r="K16" s="1547"/>
      <c r="L16" s="1493"/>
      <c r="M16" s="1790"/>
      <c r="N16" s="1548"/>
    </row>
    <row r="17" spans="1:14" s="1535" customFormat="1" ht="132" customHeight="1">
      <c r="A17" s="1542">
        <v>13</v>
      </c>
      <c r="B17" s="1493" t="s">
        <v>211</v>
      </c>
      <c r="C17" s="1901">
        <v>3950</v>
      </c>
      <c r="D17" s="1495" t="s">
        <v>4034</v>
      </c>
      <c r="E17" s="1493" t="s">
        <v>61</v>
      </c>
      <c r="F17" s="1495" t="s">
        <v>4035</v>
      </c>
      <c r="G17" s="1495"/>
      <c r="H17" s="1495" t="s">
        <v>19</v>
      </c>
      <c r="I17" s="1495" t="s">
        <v>172</v>
      </c>
      <c r="J17" s="1496" t="s">
        <v>4036</v>
      </c>
      <c r="K17" s="1547" t="s">
        <v>4037</v>
      </c>
      <c r="L17" s="1493"/>
      <c r="M17" s="1790"/>
      <c r="N17" s="1548"/>
    </row>
    <row r="18" spans="1:14" s="1916" customFormat="1" ht="121.5" customHeight="1">
      <c r="A18" s="1542">
        <v>14</v>
      </c>
      <c r="B18" s="1493" t="s">
        <v>4038</v>
      </c>
      <c r="C18" s="1901">
        <v>9600</v>
      </c>
      <c r="D18" s="1624" t="s">
        <v>4039</v>
      </c>
      <c r="E18" s="1493" t="s">
        <v>3095</v>
      </c>
      <c r="F18" s="1495"/>
      <c r="G18" s="1495"/>
      <c r="H18" s="1495" t="s">
        <v>3423</v>
      </c>
      <c r="I18" s="1495" t="s">
        <v>3351</v>
      </c>
      <c r="J18" s="1496" t="s">
        <v>4040</v>
      </c>
      <c r="K18" s="1547"/>
      <c r="L18" s="1493"/>
      <c r="M18" s="1790"/>
      <c r="N18" s="1548"/>
    </row>
    <row r="19" spans="1:14" s="1904" customFormat="1" ht="79.5" customHeight="1">
      <c r="A19" s="1542">
        <v>15</v>
      </c>
      <c r="B19" s="1493" t="s">
        <v>52</v>
      </c>
      <c r="C19" s="1901">
        <v>2700</v>
      </c>
      <c r="D19" s="1624" t="s">
        <v>4041</v>
      </c>
      <c r="E19" s="1493" t="s">
        <v>84</v>
      </c>
      <c r="F19" s="1495" t="s">
        <v>4042</v>
      </c>
      <c r="G19" s="1495"/>
      <c r="H19" s="1495" t="s">
        <v>19</v>
      </c>
      <c r="I19" s="1495" t="s">
        <v>101</v>
      </c>
      <c r="J19" s="1496" t="s">
        <v>4043</v>
      </c>
      <c r="K19" s="1547"/>
      <c r="L19" s="1493"/>
      <c r="M19" s="1790"/>
      <c r="N19" s="1548"/>
    </row>
    <row r="20" spans="1:14" s="1904" customFormat="1" ht="67.5" customHeight="1">
      <c r="A20" s="1542">
        <v>16</v>
      </c>
      <c r="B20" s="1493" t="s">
        <v>4030</v>
      </c>
      <c r="C20" s="1901">
        <v>35000</v>
      </c>
      <c r="D20" s="1495" t="s">
        <v>4034</v>
      </c>
      <c r="E20" s="1493" t="s">
        <v>4031</v>
      </c>
      <c r="F20" s="1495" t="s">
        <v>4044</v>
      </c>
      <c r="G20" s="1495"/>
      <c r="H20" s="1495" t="s">
        <v>19</v>
      </c>
      <c r="I20" s="1495" t="s">
        <v>4045</v>
      </c>
      <c r="J20" s="1496" t="s">
        <v>4046</v>
      </c>
      <c r="K20" s="1547" t="s">
        <v>4047</v>
      </c>
      <c r="L20" s="1493"/>
      <c r="M20" s="1790"/>
      <c r="N20" s="1548"/>
    </row>
    <row r="21" spans="1:14" s="1904" customFormat="1" ht="286.5" customHeight="1">
      <c r="A21" s="1542">
        <v>17</v>
      </c>
      <c r="B21" s="1495" t="s">
        <v>3629</v>
      </c>
      <c r="C21" s="1901">
        <v>15500</v>
      </c>
      <c r="D21" s="1495" t="s">
        <v>4041</v>
      </c>
      <c r="E21" s="1493" t="s">
        <v>3416</v>
      </c>
      <c r="F21" s="1495" t="s">
        <v>4048</v>
      </c>
      <c r="G21" s="1495"/>
      <c r="H21" s="1495" t="s">
        <v>19</v>
      </c>
      <c r="I21" s="1495" t="s">
        <v>517</v>
      </c>
      <c r="J21" s="1496" t="s">
        <v>4049</v>
      </c>
      <c r="K21" s="1547" t="s">
        <v>4050</v>
      </c>
      <c r="L21" s="1493"/>
      <c r="M21" s="1790"/>
      <c r="N21" s="1548"/>
    </row>
    <row r="22" spans="1:14" s="1916" customFormat="1" ht="79.5" customHeight="1">
      <c r="A22" s="1542">
        <v>18</v>
      </c>
      <c r="B22" s="1495" t="s">
        <v>93</v>
      </c>
      <c r="C22" s="1901">
        <v>2950</v>
      </c>
      <c r="D22" s="1495" t="s">
        <v>4051</v>
      </c>
      <c r="E22" s="1493" t="s">
        <v>84</v>
      </c>
      <c r="F22" s="1495" t="s">
        <v>4052</v>
      </c>
      <c r="G22" s="1495"/>
      <c r="H22" s="1495" t="s">
        <v>19</v>
      </c>
      <c r="I22" s="1495" t="s">
        <v>517</v>
      </c>
      <c r="J22" s="1496" t="s">
        <v>4053</v>
      </c>
      <c r="K22" s="1547"/>
      <c r="L22" s="1493"/>
      <c r="M22" s="1790"/>
      <c r="N22" s="1548"/>
    </row>
    <row r="23" spans="1:14" s="1916" customFormat="1" ht="58.5" customHeight="1">
      <c r="A23" s="1542">
        <v>19</v>
      </c>
      <c r="B23" s="1495" t="s">
        <v>71</v>
      </c>
      <c r="C23" s="1901">
        <v>3700</v>
      </c>
      <c r="D23" s="1495" t="s">
        <v>4054</v>
      </c>
      <c r="E23" s="1493" t="s">
        <v>84</v>
      </c>
      <c r="F23" s="1495" t="s">
        <v>4055</v>
      </c>
      <c r="G23" s="1495"/>
      <c r="H23" s="1495" t="s">
        <v>19</v>
      </c>
      <c r="I23" s="1495" t="s">
        <v>199</v>
      </c>
      <c r="J23" s="1496" t="s">
        <v>4056</v>
      </c>
      <c r="K23" s="1547"/>
      <c r="L23" s="1493"/>
      <c r="M23" s="1790"/>
      <c r="N23" s="1548"/>
    </row>
    <row r="24" spans="1:14" s="1904" customFormat="1" ht="73.5" customHeight="1">
      <c r="A24" s="1542">
        <v>20</v>
      </c>
      <c r="B24" s="1493" t="s">
        <v>3507</v>
      </c>
      <c r="C24" s="1901">
        <v>4450</v>
      </c>
      <c r="D24" s="1495" t="s">
        <v>4057</v>
      </c>
      <c r="E24" s="1493" t="s">
        <v>89</v>
      </c>
      <c r="F24" s="1495"/>
      <c r="G24" s="1495" t="s">
        <v>4058</v>
      </c>
      <c r="H24" s="1495" t="s">
        <v>19</v>
      </c>
      <c r="I24" s="1495" t="s">
        <v>63</v>
      </c>
      <c r="J24" s="1600" t="s">
        <v>4059</v>
      </c>
      <c r="K24" s="1547" t="s">
        <v>4050</v>
      </c>
      <c r="L24" s="1493"/>
      <c r="M24" s="1493"/>
      <c r="N24" s="1548"/>
    </row>
    <row r="25" spans="1:14" s="1559" customFormat="1" ht="69" customHeight="1">
      <c r="A25" s="1542">
        <v>21</v>
      </c>
      <c r="B25" s="1493" t="s">
        <v>3469</v>
      </c>
      <c r="C25" s="1901">
        <v>4280</v>
      </c>
      <c r="D25" s="1495" t="s">
        <v>4060</v>
      </c>
      <c r="E25" s="1493" t="s">
        <v>84</v>
      </c>
      <c r="F25" s="1495" t="s">
        <v>4061</v>
      </c>
      <c r="G25" s="1495" t="s">
        <v>4062</v>
      </c>
      <c r="H25" s="1495" t="s">
        <v>19</v>
      </c>
      <c r="I25" s="1495" t="s">
        <v>74</v>
      </c>
      <c r="J25" s="1600" t="s">
        <v>4063</v>
      </c>
      <c r="K25" s="1843"/>
      <c r="L25" s="1493"/>
      <c r="M25" s="1790"/>
      <c r="N25" s="1548"/>
    </row>
    <row r="26" spans="1:14" s="1467" customFormat="1" ht="225" customHeight="1">
      <c r="A26" s="1850">
        <v>22</v>
      </c>
      <c r="B26" s="1630" t="s">
        <v>4064</v>
      </c>
      <c r="C26" s="1915">
        <v>13000</v>
      </c>
      <c r="D26" s="1851" t="s">
        <v>4065</v>
      </c>
      <c r="E26" s="1630" t="s">
        <v>3401</v>
      </c>
      <c r="F26" s="1851" t="s">
        <v>4066</v>
      </c>
      <c r="G26" s="1495" t="s">
        <v>4067</v>
      </c>
      <c r="H26" s="1851" t="s">
        <v>19</v>
      </c>
      <c r="I26" s="1851" t="s">
        <v>517</v>
      </c>
      <c r="J26" s="1628" t="s">
        <v>4068</v>
      </c>
      <c r="K26" s="1962"/>
      <c r="L26" s="1630"/>
      <c r="M26" s="1882"/>
      <c r="N26" s="1883"/>
    </row>
    <row r="27" spans="1:14" s="1904" customFormat="1" ht="80.25" customHeight="1">
      <c r="A27" s="1542">
        <v>23</v>
      </c>
      <c r="B27" s="1493" t="s">
        <v>3856</v>
      </c>
      <c r="C27" s="1901">
        <v>3900</v>
      </c>
      <c r="D27" s="1495" t="s">
        <v>4069</v>
      </c>
      <c r="E27" s="1493" t="s">
        <v>61</v>
      </c>
      <c r="F27" s="1495" t="s">
        <v>4070</v>
      </c>
      <c r="G27" s="1495"/>
      <c r="H27" s="1495" t="s">
        <v>19</v>
      </c>
      <c r="I27" s="1495" t="s">
        <v>172</v>
      </c>
      <c r="J27" s="1600" t="s">
        <v>4071</v>
      </c>
      <c r="K27" s="1496"/>
      <c r="L27" s="1493"/>
      <c r="M27" s="1790"/>
      <c r="N27" s="1548"/>
    </row>
    <row r="28" spans="1:14" s="1904" customFormat="1" ht="80.25" customHeight="1">
      <c r="A28" s="1542">
        <v>24</v>
      </c>
      <c r="B28" s="1493" t="s">
        <v>3395</v>
      </c>
      <c r="C28" s="1901">
        <v>11200</v>
      </c>
      <c r="D28" s="1495" t="s">
        <v>4072</v>
      </c>
      <c r="E28" s="1493" t="s">
        <v>16</v>
      </c>
      <c r="F28" s="1851" t="s">
        <v>4073</v>
      </c>
      <c r="G28" s="1495" t="s">
        <v>4074</v>
      </c>
      <c r="H28" s="1495" t="s">
        <v>19</v>
      </c>
      <c r="I28" s="1495" t="s">
        <v>20</v>
      </c>
      <c r="J28" s="1496" t="s">
        <v>4075</v>
      </c>
      <c r="K28" s="1963" t="s">
        <v>4076</v>
      </c>
      <c r="L28" s="1493"/>
      <c r="M28" s="1790"/>
      <c r="N28" s="1548"/>
    </row>
    <row r="29" spans="1:14" s="1904" customFormat="1" ht="129" customHeight="1">
      <c r="A29" s="1542">
        <v>25</v>
      </c>
      <c r="B29" s="1493" t="s">
        <v>3924</v>
      </c>
      <c r="C29" s="1901">
        <v>7250</v>
      </c>
      <c r="D29" s="1495" t="s">
        <v>4077</v>
      </c>
      <c r="E29" s="1495" t="s">
        <v>3401</v>
      </c>
      <c r="F29" s="1495" t="s">
        <v>4078</v>
      </c>
      <c r="G29" s="1495" t="s">
        <v>4079</v>
      </c>
      <c r="H29" s="1495" t="s">
        <v>19</v>
      </c>
      <c r="I29" s="1495" t="s">
        <v>172</v>
      </c>
      <c r="J29" s="1600" t="s">
        <v>4080</v>
      </c>
      <c r="K29" s="1547"/>
      <c r="L29" s="1493"/>
      <c r="M29" s="1790"/>
      <c r="N29" s="1548"/>
    </row>
    <row r="30" spans="1:14" s="1548" customFormat="1" ht="75" customHeight="1">
      <c r="A30" s="1542">
        <v>26</v>
      </c>
      <c r="B30" s="1493" t="s">
        <v>3425</v>
      </c>
      <c r="C30" s="1901">
        <v>3500</v>
      </c>
      <c r="D30" s="1495" t="s">
        <v>4072</v>
      </c>
      <c r="E30" s="1493" t="s">
        <v>89</v>
      </c>
      <c r="F30" s="1495" t="s">
        <v>4081</v>
      </c>
      <c r="G30" s="1495" t="s">
        <v>4082</v>
      </c>
      <c r="H30" s="1495" t="s">
        <v>19</v>
      </c>
      <c r="I30" s="1495" t="s">
        <v>517</v>
      </c>
      <c r="J30" s="1600" t="s">
        <v>4083</v>
      </c>
      <c r="K30" s="1843" t="s">
        <v>4084</v>
      </c>
      <c r="L30" s="1493"/>
      <c r="M30" s="1790"/>
    </row>
    <row r="31" spans="1:14" s="1548" customFormat="1" ht="77.25" customHeight="1">
      <c r="A31" s="1542">
        <v>27</v>
      </c>
      <c r="B31" s="1493" t="s">
        <v>3460</v>
      </c>
      <c r="C31" s="1901">
        <v>4000</v>
      </c>
      <c r="D31" s="1495" t="s">
        <v>4072</v>
      </c>
      <c r="E31" s="1493" t="s">
        <v>61</v>
      </c>
      <c r="F31" s="1495" t="s">
        <v>4085</v>
      </c>
      <c r="G31" s="1495" t="s">
        <v>4082</v>
      </c>
      <c r="H31" s="1495" t="s">
        <v>19</v>
      </c>
      <c r="I31" s="1495" t="s">
        <v>199</v>
      </c>
      <c r="J31" s="1496" t="s">
        <v>4086</v>
      </c>
      <c r="K31" s="1843"/>
      <c r="L31" s="1493"/>
      <c r="M31" s="1790"/>
    </row>
    <row r="32" spans="1:14" s="1945" customFormat="1" ht="85.5" customHeight="1">
      <c r="A32" s="1542">
        <v>28</v>
      </c>
      <c r="B32" s="1493" t="s">
        <v>211</v>
      </c>
      <c r="C32" s="1901">
        <v>3950</v>
      </c>
      <c r="D32" s="1495" t="s">
        <v>4087</v>
      </c>
      <c r="E32" s="1493" t="s">
        <v>61</v>
      </c>
      <c r="F32" s="1495" t="s">
        <v>4088</v>
      </c>
      <c r="G32" s="1495" t="s">
        <v>4079</v>
      </c>
      <c r="H32" s="1495" t="s">
        <v>19</v>
      </c>
      <c r="I32" s="1495" t="s">
        <v>172</v>
      </c>
      <c r="J32" s="1496" t="s">
        <v>4089</v>
      </c>
      <c r="K32" s="1843"/>
      <c r="L32" s="1493"/>
      <c r="M32" s="1790"/>
      <c r="N32" s="1548"/>
    </row>
    <row r="33" spans="1:14" s="1945" customFormat="1" ht="123.75" customHeight="1">
      <c r="A33" s="1553">
        <v>29</v>
      </c>
      <c r="B33" s="1545" t="s">
        <v>47</v>
      </c>
      <c r="C33" s="1913">
        <v>4250</v>
      </c>
      <c r="D33" s="1495" t="s">
        <v>4090</v>
      </c>
      <c r="E33" s="1545" t="s">
        <v>3401</v>
      </c>
      <c r="F33" s="1495" t="s">
        <v>4091</v>
      </c>
      <c r="G33" s="1495" t="s">
        <v>4092</v>
      </c>
      <c r="H33" s="1543" t="s">
        <v>19</v>
      </c>
      <c r="I33" s="1543" t="s">
        <v>517</v>
      </c>
      <c r="J33" s="1546" t="s">
        <v>4093</v>
      </c>
      <c r="K33" s="1860"/>
      <c r="L33" s="1545"/>
      <c r="M33" s="1852"/>
      <c r="N33" s="1559"/>
    </row>
    <row r="34" spans="1:14" s="1883" customFormat="1" ht="90.75" customHeight="1">
      <c r="A34" s="1542">
        <v>30</v>
      </c>
      <c r="B34" s="1493" t="s">
        <v>82</v>
      </c>
      <c r="C34" s="1901">
        <v>4300</v>
      </c>
      <c r="D34" s="1495" t="s">
        <v>4094</v>
      </c>
      <c r="E34" s="1493" t="s">
        <v>84</v>
      </c>
      <c r="F34" s="1495" t="s">
        <v>4095</v>
      </c>
      <c r="G34" s="1495" t="s">
        <v>4096</v>
      </c>
      <c r="H34" s="1495" t="s">
        <v>19</v>
      </c>
      <c r="I34" s="1495" t="s">
        <v>517</v>
      </c>
      <c r="J34" s="1496" t="s">
        <v>4097</v>
      </c>
      <c r="K34" s="1547"/>
      <c r="L34" s="1493"/>
      <c r="M34" s="1790"/>
      <c r="N34" s="1964"/>
    </row>
    <row r="35" spans="1:14" s="1945" customFormat="1" ht="86.25" customHeight="1">
      <c r="A35" s="1553">
        <v>31</v>
      </c>
      <c r="B35" s="1545" t="s">
        <v>3629</v>
      </c>
      <c r="C35" s="1913">
        <v>12000</v>
      </c>
      <c r="D35" s="1543" t="s">
        <v>4094</v>
      </c>
      <c r="E35" s="1545" t="s">
        <v>3416</v>
      </c>
      <c r="F35" s="1543" t="s">
        <v>4098</v>
      </c>
      <c r="G35" s="1543" t="s">
        <v>4099</v>
      </c>
      <c r="H35" s="1543" t="s">
        <v>19</v>
      </c>
      <c r="I35" s="1543" t="s">
        <v>4100</v>
      </c>
      <c r="J35" s="1546" t="s">
        <v>4101</v>
      </c>
      <c r="K35" s="1828"/>
      <c r="L35" s="1545"/>
      <c r="M35" s="1852"/>
      <c r="N35" s="1965"/>
    </row>
    <row r="36" spans="1:14" s="1548" customFormat="1" ht="71.25" customHeight="1">
      <c r="A36" s="1542">
        <v>32</v>
      </c>
      <c r="B36" s="1493" t="s">
        <v>3469</v>
      </c>
      <c r="C36" s="1901">
        <v>3300</v>
      </c>
      <c r="D36" s="1495" t="s">
        <v>4102</v>
      </c>
      <c r="E36" s="1493" t="s">
        <v>84</v>
      </c>
      <c r="F36" s="1495" t="s">
        <v>4103</v>
      </c>
      <c r="G36" s="1495" t="s">
        <v>4104</v>
      </c>
      <c r="H36" s="1495" t="s">
        <v>19</v>
      </c>
      <c r="I36" s="1495" t="s">
        <v>101</v>
      </c>
      <c r="J36" s="1496" t="s">
        <v>4105</v>
      </c>
      <c r="K36" s="1963" t="s">
        <v>4106</v>
      </c>
      <c r="L36" s="1493"/>
      <c r="M36" s="1790"/>
    </row>
    <row r="37" spans="1:14" s="1883" customFormat="1" ht="239.25" customHeight="1">
      <c r="A37" s="1917">
        <v>33</v>
      </c>
      <c r="B37" s="1869" t="s">
        <v>4107</v>
      </c>
      <c r="C37" s="1918">
        <v>12500</v>
      </c>
      <c r="D37" s="1875" t="s">
        <v>4108</v>
      </c>
      <c r="E37" s="1869" t="s">
        <v>25</v>
      </c>
      <c r="F37" s="1851" t="s">
        <v>4109</v>
      </c>
      <c r="G37" s="1875" t="s">
        <v>4110</v>
      </c>
      <c r="H37" s="1875" t="s">
        <v>3423</v>
      </c>
      <c r="I37" s="1875" t="s">
        <v>3513</v>
      </c>
      <c r="J37" s="1987" t="s">
        <v>4111</v>
      </c>
      <c r="K37" s="1966" t="s">
        <v>4112</v>
      </c>
      <c r="L37" s="1869"/>
      <c r="M37" s="1867"/>
      <c r="N37" s="1945"/>
    </row>
    <row r="38" spans="1:14" s="1548" customFormat="1" ht="200.25" customHeight="1">
      <c r="A38" s="1542">
        <v>34</v>
      </c>
      <c r="B38" s="1493" t="s">
        <v>3588</v>
      </c>
      <c r="C38" s="1901">
        <v>4050</v>
      </c>
      <c r="D38" s="1495" t="s">
        <v>4108</v>
      </c>
      <c r="E38" s="1493" t="s">
        <v>3421</v>
      </c>
      <c r="F38" s="1875" t="s">
        <v>4109</v>
      </c>
      <c r="G38" s="1543" t="s">
        <v>4110</v>
      </c>
      <c r="H38" s="1495" t="s">
        <v>3423</v>
      </c>
      <c r="I38" s="1495" t="s">
        <v>3513</v>
      </c>
      <c r="J38" s="1600" t="s">
        <v>4113</v>
      </c>
      <c r="K38" s="1843" t="s">
        <v>4114</v>
      </c>
      <c r="L38" s="1493"/>
      <c r="M38" s="1790"/>
    </row>
    <row r="39" spans="1:14" s="1777" customFormat="1" ht="77.25" customHeight="1">
      <c r="A39" s="738">
        <v>35</v>
      </c>
      <c r="B39" s="102"/>
      <c r="C39" s="1894"/>
      <c r="D39" s="109"/>
      <c r="E39" s="102"/>
      <c r="F39" s="109"/>
      <c r="G39" s="109"/>
      <c r="H39" s="109"/>
      <c r="I39" s="109"/>
      <c r="J39" s="696"/>
      <c r="K39" s="143"/>
      <c r="L39" s="102"/>
      <c r="M39" s="1853"/>
    </row>
    <row r="40" spans="1:14" s="1777" customFormat="1" ht="75" customHeight="1">
      <c r="A40" s="738">
        <v>36</v>
      </c>
      <c r="B40" s="102"/>
      <c r="C40" s="1894"/>
      <c r="D40" s="109"/>
      <c r="E40" s="102"/>
      <c r="F40" s="109"/>
      <c r="G40" s="109"/>
      <c r="H40" s="109"/>
      <c r="I40" s="109"/>
      <c r="J40" s="696"/>
      <c r="K40" s="143"/>
      <c r="L40" s="102"/>
      <c r="M40" s="1853"/>
    </row>
    <row r="41" spans="1:14" s="1777" customFormat="1" ht="66.75" customHeight="1">
      <c r="A41" s="738">
        <v>37</v>
      </c>
      <c r="B41" s="102"/>
      <c r="C41" s="1894"/>
      <c r="D41" s="109"/>
      <c r="E41" s="102"/>
      <c r="F41" s="109"/>
      <c r="G41" s="109"/>
      <c r="H41" s="109"/>
      <c r="I41" s="109"/>
      <c r="J41" s="696"/>
      <c r="K41" s="143"/>
      <c r="L41" s="102"/>
      <c r="M41" s="1853"/>
    </row>
    <row r="42" spans="1:14" s="1777" customFormat="1" ht="66.75" customHeight="1">
      <c r="A42" s="738">
        <v>38</v>
      </c>
      <c r="B42" s="102"/>
      <c r="C42" s="1894"/>
      <c r="D42" s="109"/>
      <c r="E42" s="102"/>
      <c r="F42" s="109"/>
      <c r="G42" s="109"/>
      <c r="H42" s="109"/>
      <c r="I42" s="109"/>
      <c r="J42" s="696"/>
      <c r="K42" s="143"/>
      <c r="L42" s="102"/>
      <c r="M42" s="1853"/>
    </row>
    <row r="43" spans="1:14" s="1623" customFormat="1" ht="66.75" customHeight="1">
      <c r="A43" s="738">
        <v>39</v>
      </c>
      <c r="B43" s="102"/>
      <c r="C43" s="1894"/>
      <c r="D43" s="109"/>
      <c r="E43" s="102"/>
      <c r="F43" s="109"/>
      <c r="G43" s="109"/>
      <c r="H43" s="109"/>
      <c r="I43" s="109"/>
      <c r="J43" s="696"/>
      <c r="K43" s="143"/>
      <c r="L43" s="102"/>
      <c r="M43" s="1853"/>
      <c r="N43" s="1777"/>
    </row>
    <row r="44" spans="1:14" s="1623" customFormat="1" ht="60" customHeight="1">
      <c r="A44" s="738">
        <v>40</v>
      </c>
      <c r="B44" s="102"/>
      <c r="C44" s="1894"/>
      <c r="D44" s="109"/>
      <c r="E44" s="102"/>
      <c r="F44" s="109"/>
      <c r="G44" s="109"/>
      <c r="H44" s="109"/>
      <c r="I44" s="109"/>
      <c r="J44" s="696"/>
      <c r="K44" s="143"/>
      <c r="L44" s="102"/>
      <c r="M44" s="1853"/>
      <c r="N44" s="1777"/>
    </row>
    <row r="45" spans="1:14" s="1777" customFormat="1" ht="169.5" customHeight="1">
      <c r="A45" s="738">
        <v>41</v>
      </c>
      <c r="B45" s="102"/>
      <c r="C45" s="1894"/>
      <c r="D45" s="109"/>
      <c r="E45" s="102"/>
      <c r="F45" s="109"/>
      <c r="G45" s="109"/>
      <c r="H45" s="109"/>
      <c r="I45" s="109"/>
      <c r="J45" s="670"/>
      <c r="K45" s="143"/>
      <c r="L45" s="102"/>
      <c r="M45" s="1853"/>
    </row>
    <row r="46" spans="1:14" s="1880" customFormat="1" ht="63" customHeight="1">
      <c r="A46" s="874">
        <v>42</v>
      </c>
      <c r="B46" s="112"/>
      <c r="C46" s="1925"/>
      <c r="D46" s="735"/>
      <c r="E46" s="875"/>
      <c r="F46" s="735"/>
      <c r="G46" s="735"/>
      <c r="H46" s="735"/>
      <c r="I46" s="735"/>
      <c r="J46" s="1928"/>
      <c r="K46" s="1927"/>
      <c r="L46" s="112"/>
      <c r="M46" s="1879"/>
    </row>
    <row r="47" spans="1:14" s="1880" customFormat="1" ht="69.75" customHeight="1">
      <c r="A47" s="874">
        <v>43</v>
      </c>
      <c r="B47" s="112"/>
      <c r="C47" s="1925"/>
      <c r="D47" s="735"/>
      <c r="E47" s="875"/>
      <c r="F47" s="735"/>
      <c r="G47" s="109"/>
      <c r="H47" s="109"/>
      <c r="I47" s="109"/>
      <c r="J47" s="1928"/>
      <c r="K47" s="1927"/>
      <c r="L47" s="112"/>
      <c r="M47" s="1879"/>
    </row>
    <row r="48" spans="1:14" s="1880" customFormat="1" ht="67.5" customHeight="1">
      <c r="A48" s="874">
        <v>44</v>
      </c>
      <c r="B48" s="112"/>
      <c r="C48" s="1925"/>
      <c r="D48" s="735"/>
      <c r="E48" s="875"/>
      <c r="F48" s="735"/>
      <c r="G48" s="109"/>
      <c r="H48" s="735"/>
      <c r="I48" s="1926"/>
      <c r="J48" s="1877"/>
      <c r="K48" s="1927"/>
      <c r="L48" s="112"/>
      <c r="M48" s="1879"/>
    </row>
    <row r="49" spans="1:13" s="1777" customFormat="1" ht="63.75" customHeight="1">
      <c r="A49" s="738">
        <v>45</v>
      </c>
      <c r="B49" s="102"/>
      <c r="C49" s="1148"/>
      <c r="D49" s="109"/>
      <c r="E49" s="102"/>
      <c r="F49" s="109"/>
      <c r="G49" s="109"/>
      <c r="H49" s="111"/>
      <c r="I49" s="111"/>
      <c r="J49" s="696"/>
      <c r="K49" s="143"/>
      <c r="L49" s="102"/>
      <c r="M49" s="1853"/>
    </row>
    <row r="50" spans="1:13" s="1777" customFormat="1" ht="81.75" customHeight="1">
      <c r="A50" s="738">
        <v>46</v>
      </c>
      <c r="B50" s="1895"/>
      <c r="C50" s="1148"/>
      <c r="D50" s="109"/>
      <c r="E50" s="102"/>
      <c r="F50" s="109"/>
      <c r="G50" s="109"/>
      <c r="H50" s="111"/>
      <c r="I50" s="109"/>
      <c r="J50" s="696"/>
      <c r="K50" s="143"/>
      <c r="L50" s="102"/>
      <c r="M50" s="1853"/>
    </row>
    <row r="51" spans="1:13" s="1777" customFormat="1" ht="81.75" customHeight="1">
      <c r="A51" s="738">
        <v>47</v>
      </c>
      <c r="B51" s="102"/>
      <c r="C51" s="1894"/>
      <c r="D51" s="109"/>
      <c r="E51" s="102"/>
      <c r="F51" s="109"/>
      <c r="G51" s="109"/>
      <c r="H51" s="109"/>
      <c r="I51" s="109"/>
      <c r="J51" s="696"/>
      <c r="K51" s="143"/>
      <c r="L51" s="102"/>
      <c r="M51" s="1853"/>
    </row>
    <row r="52" spans="1:13" s="1777" customFormat="1" ht="68.25" customHeight="1">
      <c r="A52" s="738">
        <v>48</v>
      </c>
      <c r="B52" s="102"/>
      <c r="C52" s="1148"/>
      <c r="D52" s="109"/>
      <c r="E52" s="102"/>
      <c r="F52" s="109"/>
      <c r="G52" s="109"/>
      <c r="H52" s="109"/>
      <c r="I52" s="109"/>
      <c r="J52" s="696"/>
      <c r="K52" s="143"/>
      <c r="L52" s="102"/>
      <c r="M52" s="1853"/>
    </row>
    <row r="53" spans="1:13" s="1777" customFormat="1" ht="59.25" customHeight="1">
      <c r="A53" s="738">
        <v>49</v>
      </c>
      <c r="B53" s="102"/>
      <c r="C53" s="1148"/>
      <c r="D53" s="109"/>
      <c r="E53" s="102"/>
      <c r="F53" s="109"/>
      <c r="G53" s="109"/>
      <c r="H53" s="109"/>
      <c r="I53" s="109"/>
      <c r="J53" s="670"/>
      <c r="K53" s="143"/>
      <c r="L53" s="102"/>
      <c r="M53" s="1853"/>
    </row>
    <row r="54" spans="1:13" s="1777" customFormat="1" ht="69.75" customHeight="1">
      <c r="A54" s="738">
        <v>50</v>
      </c>
      <c r="B54" s="102"/>
      <c r="C54" s="1148"/>
      <c r="D54" s="109"/>
      <c r="E54" s="102"/>
      <c r="F54" s="109"/>
      <c r="G54" s="109"/>
      <c r="H54" s="109"/>
      <c r="I54" s="109"/>
      <c r="J54" s="696"/>
      <c r="K54" s="143"/>
      <c r="L54" s="102"/>
      <c r="M54" s="1853"/>
    </row>
  </sheetData>
  <autoFilter ref="A4:P75" xr:uid="{00000000-0009-0000-0000-000001000000}"/>
  <mergeCells count="3">
    <mergeCell ref="C1:K1"/>
    <mergeCell ref="A2:K2"/>
    <mergeCell ref="A3:B3"/>
  </mergeCells>
  <conditionalFormatting sqref="A1:A3">
    <cfRule type="duplicateValues" dxfId="425" priority="5"/>
  </conditionalFormatting>
  <conditionalFormatting sqref="A4">
    <cfRule type="duplicateValues" dxfId="424" priority="4"/>
  </conditionalFormatting>
  <conditionalFormatting sqref="B4">
    <cfRule type="duplicateValues" dxfId="423" priority="1"/>
    <cfRule type="duplicateValues" dxfId="422" priority="2"/>
    <cfRule type="duplicateValues" dxfId="421" priority="3"/>
  </conditionalFormatting>
  <pageMargins left="0.7" right="0.7" top="0.75" bottom="0.75" header="0.3" footer="0.3"/>
  <pageSetup paperSize="9" scale="40" orientation="portrait"/>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970D7C-BC55-49CA-BAA0-CF0F460902C9}">
  <sheetPr>
    <tabColor theme="2" tint="-0.249977111117893"/>
    <pageSetUpPr fitToPage="1"/>
  </sheetPr>
  <dimension ref="A1:N49"/>
  <sheetViews>
    <sheetView topLeftCell="A2" zoomScale="70" zoomScaleNormal="70" workbookViewId="0">
      <pane xSplit="3" ySplit="3" topLeftCell="J46" activePane="bottomRight" state="frozen"/>
      <selection pane="topRight" activeCell="E39" sqref="E39"/>
      <selection pane="bottomLeft" activeCell="E39" sqref="E39"/>
      <selection pane="bottomRight" activeCell="E39" sqref="E39"/>
    </sheetView>
  </sheetViews>
  <sheetFormatPr defaultColWidth="32.140625" defaultRowHeight="58.5" customHeight="1"/>
  <cols>
    <col min="1" max="1" width="9.42578125" style="359" customWidth="1"/>
    <col min="2" max="2" width="34.5703125" style="1" customWidth="1"/>
    <col min="3" max="3" width="17.42578125" style="1138" customWidth="1"/>
    <col min="4" max="4" width="22" style="271" customWidth="1"/>
    <col min="5" max="5" width="23" style="1" customWidth="1"/>
    <col min="6" max="6" width="22" style="271" customWidth="1"/>
    <col min="7" max="7" width="31" style="271" customWidth="1"/>
    <col min="8" max="9" width="22.28515625" style="271" customWidth="1"/>
    <col min="10" max="10" width="138.28515625" style="9" customWidth="1"/>
    <col min="11" max="11" width="85.85546875" style="9" customWidth="1"/>
    <col min="12" max="12" width="17.28515625" style="1" customWidth="1"/>
    <col min="13" max="13" width="18.7109375" style="763" customWidth="1"/>
    <col min="14" max="14" width="35.42578125" style="3" customWidth="1"/>
    <col min="15" max="16384" width="32.140625" style="3"/>
  </cols>
  <sheetData>
    <row r="1" spans="1:14" ht="58.5" customHeight="1">
      <c r="B1" s="10"/>
      <c r="C1" s="3624"/>
      <c r="D1" s="3624"/>
      <c r="E1" s="3624"/>
      <c r="F1" s="3624"/>
      <c r="G1" s="3624"/>
      <c r="H1" s="3624"/>
      <c r="I1" s="3624"/>
      <c r="J1" s="3624"/>
      <c r="K1" s="3624"/>
      <c r="M1" s="1848"/>
    </row>
    <row r="2" spans="1:14" ht="42" customHeight="1">
      <c r="A2" s="3708" t="s">
        <v>3387</v>
      </c>
      <c r="B2" s="3708"/>
      <c r="C2" s="3708"/>
      <c r="D2" s="3708"/>
      <c r="E2" s="3708"/>
      <c r="F2" s="3708"/>
      <c r="G2" s="3708"/>
      <c r="H2" s="3708"/>
      <c r="I2" s="3708"/>
      <c r="J2" s="3708"/>
      <c r="K2" s="3709"/>
      <c r="L2" s="1905"/>
      <c r="M2" s="1905"/>
      <c r="N2" s="287"/>
    </row>
    <row r="3" spans="1:14" ht="37.5" customHeight="1">
      <c r="A3" s="3712" t="s">
        <v>3388</v>
      </c>
      <c r="B3" s="3712"/>
      <c r="C3" s="1910">
        <f>SUM(C5:C155)</f>
        <v>273995</v>
      </c>
      <c r="D3" s="1503"/>
      <c r="E3" s="1849"/>
      <c r="F3" s="1932"/>
      <c r="G3" s="1503"/>
      <c r="H3" s="1503"/>
      <c r="I3" s="1503"/>
      <c r="J3" s="1934">
        <f ca="1">TODAY()</f>
        <v>45960</v>
      </c>
      <c r="K3" s="143"/>
      <c r="L3" s="1907"/>
      <c r="M3" s="1849"/>
      <c r="N3" s="287"/>
    </row>
    <row r="4" spans="1:14" s="1535" customFormat="1" ht="53.25" customHeight="1">
      <c r="A4" s="1896" t="s">
        <v>1</v>
      </c>
      <c r="B4" s="1897" t="s">
        <v>2</v>
      </c>
      <c r="C4" s="1178" t="s">
        <v>3</v>
      </c>
      <c r="D4" s="679" t="s">
        <v>3534</v>
      </c>
      <c r="E4" s="1930" t="s">
        <v>5</v>
      </c>
      <c r="F4" s="1818" t="s">
        <v>3535</v>
      </c>
      <c r="G4" s="1931" t="s">
        <v>7</v>
      </c>
      <c r="H4" s="679" t="s">
        <v>8</v>
      </c>
      <c r="I4" s="1930" t="s">
        <v>9</v>
      </c>
      <c r="J4" s="1818" t="s">
        <v>10</v>
      </c>
      <c r="K4" s="1933" t="s">
        <v>11</v>
      </c>
      <c r="L4" s="679" t="s">
        <v>12</v>
      </c>
      <c r="M4" s="1892" t="s">
        <v>13</v>
      </c>
      <c r="N4" s="1893" t="e">
        <f>SUM(#REF!)</f>
        <v>#REF!</v>
      </c>
    </row>
    <row r="5" spans="1:14" s="1916" customFormat="1" ht="60.75" customHeight="1">
      <c r="A5" s="1542" cm="1">
        <f t="array" ref="A5:A49">_xlfn.SEQUENCE(45,1,1,)</f>
        <v>1</v>
      </c>
      <c r="B5" s="1493" t="s">
        <v>3460</v>
      </c>
      <c r="C5" s="1901">
        <v>4000</v>
      </c>
      <c r="D5" s="1495" t="s">
        <v>4115</v>
      </c>
      <c r="E5" s="1493" t="s">
        <v>61</v>
      </c>
      <c r="F5" s="1851"/>
      <c r="G5" s="1495" t="s">
        <v>4116</v>
      </c>
      <c r="H5" s="1495" t="s">
        <v>19</v>
      </c>
      <c r="I5" s="1495" t="s">
        <v>4117</v>
      </c>
      <c r="J5" s="1628" t="s">
        <v>4118</v>
      </c>
      <c r="K5" s="1547"/>
      <c r="L5" s="1493"/>
      <c r="M5" s="1790"/>
      <c r="N5" s="1548"/>
    </row>
    <row r="6" spans="1:14" s="1904" customFormat="1" ht="60.75" customHeight="1">
      <c r="A6" s="1542">
        <v>2</v>
      </c>
      <c r="B6" s="1493" t="s">
        <v>4119</v>
      </c>
      <c r="C6" s="1901">
        <v>10000</v>
      </c>
      <c r="D6" s="1495" t="s">
        <v>4115</v>
      </c>
      <c r="E6" s="1493" t="s">
        <v>25</v>
      </c>
      <c r="F6" s="1495"/>
      <c r="G6" s="1495" t="s">
        <v>4120</v>
      </c>
      <c r="H6" s="1495" t="s">
        <v>19</v>
      </c>
      <c r="I6" s="1495" t="s">
        <v>178</v>
      </c>
      <c r="J6" s="1600" t="s">
        <v>4121</v>
      </c>
      <c r="K6" s="1547"/>
      <c r="L6" s="1493"/>
      <c r="M6" s="1790"/>
      <c r="N6" s="1548"/>
    </row>
    <row r="7" spans="1:14" s="1904" customFormat="1" ht="231.75" customHeight="1">
      <c r="A7" s="1917">
        <v>3</v>
      </c>
      <c r="B7" s="1875" t="s">
        <v>4064</v>
      </c>
      <c r="C7" s="1918">
        <v>10200</v>
      </c>
      <c r="D7" s="1875" t="s">
        <v>4122</v>
      </c>
      <c r="E7" s="1869" t="s">
        <v>3401</v>
      </c>
      <c r="F7" s="1875" t="s">
        <v>4123</v>
      </c>
      <c r="G7" s="1875"/>
      <c r="H7" s="1875" t="s">
        <v>19</v>
      </c>
      <c r="I7" s="1875" t="s">
        <v>517</v>
      </c>
      <c r="J7" s="1988" t="s">
        <v>4124</v>
      </c>
      <c r="K7" s="1881"/>
      <c r="L7" s="1630"/>
      <c r="M7" s="1882"/>
      <c r="N7" s="1919"/>
    </row>
    <row r="8" spans="1:14" s="1904" customFormat="1" ht="72" customHeight="1">
      <c r="A8" s="1542">
        <v>4</v>
      </c>
      <c r="B8" s="1493" t="s">
        <v>3429</v>
      </c>
      <c r="C8" s="1901">
        <v>3000</v>
      </c>
      <c r="D8" s="1495" t="s">
        <v>4125</v>
      </c>
      <c r="E8" s="1493" t="s">
        <v>4126</v>
      </c>
      <c r="F8" s="1495"/>
      <c r="G8" s="1495" t="s">
        <v>4127</v>
      </c>
      <c r="H8" s="1495" t="s">
        <v>19</v>
      </c>
      <c r="I8" s="1495" t="s">
        <v>4128</v>
      </c>
      <c r="J8" s="1546" t="s">
        <v>4129</v>
      </c>
      <c r="K8" s="1547"/>
      <c r="L8" s="1493"/>
      <c r="M8" s="1790"/>
      <c r="N8" s="1548"/>
    </row>
    <row r="9" spans="1:14" s="1904" customFormat="1" ht="78.75" customHeight="1">
      <c r="A9" s="1542">
        <v>5</v>
      </c>
      <c r="B9" s="1495" t="s">
        <v>4130</v>
      </c>
      <c r="C9" s="1901">
        <v>3000</v>
      </c>
      <c r="D9" s="1495" t="s">
        <v>4131</v>
      </c>
      <c r="E9" s="1493" t="s">
        <v>84</v>
      </c>
      <c r="F9" s="1495" t="s">
        <v>4132</v>
      </c>
      <c r="G9" s="1773"/>
      <c r="H9" s="1495" t="s">
        <v>19</v>
      </c>
      <c r="I9" s="1495" t="s">
        <v>4133</v>
      </c>
      <c r="J9" s="1886" t="s">
        <v>4134</v>
      </c>
      <c r="K9" s="1920"/>
      <c r="L9" s="1630"/>
      <c r="M9" s="1882"/>
      <c r="N9" s="1919"/>
    </row>
    <row r="10" spans="1:14" s="1904" customFormat="1" ht="45" customHeight="1">
      <c r="A10" s="1542">
        <v>6</v>
      </c>
      <c r="B10" s="1493" t="s">
        <v>157</v>
      </c>
      <c r="C10" s="1901">
        <v>3240</v>
      </c>
      <c r="D10" s="1495" t="s">
        <v>4135</v>
      </c>
      <c r="E10" s="1493" t="s">
        <v>61</v>
      </c>
      <c r="F10" s="1495" t="s">
        <v>4136</v>
      </c>
      <c r="G10" s="1495"/>
      <c r="H10" s="1495" t="s">
        <v>19</v>
      </c>
      <c r="I10" s="1495" t="s">
        <v>172</v>
      </c>
      <c r="J10" s="1600" t="s">
        <v>4137</v>
      </c>
      <c r="K10" s="1843"/>
      <c r="L10" s="1493"/>
      <c r="M10" s="1790"/>
      <c r="N10" s="1548"/>
    </row>
    <row r="11" spans="1:14" s="1904" customFormat="1" ht="409.5" customHeight="1">
      <c r="A11" s="1542">
        <v>7</v>
      </c>
      <c r="B11" s="1493" t="s">
        <v>4138</v>
      </c>
      <c r="C11" s="1901">
        <v>5515</v>
      </c>
      <c r="D11" s="1495" t="s">
        <v>4139</v>
      </c>
      <c r="E11" s="1493" t="s">
        <v>3345</v>
      </c>
      <c r="F11" s="1495" t="s">
        <v>4140</v>
      </c>
      <c r="G11" s="1495"/>
      <c r="H11" s="1495" t="s">
        <v>19</v>
      </c>
      <c r="I11" s="1495" t="s">
        <v>3513</v>
      </c>
      <c r="J11" s="1600" t="s">
        <v>4141</v>
      </c>
      <c r="K11" s="1843" t="s">
        <v>222</v>
      </c>
      <c r="L11" s="1493"/>
      <c r="M11" s="1790"/>
      <c r="N11" s="1548"/>
    </row>
    <row r="12" spans="1:14" s="1548" customFormat="1" ht="60" customHeight="1">
      <c r="A12" s="1542">
        <v>8</v>
      </c>
      <c r="B12" s="1902" t="s">
        <v>4142</v>
      </c>
      <c r="C12" s="1901">
        <v>100</v>
      </c>
      <c r="D12" s="1495" t="s">
        <v>4143</v>
      </c>
      <c r="E12" s="1493"/>
      <c r="F12" s="1495" t="s">
        <v>4144</v>
      </c>
      <c r="G12" s="1495"/>
      <c r="H12" s="1495" t="s">
        <v>19</v>
      </c>
      <c r="I12" s="1921" t="s">
        <v>4145</v>
      </c>
      <c r="J12" s="1464" t="s">
        <v>4146</v>
      </c>
      <c r="K12" s="1547"/>
      <c r="L12" s="1493"/>
      <c r="M12" s="1790"/>
    </row>
    <row r="13" spans="1:14" s="1548" customFormat="1" ht="90.75" customHeight="1">
      <c r="A13" s="1542">
        <v>9</v>
      </c>
      <c r="B13" s="1493" t="s">
        <v>14</v>
      </c>
      <c r="C13" s="1901">
        <v>3950</v>
      </c>
      <c r="D13" s="1495" t="s">
        <v>4135</v>
      </c>
      <c r="E13" s="1493" t="s">
        <v>16</v>
      </c>
      <c r="F13" s="1495" t="s">
        <v>4147</v>
      </c>
      <c r="G13" s="1495"/>
      <c r="H13" s="1495" t="s">
        <v>19</v>
      </c>
      <c r="I13" s="1495" t="s">
        <v>172</v>
      </c>
      <c r="J13" s="1600" t="s">
        <v>4148</v>
      </c>
      <c r="K13" s="1843"/>
      <c r="L13" s="1493"/>
      <c r="M13" s="1790"/>
    </row>
    <row r="14" spans="1:14" s="1548" customFormat="1" ht="95.25" customHeight="1">
      <c r="A14" s="1542">
        <v>10</v>
      </c>
      <c r="B14" s="1493" t="s">
        <v>211</v>
      </c>
      <c r="C14" s="1901">
        <v>3810</v>
      </c>
      <c r="D14" s="1495" t="s">
        <v>4139</v>
      </c>
      <c r="E14" s="1493" t="s">
        <v>61</v>
      </c>
      <c r="F14" s="1495" t="s">
        <v>4149</v>
      </c>
      <c r="G14" s="1495"/>
      <c r="H14" s="1495" t="s">
        <v>19</v>
      </c>
      <c r="I14" s="1495" t="s">
        <v>172</v>
      </c>
      <c r="J14" s="1600" t="s">
        <v>4150</v>
      </c>
      <c r="K14" s="1843"/>
      <c r="L14" s="1493"/>
      <c r="M14" s="1790"/>
    </row>
    <row r="15" spans="1:14" s="1548" customFormat="1" ht="70.5" customHeight="1">
      <c r="A15" s="1850">
        <v>11</v>
      </c>
      <c r="B15" s="1630" t="s">
        <v>4151</v>
      </c>
      <c r="C15" s="1915">
        <v>35000</v>
      </c>
      <c r="D15" s="1851" t="s">
        <v>4152</v>
      </c>
      <c r="E15" s="1630" t="s">
        <v>4153</v>
      </c>
      <c r="F15" s="1851"/>
      <c r="G15" s="1851"/>
      <c r="H15" s="1851" t="s">
        <v>19</v>
      </c>
      <c r="I15" s="1851" t="s">
        <v>4154</v>
      </c>
      <c r="J15" s="1989" t="s">
        <v>4155</v>
      </c>
      <c r="K15" s="1546" t="s">
        <v>4156</v>
      </c>
      <c r="L15" s="1493"/>
      <c r="M15" s="1790"/>
    </row>
    <row r="16" spans="1:14" s="1548" customFormat="1" ht="70.5" customHeight="1">
      <c r="A16" s="1542">
        <v>12</v>
      </c>
      <c r="B16" s="1493" t="s">
        <v>4157</v>
      </c>
      <c r="C16" s="1901">
        <v>7250</v>
      </c>
      <c r="D16" s="1495" t="s">
        <v>4152</v>
      </c>
      <c r="E16" s="1493" t="s">
        <v>16</v>
      </c>
      <c r="F16" s="1495"/>
      <c r="G16" s="1495"/>
      <c r="H16" s="1495" t="s">
        <v>19</v>
      </c>
      <c r="I16" s="1495" t="s">
        <v>123</v>
      </c>
      <c r="J16" s="1600" t="s">
        <v>4158</v>
      </c>
      <c r="K16" s="1843"/>
      <c r="L16" s="1493"/>
      <c r="M16" s="1790"/>
    </row>
    <row r="17" spans="1:13" s="1548" customFormat="1" ht="70.5" customHeight="1">
      <c r="A17" s="1542">
        <v>13</v>
      </c>
      <c r="B17" s="1493" t="s">
        <v>59</v>
      </c>
      <c r="C17" s="1901">
        <v>3300</v>
      </c>
      <c r="D17" s="1495" t="s">
        <v>4159</v>
      </c>
      <c r="E17" s="1493" t="s">
        <v>61</v>
      </c>
      <c r="F17" s="1495" t="s">
        <v>4160</v>
      </c>
      <c r="G17" s="1495"/>
      <c r="H17" s="1495" t="s">
        <v>19</v>
      </c>
      <c r="I17" s="1495" t="s">
        <v>172</v>
      </c>
      <c r="J17" s="1496" t="s">
        <v>4161</v>
      </c>
      <c r="K17" s="1843" t="s">
        <v>4162</v>
      </c>
      <c r="L17" s="1493"/>
      <c r="M17" s="1790"/>
    </row>
    <row r="18" spans="1:13" s="1548" customFormat="1" ht="223.5" customHeight="1">
      <c r="A18" s="1542">
        <v>14</v>
      </c>
      <c r="B18" s="1493" t="s">
        <v>3414</v>
      </c>
      <c r="C18" s="1901">
        <v>24000</v>
      </c>
      <c r="D18" s="1495" t="s">
        <v>4163</v>
      </c>
      <c r="E18" s="1493" t="s">
        <v>3416</v>
      </c>
      <c r="F18" s="1495" t="s">
        <v>4164</v>
      </c>
      <c r="G18" s="1495" t="s">
        <v>226</v>
      </c>
      <c r="H18" s="1495" t="s">
        <v>19</v>
      </c>
      <c r="I18" s="1495" t="s">
        <v>3719</v>
      </c>
      <c r="J18" s="1600" t="s">
        <v>4165</v>
      </c>
      <c r="K18" s="1843"/>
      <c r="L18" s="1493"/>
      <c r="M18" s="1790"/>
    </row>
    <row r="19" spans="1:13" s="1548" customFormat="1" ht="96" customHeight="1">
      <c r="A19" s="1542">
        <v>15</v>
      </c>
      <c r="B19" s="1493" t="s">
        <v>117</v>
      </c>
      <c r="C19" s="1901">
        <v>3950</v>
      </c>
      <c r="D19" s="1495" t="s">
        <v>4166</v>
      </c>
      <c r="E19" s="1493" t="s">
        <v>84</v>
      </c>
      <c r="F19" s="1495" t="s">
        <v>4167</v>
      </c>
      <c r="G19" s="1495" t="s">
        <v>226</v>
      </c>
      <c r="H19" s="1495" t="s">
        <v>19</v>
      </c>
      <c r="I19" s="1495" t="s">
        <v>74</v>
      </c>
      <c r="J19" s="1600" t="s">
        <v>4168</v>
      </c>
      <c r="K19" s="1843"/>
      <c r="L19" s="1493"/>
      <c r="M19" s="1790"/>
    </row>
    <row r="20" spans="1:13" s="1548" customFormat="1" ht="132.75" customHeight="1">
      <c r="A20" s="1542">
        <v>16</v>
      </c>
      <c r="B20" s="1493" t="s">
        <v>87</v>
      </c>
      <c r="C20" s="1901">
        <v>3080</v>
      </c>
      <c r="D20" s="1495" t="s">
        <v>4169</v>
      </c>
      <c r="E20" s="1493" t="s">
        <v>89</v>
      </c>
      <c r="F20" s="1495" t="s">
        <v>4170</v>
      </c>
      <c r="G20" s="1495" t="s">
        <v>226</v>
      </c>
      <c r="H20" s="1495" t="s">
        <v>19</v>
      </c>
      <c r="I20" s="1495" t="s">
        <v>4171</v>
      </c>
      <c r="J20" s="1600" t="s">
        <v>4172</v>
      </c>
      <c r="K20" s="1843"/>
      <c r="L20" s="1493"/>
      <c r="M20" s="1790"/>
    </row>
    <row r="21" spans="1:13" s="1548" customFormat="1" ht="66" customHeight="1">
      <c r="A21" s="1542">
        <v>17</v>
      </c>
      <c r="B21" s="1493" t="s">
        <v>3475</v>
      </c>
      <c r="C21" s="1901">
        <v>1500</v>
      </c>
      <c r="D21" s="1495" t="s">
        <v>4173</v>
      </c>
      <c r="E21" s="1493" t="s">
        <v>3345</v>
      </c>
      <c r="F21" s="1624" t="s">
        <v>4174</v>
      </c>
      <c r="G21" s="1495" t="s">
        <v>226</v>
      </c>
      <c r="H21" s="1495" t="s">
        <v>19</v>
      </c>
      <c r="I21" s="1495" t="s">
        <v>286</v>
      </c>
      <c r="J21" s="1600" t="s">
        <v>4175</v>
      </c>
      <c r="K21" s="1843"/>
      <c r="L21" s="1493"/>
      <c r="M21" s="1790"/>
    </row>
    <row r="22" spans="1:13" s="1548" customFormat="1" ht="92.25" customHeight="1">
      <c r="A22" s="1542">
        <v>18</v>
      </c>
      <c r="B22" s="1493" t="s">
        <v>71</v>
      </c>
      <c r="C22" s="1901">
        <v>3720</v>
      </c>
      <c r="D22" s="1495" t="s">
        <v>4176</v>
      </c>
      <c r="E22" s="1493" t="s">
        <v>16</v>
      </c>
      <c r="F22" s="1495" t="s">
        <v>4177</v>
      </c>
      <c r="G22" s="1495" t="s">
        <v>226</v>
      </c>
      <c r="H22" s="1495" t="s">
        <v>19</v>
      </c>
      <c r="I22" s="1495" t="s">
        <v>172</v>
      </c>
      <c r="J22" s="1600" t="s">
        <v>4178</v>
      </c>
      <c r="K22" s="1843" t="s">
        <v>4162</v>
      </c>
      <c r="L22" s="1493"/>
      <c r="M22" s="1790"/>
    </row>
    <row r="23" spans="1:13" s="1548" customFormat="1" ht="60" customHeight="1">
      <c r="A23" s="1542">
        <v>19</v>
      </c>
      <c r="B23" s="1493" t="s">
        <v>3856</v>
      </c>
      <c r="C23" s="1901">
        <v>3950</v>
      </c>
      <c r="D23" s="1495" t="s">
        <v>4179</v>
      </c>
      <c r="E23" s="1493" t="s">
        <v>89</v>
      </c>
      <c r="F23" s="1495" t="s">
        <v>4180</v>
      </c>
      <c r="G23" s="1495" t="s">
        <v>226</v>
      </c>
      <c r="H23" s="1495" t="s">
        <v>19</v>
      </c>
      <c r="I23" s="1495" t="s">
        <v>172</v>
      </c>
      <c r="J23" s="1600" t="s">
        <v>4181</v>
      </c>
      <c r="K23" s="1843"/>
      <c r="L23" s="1493"/>
      <c r="M23" s="1790"/>
    </row>
    <row r="24" spans="1:13" s="1548" customFormat="1" ht="73.5" customHeight="1">
      <c r="A24" s="1542">
        <v>20</v>
      </c>
      <c r="B24" s="1493" t="s">
        <v>2921</v>
      </c>
      <c r="C24" s="1901">
        <v>6050</v>
      </c>
      <c r="D24" s="1495" t="s">
        <v>4182</v>
      </c>
      <c r="E24" s="1493" t="s">
        <v>3401</v>
      </c>
      <c r="F24" s="1495" t="s">
        <v>4183</v>
      </c>
      <c r="G24" s="1495" t="s">
        <v>353</v>
      </c>
      <c r="H24" s="1495" t="s">
        <v>19</v>
      </c>
      <c r="I24" s="1495" t="s">
        <v>172</v>
      </c>
      <c r="J24" s="1600" t="s">
        <v>4184</v>
      </c>
      <c r="K24" s="1843"/>
      <c r="L24" s="1493"/>
      <c r="M24" s="1790"/>
    </row>
    <row r="25" spans="1:13" s="1548" customFormat="1" ht="73.5" customHeight="1">
      <c r="A25" s="1542">
        <v>21</v>
      </c>
      <c r="B25" s="1493" t="s">
        <v>4185</v>
      </c>
      <c r="C25" s="1901">
        <v>7700</v>
      </c>
      <c r="D25" s="1495" t="s">
        <v>4186</v>
      </c>
      <c r="E25" s="1935" t="s">
        <v>151</v>
      </c>
      <c r="F25" s="1495" t="s">
        <v>4187</v>
      </c>
      <c r="G25" s="1495" t="s">
        <v>4188</v>
      </c>
      <c r="H25" s="1495" t="s">
        <v>19</v>
      </c>
      <c r="I25" s="1495" t="s">
        <v>172</v>
      </c>
      <c r="J25" s="1600" t="s">
        <v>4189</v>
      </c>
      <c r="K25" s="1843" t="s">
        <v>4190</v>
      </c>
      <c r="L25" s="1493"/>
      <c r="M25" s="1790"/>
    </row>
    <row r="26" spans="1:13" s="1548" customFormat="1" ht="103.5" customHeight="1">
      <c r="A26" s="1542">
        <v>22</v>
      </c>
      <c r="B26" s="1493" t="s">
        <v>3563</v>
      </c>
      <c r="C26" s="1901">
        <v>3450</v>
      </c>
      <c r="D26" s="1495" t="s">
        <v>4186</v>
      </c>
      <c r="E26" s="1493" t="s">
        <v>61</v>
      </c>
      <c r="F26" s="1495" t="s">
        <v>4191</v>
      </c>
      <c r="G26" s="1495" t="s">
        <v>4188</v>
      </c>
      <c r="H26" s="1495" t="s">
        <v>19</v>
      </c>
      <c r="I26" s="1495" t="s">
        <v>172</v>
      </c>
      <c r="J26" s="1600" t="s">
        <v>4192</v>
      </c>
      <c r="K26" s="1843"/>
      <c r="L26" s="1493"/>
      <c r="M26" s="1790"/>
    </row>
    <row r="27" spans="1:13" s="1548" customFormat="1" ht="67.5" customHeight="1">
      <c r="A27" s="1542">
        <v>23</v>
      </c>
      <c r="B27" s="1493" t="s">
        <v>93</v>
      </c>
      <c r="C27" s="1901">
        <v>2950</v>
      </c>
      <c r="D27" s="1495" t="s">
        <v>4186</v>
      </c>
      <c r="E27" s="1495" t="s">
        <v>84</v>
      </c>
      <c r="F27" s="1495" t="s">
        <v>4193</v>
      </c>
      <c r="G27" s="1495" t="s">
        <v>4188</v>
      </c>
      <c r="H27" s="1495" t="s">
        <v>19</v>
      </c>
      <c r="I27" s="1495" t="s">
        <v>101</v>
      </c>
      <c r="J27" s="1600" t="s">
        <v>4194</v>
      </c>
      <c r="K27" s="1547"/>
      <c r="L27" s="1493"/>
      <c r="M27" s="1790"/>
    </row>
    <row r="28" spans="1:13" s="1548" customFormat="1" ht="408.75" customHeight="1">
      <c r="A28" s="1542">
        <v>24</v>
      </c>
      <c r="B28" s="1495" t="s">
        <v>4195</v>
      </c>
      <c r="C28" s="1901">
        <v>6000</v>
      </c>
      <c r="D28" s="1495" t="s">
        <v>4196</v>
      </c>
      <c r="E28" s="1493" t="s">
        <v>3345</v>
      </c>
      <c r="F28" s="1495" t="s">
        <v>4197</v>
      </c>
      <c r="G28" s="1495" t="s">
        <v>222</v>
      </c>
      <c r="H28" s="1495" t="s">
        <v>19</v>
      </c>
      <c r="I28" s="1495" t="s">
        <v>4198</v>
      </c>
      <c r="J28" s="1600" t="s">
        <v>4199</v>
      </c>
      <c r="K28" s="1600" t="s">
        <v>4200</v>
      </c>
      <c r="L28" s="1493"/>
      <c r="M28" s="1790"/>
    </row>
    <row r="29" spans="1:13" s="1548" customFormat="1" ht="154.5" customHeight="1">
      <c r="A29" s="1542">
        <v>25</v>
      </c>
      <c r="B29" s="1493" t="s">
        <v>4201</v>
      </c>
      <c r="C29" s="1901">
        <v>8750</v>
      </c>
      <c r="D29" s="1495" t="s">
        <v>4186</v>
      </c>
      <c r="E29" s="1495" t="s">
        <v>3095</v>
      </c>
      <c r="F29" s="1495" t="s">
        <v>4202</v>
      </c>
      <c r="G29" s="1495" t="s">
        <v>4203</v>
      </c>
      <c r="H29" s="1495" t="s">
        <v>19</v>
      </c>
      <c r="I29" s="1495" t="s">
        <v>4204</v>
      </c>
      <c r="J29" s="1600" t="s">
        <v>4205</v>
      </c>
      <c r="K29" s="1547"/>
      <c r="L29" s="1493"/>
      <c r="M29" s="1790"/>
    </row>
    <row r="30" spans="1:13" s="1548" customFormat="1" ht="93" customHeight="1">
      <c r="A30" s="1542">
        <v>26</v>
      </c>
      <c r="B30" s="1493" t="s">
        <v>3395</v>
      </c>
      <c r="C30" s="1901">
        <v>9000</v>
      </c>
      <c r="D30" s="1495" t="s">
        <v>4196</v>
      </c>
      <c r="E30" s="1495" t="s">
        <v>16</v>
      </c>
      <c r="F30" s="1495"/>
      <c r="G30" s="1495" t="s">
        <v>4188</v>
      </c>
      <c r="H30" s="1495" t="s">
        <v>19</v>
      </c>
      <c r="I30" s="1495" t="s">
        <v>172</v>
      </c>
      <c r="J30" s="1600" t="s">
        <v>4206</v>
      </c>
      <c r="K30" s="1547"/>
      <c r="L30" s="1493"/>
      <c r="M30" s="1790"/>
    </row>
    <row r="31" spans="1:13" s="1559" customFormat="1" ht="66.75" customHeight="1">
      <c r="A31" s="1553">
        <v>27</v>
      </c>
      <c r="B31" s="1545" t="s">
        <v>217</v>
      </c>
      <c r="C31" s="1913">
        <v>4250</v>
      </c>
      <c r="D31" s="1495" t="s">
        <v>4207</v>
      </c>
      <c r="E31" s="1935" t="s">
        <v>3401</v>
      </c>
      <c r="F31" s="1495" t="s">
        <v>4208</v>
      </c>
      <c r="G31" s="1495"/>
      <c r="H31" s="1495" t="s">
        <v>19</v>
      </c>
      <c r="I31" s="1773" t="s">
        <v>172</v>
      </c>
      <c r="J31" s="1605" t="s">
        <v>4209</v>
      </c>
      <c r="K31" s="1936"/>
      <c r="L31" s="1545"/>
      <c r="M31" s="1852"/>
    </row>
    <row r="32" spans="1:13" s="1548" customFormat="1" ht="81" customHeight="1">
      <c r="A32" s="1542">
        <v>28</v>
      </c>
      <c r="B32" s="1493" t="s">
        <v>3460</v>
      </c>
      <c r="C32" s="1901">
        <v>4000</v>
      </c>
      <c r="D32" s="1495" t="s">
        <v>4210</v>
      </c>
      <c r="E32" s="1935" t="s">
        <v>61</v>
      </c>
      <c r="F32" s="1543" t="s">
        <v>4211</v>
      </c>
      <c r="G32" s="1568"/>
      <c r="H32" s="1495" t="s">
        <v>19</v>
      </c>
      <c r="I32" s="1773" t="s">
        <v>172</v>
      </c>
      <c r="J32" s="1600" t="s">
        <v>4212</v>
      </c>
      <c r="K32" s="1771"/>
      <c r="L32" s="1493"/>
      <c r="M32" s="1790"/>
    </row>
    <row r="33" spans="1:13" s="1548" customFormat="1" ht="66.75" customHeight="1">
      <c r="A33" s="1542">
        <v>29</v>
      </c>
      <c r="B33" s="1493" t="s">
        <v>3391</v>
      </c>
      <c r="C33" s="1901">
        <v>3300</v>
      </c>
      <c r="D33" s="1495" t="s">
        <v>4213</v>
      </c>
      <c r="E33" s="1935" t="s">
        <v>89</v>
      </c>
      <c r="F33" s="1543" t="s">
        <v>4214</v>
      </c>
      <c r="G33" s="1568"/>
      <c r="H33" s="1495" t="s">
        <v>19</v>
      </c>
      <c r="I33" s="1773" t="s">
        <v>172</v>
      </c>
      <c r="J33" s="1600" t="s">
        <v>4215</v>
      </c>
      <c r="K33" s="1771"/>
      <c r="L33" s="1493"/>
      <c r="M33" s="1790"/>
    </row>
    <row r="34" spans="1:13" s="1945" customFormat="1" ht="106.5" customHeight="1">
      <c r="A34" s="1917">
        <v>30</v>
      </c>
      <c r="B34" s="1869" t="s">
        <v>4216</v>
      </c>
      <c r="C34" s="1918">
        <v>10800</v>
      </c>
      <c r="D34" s="1875" t="s">
        <v>4217</v>
      </c>
      <c r="E34" s="1942" t="s">
        <v>16</v>
      </c>
      <c r="F34" s="1543" t="s">
        <v>4218</v>
      </c>
      <c r="G34" s="1943" t="s">
        <v>4219</v>
      </c>
      <c r="H34" s="1543" t="s">
        <v>19</v>
      </c>
      <c r="I34" s="1899" t="s">
        <v>20</v>
      </c>
      <c r="J34" s="1990" t="s">
        <v>4220</v>
      </c>
      <c r="K34" s="1944"/>
      <c r="L34" s="1871"/>
      <c r="M34" s="1867"/>
    </row>
    <row r="35" spans="1:13" s="1548" customFormat="1" ht="66.75" customHeight="1">
      <c r="A35" s="1542">
        <v>31</v>
      </c>
      <c r="B35" s="1493" t="s">
        <v>3977</v>
      </c>
      <c r="C35" s="1901">
        <v>3550</v>
      </c>
      <c r="D35" s="1495" t="s">
        <v>4221</v>
      </c>
      <c r="E35" s="1493" t="s">
        <v>61</v>
      </c>
      <c r="F35" s="1495" t="s">
        <v>4222</v>
      </c>
      <c r="G35" s="1937" t="s">
        <v>4223</v>
      </c>
      <c r="H35" s="1495" t="s">
        <v>19</v>
      </c>
      <c r="I35" s="1495" t="s">
        <v>172</v>
      </c>
      <c r="J35" s="1600" t="s">
        <v>4224</v>
      </c>
      <c r="K35" s="1547"/>
      <c r="L35" s="1493"/>
      <c r="M35" s="1790"/>
    </row>
    <row r="36" spans="1:13" s="1883" customFormat="1" ht="63" customHeight="1">
      <c r="A36" s="1850">
        <v>32</v>
      </c>
      <c r="B36" s="1630" t="s">
        <v>219</v>
      </c>
      <c r="C36" s="1915">
        <v>3750</v>
      </c>
      <c r="D36" s="1851" t="s">
        <v>4225</v>
      </c>
      <c r="E36" s="1935" t="s">
        <v>61</v>
      </c>
      <c r="F36" s="1851" t="s">
        <v>4226</v>
      </c>
      <c r="G36" s="1937" t="s">
        <v>4227</v>
      </c>
      <c r="H36" s="1495" t="s">
        <v>19</v>
      </c>
      <c r="I36" s="1495" t="s">
        <v>517</v>
      </c>
      <c r="J36" s="1873" t="s">
        <v>4228</v>
      </c>
      <c r="K36" s="1938"/>
      <c r="L36" s="1630"/>
      <c r="M36" s="1882"/>
    </row>
    <row r="37" spans="1:13" s="1883" customFormat="1" ht="141" customHeight="1">
      <c r="A37" s="1850">
        <v>33</v>
      </c>
      <c r="B37" s="1630" t="s">
        <v>4130</v>
      </c>
      <c r="C37" s="1915">
        <v>3350</v>
      </c>
      <c r="D37" s="1851" t="s">
        <v>4229</v>
      </c>
      <c r="E37" s="1935" t="s">
        <v>84</v>
      </c>
      <c r="F37" s="1495" t="s">
        <v>153</v>
      </c>
      <c r="G37" s="1939" t="s">
        <v>4230</v>
      </c>
      <c r="H37" s="1495" t="s">
        <v>19</v>
      </c>
      <c r="I37" s="1495" t="s">
        <v>517</v>
      </c>
      <c r="J37" s="1991" t="s">
        <v>4231</v>
      </c>
      <c r="K37" s="1940"/>
      <c r="L37" s="1941"/>
      <c r="M37" s="1882"/>
    </row>
    <row r="38" spans="1:13" s="1548" customFormat="1" ht="66.75" customHeight="1">
      <c r="A38" s="1542">
        <v>34</v>
      </c>
      <c r="B38" s="1493" t="s">
        <v>4232</v>
      </c>
      <c r="C38" s="1901">
        <v>7000</v>
      </c>
      <c r="D38" s="1495" t="s">
        <v>4233</v>
      </c>
      <c r="E38" s="1935" t="s">
        <v>3095</v>
      </c>
      <c r="F38" s="1495"/>
      <c r="G38" s="1568" t="s">
        <v>4234</v>
      </c>
      <c r="H38" s="1495" t="s">
        <v>19</v>
      </c>
      <c r="I38" s="1495" t="s">
        <v>3950</v>
      </c>
      <c r="J38" s="1600" t="s">
        <v>4235</v>
      </c>
      <c r="K38" s="1547"/>
      <c r="L38" s="1493"/>
      <c r="M38" s="1790"/>
    </row>
    <row r="39" spans="1:13" s="1883" customFormat="1" ht="69.75" customHeight="1">
      <c r="A39" s="1850">
        <v>35</v>
      </c>
      <c r="B39" s="1630" t="s">
        <v>3469</v>
      </c>
      <c r="C39" s="1915">
        <v>4280</v>
      </c>
      <c r="D39" s="1851" t="s">
        <v>4236</v>
      </c>
      <c r="E39" s="1935" t="s">
        <v>61</v>
      </c>
      <c r="F39" s="1875" t="s">
        <v>4237</v>
      </c>
      <c r="G39" s="1943" t="s">
        <v>4227</v>
      </c>
      <c r="H39" s="1543" t="s">
        <v>19</v>
      </c>
      <c r="I39" s="1543" t="s">
        <v>199</v>
      </c>
      <c r="J39" s="1873" t="s">
        <v>4238</v>
      </c>
      <c r="K39" s="1920"/>
      <c r="L39" s="1630"/>
      <c r="M39" s="1882"/>
    </row>
    <row r="40" spans="1:13" s="1883" customFormat="1" ht="128.25" customHeight="1">
      <c r="A40" s="1850">
        <v>36</v>
      </c>
      <c r="B40" s="1630" t="s">
        <v>3320</v>
      </c>
      <c r="C40" s="1915">
        <v>8800</v>
      </c>
      <c r="D40" s="1872" t="s">
        <v>4239</v>
      </c>
      <c r="E40" s="1935" t="s">
        <v>151</v>
      </c>
      <c r="F40" s="1495" t="s">
        <v>4240</v>
      </c>
      <c r="G40" s="1495" t="s">
        <v>4227</v>
      </c>
      <c r="H40" s="1495" t="s">
        <v>19</v>
      </c>
      <c r="I40" s="1495" t="s">
        <v>172</v>
      </c>
      <c r="J40" s="1873" t="s">
        <v>4241</v>
      </c>
      <c r="K40" s="1938"/>
      <c r="L40" s="1630"/>
      <c r="M40" s="1882"/>
    </row>
    <row r="41" spans="1:13" s="1548" customFormat="1" ht="75" customHeight="1">
      <c r="A41" s="1542">
        <v>37</v>
      </c>
      <c r="B41" s="1493" t="s">
        <v>4242</v>
      </c>
      <c r="C41" s="1901">
        <v>17000</v>
      </c>
      <c r="D41" s="1495" t="s">
        <v>4243</v>
      </c>
      <c r="E41" s="1769" t="s">
        <v>4244</v>
      </c>
      <c r="F41" s="1851"/>
      <c r="G41" s="1947" t="s">
        <v>4227</v>
      </c>
      <c r="H41" s="1851" t="s">
        <v>19</v>
      </c>
      <c r="I41" s="1851" t="s">
        <v>3844</v>
      </c>
      <c r="J41" s="1600" t="s">
        <v>4245</v>
      </c>
      <c r="K41" s="1547"/>
      <c r="L41" s="1493"/>
      <c r="M41" s="1790"/>
    </row>
    <row r="42" spans="1:13" s="1559" customFormat="1" ht="67.5" customHeight="1">
      <c r="A42" s="1553">
        <v>38</v>
      </c>
      <c r="B42" s="1545" t="s">
        <v>98</v>
      </c>
      <c r="C42" s="1913">
        <v>4350</v>
      </c>
      <c r="D42" s="1899" t="s">
        <v>4246</v>
      </c>
      <c r="E42" s="1493" t="s">
        <v>89</v>
      </c>
      <c r="F42" s="1946" t="s">
        <v>153</v>
      </c>
      <c r="G42" s="1937" t="s">
        <v>4227</v>
      </c>
      <c r="H42" s="1543" t="s">
        <v>19</v>
      </c>
      <c r="I42" s="1543" t="s">
        <v>123</v>
      </c>
      <c r="J42" s="1605" t="s">
        <v>4247</v>
      </c>
      <c r="K42" s="1936"/>
      <c r="L42" s="1545"/>
      <c r="M42" s="1852"/>
    </row>
    <row r="43" spans="1:13" s="1548" customFormat="1" ht="180" customHeight="1">
      <c r="A43" s="1542">
        <v>39</v>
      </c>
      <c r="B43" s="1493" t="s">
        <v>211</v>
      </c>
      <c r="C43" s="1901">
        <v>4000</v>
      </c>
      <c r="D43" s="1495" t="s">
        <v>4248</v>
      </c>
      <c r="E43" s="1935" t="s">
        <v>61</v>
      </c>
      <c r="F43" s="1495" t="s">
        <v>4249</v>
      </c>
      <c r="G43" s="1937" t="s">
        <v>4227</v>
      </c>
      <c r="H43" s="1495" t="s">
        <v>19</v>
      </c>
      <c r="I43" s="1495" t="s">
        <v>517</v>
      </c>
      <c r="J43" s="1886" t="s">
        <v>4250</v>
      </c>
      <c r="K43" s="1547"/>
      <c r="L43" s="1493"/>
      <c r="M43" s="1790"/>
    </row>
    <row r="44" spans="1:13" s="1548" customFormat="1" ht="91.5" customHeight="1">
      <c r="A44" s="1542">
        <v>40</v>
      </c>
      <c r="B44" s="1493" t="s">
        <v>4157</v>
      </c>
      <c r="C44" s="1901">
        <v>7200</v>
      </c>
      <c r="D44" s="1495" t="s">
        <v>4251</v>
      </c>
      <c r="E44" s="1493" t="s">
        <v>84</v>
      </c>
      <c r="F44" s="1495" t="s">
        <v>4252</v>
      </c>
      <c r="G44" s="1495" t="s">
        <v>4227</v>
      </c>
      <c r="H44" s="1900" t="s">
        <v>19</v>
      </c>
      <c r="I44" s="1899" t="s">
        <v>20</v>
      </c>
      <c r="J44" s="1600" t="s">
        <v>4253</v>
      </c>
      <c r="K44" s="1908" t="s">
        <v>4254</v>
      </c>
      <c r="L44" s="1493"/>
      <c r="M44" s="1790"/>
    </row>
    <row r="45" spans="1:13" s="1548" customFormat="1" ht="143.25" customHeight="1">
      <c r="A45" s="1542">
        <v>41</v>
      </c>
      <c r="B45" s="1493" t="s">
        <v>117</v>
      </c>
      <c r="C45" s="1901">
        <v>4000</v>
      </c>
      <c r="D45" s="1495" t="s">
        <v>4255</v>
      </c>
      <c r="E45" s="1769" t="s">
        <v>84</v>
      </c>
      <c r="F45" s="1875" t="s">
        <v>4256</v>
      </c>
      <c r="G45" s="1943" t="s">
        <v>4227</v>
      </c>
      <c r="H45" s="1495" t="s">
        <v>19</v>
      </c>
      <c r="I45" s="1495" t="s">
        <v>517</v>
      </c>
      <c r="J45" s="1992" t="s">
        <v>4257</v>
      </c>
      <c r="K45" s="1908"/>
      <c r="L45" s="1626"/>
      <c r="M45" s="1790"/>
    </row>
    <row r="46" spans="1:13" s="1883" customFormat="1" ht="73.5" customHeight="1">
      <c r="A46" s="1850">
        <v>42</v>
      </c>
      <c r="B46" s="1630" t="s">
        <v>93</v>
      </c>
      <c r="C46" s="1915">
        <v>2900</v>
      </c>
      <c r="D46" s="1851" t="s">
        <v>4258</v>
      </c>
      <c r="E46" s="1769" t="s">
        <v>84</v>
      </c>
      <c r="F46" s="1495" t="s">
        <v>4259</v>
      </c>
      <c r="G46" s="1495" t="s">
        <v>4227</v>
      </c>
      <c r="H46" s="1851" t="s">
        <v>19</v>
      </c>
      <c r="I46" s="1947" t="s">
        <v>101</v>
      </c>
      <c r="J46" s="1991" t="s">
        <v>4260</v>
      </c>
      <c r="K46" s="1881"/>
      <c r="L46" s="1941"/>
      <c r="M46" s="1882"/>
    </row>
    <row r="47" spans="1:13" s="1958" customFormat="1" ht="62.25" customHeight="1">
      <c r="A47" s="1954">
        <v>43</v>
      </c>
      <c r="B47" s="423" t="s">
        <v>4261</v>
      </c>
      <c r="C47" s="1955">
        <v>5000</v>
      </c>
      <c r="D47" s="427" t="s">
        <v>4262</v>
      </c>
      <c r="E47" s="423" t="s">
        <v>25</v>
      </c>
      <c r="F47" s="427"/>
      <c r="G47" s="427"/>
      <c r="H47" s="1953" t="s">
        <v>19</v>
      </c>
      <c r="I47" s="427" t="s">
        <v>178</v>
      </c>
      <c r="J47" s="424" t="s">
        <v>4263</v>
      </c>
      <c r="K47" s="1956"/>
      <c r="L47" s="423"/>
      <c r="M47" s="1957"/>
    </row>
    <row r="48" spans="1:13" s="1777" customFormat="1" ht="68.25" customHeight="1">
      <c r="A48" s="738">
        <v>44</v>
      </c>
      <c r="B48" s="102"/>
      <c r="C48" s="1167"/>
      <c r="D48" s="109"/>
      <c r="E48" s="102"/>
      <c r="F48" s="109"/>
      <c r="G48" s="109"/>
      <c r="H48" s="109"/>
      <c r="I48" s="109"/>
      <c r="J48" s="696"/>
      <c r="K48" s="143"/>
      <c r="L48" s="102"/>
      <c r="M48" s="1853"/>
    </row>
    <row r="49" spans="1:13" s="1777" customFormat="1" ht="59.25" customHeight="1">
      <c r="A49" s="738">
        <v>45</v>
      </c>
      <c r="B49" s="102"/>
      <c r="C49" s="1167"/>
      <c r="D49" s="109"/>
      <c r="E49" s="102"/>
      <c r="F49" s="109"/>
      <c r="G49" s="109"/>
      <c r="H49" s="109"/>
      <c r="I49" s="109"/>
      <c r="J49" s="670"/>
      <c r="K49" s="143"/>
      <c r="L49" s="102"/>
      <c r="M49" s="1853"/>
    </row>
  </sheetData>
  <autoFilter ref="A4:P71" xr:uid="{00000000-0009-0000-0000-000001000000}"/>
  <mergeCells count="3">
    <mergeCell ref="C1:K1"/>
    <mergeCell ref="A2:K2"/>
    <mergeCell ref="A3:B3"/>
  </mergeCells>
  <conditionalFormatting sqref="A1:A3">
    <cfRule type="duplicateValues" dxfId="420" priority="1071"/>
  </conditionalFormatting>
  <conditionalFormatting sqref="A4">
    <cfRule type="duplicateValues" dxfId="419" priority="4"/>
  </conditionalFormatting>
  <conditionalFormatting sqref="B4">
    <cfRule type="duplicateValues" dxfId="418" priority="1"/>
    <cfRule type="duplicateValues" dxfId="417" priority="2"/>
    <cfRule type="duplicateValues" dxfId="416" priority="3"/>
  </conditionalFormatting>
  <pageMargins left="0.7" right="0.7" top="0.75" bottom="0.75" header="0.3" footer="0.3"/>
  <pageSetup paperSize="9" scale="40" orientation="landscape"/>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02FD76-36E4-4F03-AC4B-531B4DFE7AD4}">
  <sheetPr>
    <tabColor theme="2" tint="-9.9978637043366805E-2"/>
    <pageSetUpPr fitToPage="1"/>
  </sheetPr>
  <dimension ref="A1:N50"/>
  <sheetViews>
    <sheetView topLeftCell="A2" zoomScale="70" zoomScaleNormal="70" workbookViewId="0">
      <pane xSplit="3" ySplit="4" topLeftCell="E39" activePane="bottomRight" state="frozen"/>
      <selection pane="topRight" activeCell="E39" sqref="E39"/>
      <selection pane="bottomLeft" activeCell="E39" sqref="E39"/>
      <selection pane="bottomRight" activeCell="E39" sqref="E39"/>
    </sheetView>
  </sheetViews>
  <sheetFormatPr defaultColWidth="32.140625" defaultRowHeight="58.5" customHeight="1"/>
  <cols>
    <col min="1" max="1" width="10.28515625" style="359" customWidth="1"/>
    <col min="2" max="2" width="38" style="1" customWidth="1"/>
    <col min="3" max="3" width="17.42578125" style="1138" customWidth="1"/>
    <col min="4" max="4" width="25.42578125" style="271" customWidth="1"/>
    <col min="5" max="5" width="24.28515625" style="1" customWidth="1"/>
    <col min="6" max="6" width="25.42578125" style="271" customWidth="1"/>
    <col min="7" max="7" width="31" style="271" customWidth="1"/>
    <col min="8" max="8" width="22.28515625" style="271" customWidth="1"/>
    <col min="9" max="9" width="26.42578125" style="271" customWidth="1"/>
    <col min="10" max="10" width="162.42578125" style="9" customWidth="1"/>
    <col min="11" max="11" width="85.85546875" style="9" customWidth="1"/>
    <col min="12" max="12" width="17.28515625" style="1" customWidth="1"/>
    <col min="13" max="13" width="18.7109375" style="763" customWidth="1"/>
    <col min="14" max="14" width="35.42578125" style="3" customWidth="1"/>
    <col min="15" max="16384" width="32.140625" style="3"/>
  </cols>
  <sheetData>
    <row r="1" spans="1:14" ht="58.5" customHeight="1">
      <c r="B1" s="10"/>
      <c r="C1" s="3624"/>
      <c r="D1" s="3624"/>
      <c r="E1" s="3624"/>
      <c r="F1" s="3624"/>
      <c r="G1" s="3624"/>
      <c r="H1" s="3624"/>
      <c r="I1" s="3624"/>
      <c r="J1" s="3624"/>
      <c r="K1" s="3624"/>
      <c r="M1" s="1848"/>
    </row>
    <row r="2" spans="1:14" ht="3.75" customHeight="1">
      <c r="A2" s="3713"/>
      <c r="B2" s="3713"/>
      <c r="C2" s="3713"/>
      <c r="D2" s="3713"/>
      <c r="E2" s="3713"/>
      <c r="F2" s="3713"/>
      <c r="G2" s="3713"/>
      <c r="H2" s="3713"/>
      <c r="I2" s="3713"/>
      <c r="J2" s="3713"/>
      <c r="K2" s="3713"/>
      <c r="L2" s="3713"/>
      <c r="M2" s="3713"/>
      <c r="N2" s="287"/>
    </row>
    <row r="3" spans="1:14" ht="54" customHeight="1">
      <c r="A3" s="3708" t="s">
        <v>3387</v>
      </c>
      <c r="B3" s="3708"/>
      <c r="C3" s="3708"/>
      <c r="D3" s="3708"/>
      <c r="E3" s="3708"/>
      <c r="F3" s="3708"/>
      <c r="G3" s="3708"/>
      <c r="H3" s="3708"/>
      <c r="I3" s="3708"/>
      <c r="J3" s="3708"/>
      <c r="K3" s="3709"/>
      <c r="L3" s="1905"/>
      <c r="M3" s="1905"/>
      <c r="N3" s="287"/>
    </row>
    <row r="4" spans="1:14" ht="37.5" customHeight="1">
      <c r="A4" s="3712" t="s">
        <v>3388</v>
      </c>
      <c r="B4" s="3712"/>
      <c r="C4" s="1898">
        <f>SUBTOTAL(9,C6:C47)</f>
        <v>244885</v>
      </c>
      <c r="D4" s="1503"/>
      <c r="E4" s="1849"/>
      <c r="F4" s="1503"/>
      <c r="G4" s="1503"/>
      <c r="H4" s="1503"/>
      <c r="I4" s="1503"/>
      <c r="J4" s="1906">
        <f ca="1">TODAY()</f>
        <v>45960</v>
      </c>
      <c r="K4" s="143"/>
      <c r="L4" s="1907"/>
      <c r="M4" s="1849"/>
      <c r="N4" s="287"/>
    </row>
    <row r="5" spans="1:14" s="1535" customFormat="1" ht="60.75" customHeight="1">
      <c r="A5" s="1896" t="s">
        <v>1</v>
      </c>
      <c r="B5" s="1897" t="s">
        <v>2</v>
      </c>
      <c r="C5" s="1178" t="s">
        <v>3</v>
      </c>
      <c r="D5" s="679" t="s">
        <v>3534</v>
      </c>
      <c r="E5" s="679" t="s">
        <v>5</v>
      </c>
      <c r="F5" s="679" t="s">
        <v>3535</v>
      </c>
      <c r="G5" s="679" t="s">
        <v>7</v>
      </c>
      <c r="H5" s="679" t="s">
        <v>8</v>
      </c>
      <c r="I5" s="679" t="s">
        <v>9</v>
      </c>
      <c r="J5" s="679" t="s">
        <v>10</v>
      </c>
      <c r="K5" s="1897" t="s">
        <v>11</v>
      </c>
      <c r="L5" s="679" t="s">
        <v>12</v>
      </c>
      <c r="M5" s="1892" t="s">
        <v>13</v>
      </c>
      <c r="N5" s="1893" t="e">
        <f>SUM(#REF!)</f>
        <v>#REF!</v>
      </c>
    </row>
    <row r="6" spans="1:14" s="1904" customFormat="1" ht="66.75" customHeight="1">
      <c r="A6" s="1542" cm="1">
        <f t="array" ref="A6:A50">_xlfn.SEQUENCE(45,1,1,)</f>
        <v>1</v>
      </c>
      <c r="B6" s="1493" t="s">
        <v>52</v>
      </c>
      <c r="C6" s="1494">
        <v>4600</v>
      </c>
      <c r="D6" s="1495" t="s">
        <v>4264</v>
      </c>
      <c r="E6" s="1493" t="s">
        <v>54</v>
      </c>
      <c r="F6" s="1495" t="s">
        <v>4265</v>
      </c>
      <c r="G6" s="1495" t="s">
        <v>18</v>
      </c>
      <c r="H6" s="1495" t="s">
        <v>19</v>
      </c>
      <c r="I6" s="1495" t="s">
        <v>74</v>
      </c>
      <c r="J6" s="1496" t="s">
        <v>4266</v>
      </c>
      <c r="K6" s="1547"/>
      <c r="L6" s="1493"/>
      <c r="M6" s="1790"/>
      <c r="N6" s="1548"/>
    </row>
    <row r="7" spans="1:14" s="1904" customFormat="1" ht="66.75" customHeight="1">
      <c r="A7" s="1542">
        <v>2</v>
      </c>
      <c r="B7" s="1493" t="s">
        <v>219</v>
      </c>
      <c r="C7" s="1494">
        <v>3800</v>
      </c>
      <c r="D7" s="1495" t="s">
        <v>4264</v>
      </c>
      <c r="E7" s="1493" t="s">
        <v>61</v>
      </c>
      <c r="F7" s="1495" t="s">
        <v>4267</v>
      </c>
      <c r="G7" s="1495" t="s">
        <v>18</v>
      </c>
      <c r="H7" s="1495" t="s">
        <v>19</v>
      </c>
      <c r="I7" s="1495" t="s">
        <v>199</v>
      </c>
      <c r="J7" s="1496" t="s">
        <v>4268</v>
      </c>
      <c r="K7" s="1547"/>
      <c r="L7" s="1493"/>
      <c r="M7" s="1790"/>
      <c r="N7" s="1548"/>
    </row>
    <row r="8" spans="1:14" s="1904" customFormat="1" ht="91.5" customHeight="1">
      <c r="A8" s="1542">
        <v>3</v>
      </c>
      <c r="B8" s="1493" t="s">
        <v>59</v>
      </c>
      <c r="C8" s="1494">
        <v>3300</v>
      </c>
      <c r="D8" s="1495" t="s">
        <v>4269</v>
      </c>
      <c r="E8" s="1493" t="s">
        <v>61</v>
      </c>
      <c r="F8" s="1495" t="s">
        <v>4270</v>
      </c>
      <c r="G8" s="1495" t="s">
        <v>18</v>
      </c>
      <c r="H8" s="1495" t="s">
        <v>19</v>
      </c>
      <c r="I8" s="1495" t="s">
        <v>517</v>
      </c>
      <c r="J8" s="1496" t="s">
        <v>4271</v>
      </c>
      <c r="K8" s="1547"/>
      <c r="L8" s="1493"/>
      <c r="M8" s="1790"/>
      <c r="N8" s="1548"/>
    </row>
    <row r="9" spans="1:14" s="1904" customFormat="1" ht="66.75" customHeight="1">
      <c r="A9" s="1542">
        <v>4</v>
      </c>
      <c r="B9" s="1493" t="s">
        <v>2915</v>
      </c>
      <c r="C9" s="1494">
        <v>3200</v>
      </c>
      <c r="D9" s="1495" t="s">
        <v>4272</v>
      </c>
      <c r="E9" s="1493" t="s">
        <v>89</v>
      </c>
      <c r="F9" s="1495" t="s">
        <v>4273</v>
      </c>
      <c r="G9" s="1495" t="s">
        <v>18</v>
      </c>
      <c r="H9" s="1495" t="s">
        <v>19</v>
      </c>
      <c r="I9" s="1495" t="s">
        <v>63</v>
      </c>
      <c r="J9" s="1496" t="s">
        <v>4274</v>
      </c>
      <c r="K9" s="1547"/>
      <c r="L9" s="1493"/>
      <c r="M9" s="1790"/>
      <c r="N9" s="1548"/>
    </row>
    <row r="10" spans="1:14" s="1904" customFormat="1" ht="83.25" customHeight="1">
      <c r="A10" s="1542">
        <v>5</v>
      </c>
      <c r="B10" s="1493" t="s">
        <v>157</v>
      </c>
      <c r="C10" s="1494">
        <v>3200</v>
      </c>
      <c r="D10" s="1495" t="s">
        <v>4275</v>
      </c>
      <c r="E10" s="1493" t="s">
        <v>89</v>
      </c>
      <c r="F10" s="1495" t="s">
        <v>4276</v>
      </c>
      <c r="G10" s="1495" t="s">
        <v>18</v>
      </c>
      <c r="H10" s="1495" t="s">
        <v>19</v>
      </c>
      <c r="I10" s="1495" t="s">
        <v>517</v>
      </c>
      <c r="J10" s="1600" t="s">
        <v>4277</v>
      </c>
      <c r="K10" s="1547"/>
      <c r="L10" s="1493"/>
      <c r="M10" s="1790"/>
      <c r="N10" s="1548"/>
    </row>
    <row r="11" spans="1:14" s="1904" customFormat="1" ht="63.75" customHeight="1">
      <c r="A11" s="1542">
        <v>6</v>
      </c>
      <c r="B11" s="1493" t="s">
        <v>4278</v>
      </c>
      <c r="C11" s="1494">
        <v>3800</v>
      </c>
      <c r="D11" s="1495" t="s">
        <v>4279</v>
      </c>
      <c r="E11" s="1493" t="s">
        <v>16</v>
      </c>
      <c r="F11" s="1495" t="s">
        <v>4280</v>
      </c>
      <c r="G11" s="1495" t="s">
        <v>18</v>
      </c>
      <c r="H11" s="1495" t="s">
        <v>19</v>
      </c>
      <c r="I11" s="1495" t="s">
        <v>63</v>
      </c>
      <c r="J11" s="1600" t="s">
        <v>4281</v>
      </c>
      <c r="K11" s="1547"/>
      <c r="L11" s="1493"/>
      <c r="M11" s="1790"/>
      <c r="N11" s="1548"/>
    </row>
    <row r="12" spans="1:14" s="1904" customFormat="1" ht="113.25" customHeight="1">
      <c r="A12" s="1542">
        <v>7</v>
      </c>
      <c r="B12" s="1493" t="s">
        <v>4282</v>
      </c>
      <c r="C12" s="1494">
        <v>6600</v>
      </c>
      <c r="D12" s="1495" t="s">
        <v>4283</v>
      </c>
      <c r="E12" s="1493" t="s">
        <v>3095</v>
      </c>
      <c r="F12" s="1495" t="s">
        <v>4284</v>
      </c>
      <c r="G12" s="1495" t="s">
        <v>18</v>
      </c>
      <c r="H12" s="1495" t="s">
        <v>19</v>
      </c>
      <c r="I12" s="1495" t="s">
        <v>3351</v>
      </c>
      <c r="J12" s="1600" t="s">
        <v>4285</v>
      </c>
      <c r="K12" s="1600" t="s">
        <v>4286</v>
      </c>
      <c r="L12" s="1493"/>
      <c r="M12" s="1790"/>
      <c r="N12" s="1548"/>
    </row>
    <row r="13" spans="1:14" s="1548" customFormat="1" ht="102.75" customHeight="1">
      <c r="A13" s="1542">
        <v>8</v>
      </c>
      <c r="B13" s="1493" t="s">
        <v>3460</v>
      </c>
      <c r="C13" s="1494">
        <v>4030</v>
      </c>
      <c r="D13" s="1495" t="s">
        <v>4287</v>
      </c>
      <c r="E13" s="1493" t="s">
        <v>61</v>
      </c>
      <c r="F13" s="1495" t="s">
        <v>4288</v>
      </c>
      <c r="G13" s="1495" t="s">
        <v>18</v>
      </c>
      <c r="H13" s="1495" t="s">
        <v>19</v>
      </c>
      <c r="I13" s="1495" t="s">
        <v>517</v>
      </c>
      <c r="J13" s="1600" t="s">
        <v>4289</v>
      </c>
      <c r="K13" s="1547"/>
      <c r="L13" s="1493"/>
      <c r="M13" s="1790"/>
    </row>
    <row r="14" spans="1:14" s="1548" customFormat="1" ht="76.5" customHeight="1">
      <c r="A14" s="1542">
        <v>9</v>
      </c>
      <c r="B14" s="1493" t="s">
        <v>206</v>
      </c>
      <c r="C14" s="1494">
        <v>4200</v>
      </c>
      <c r="D14" s="1495" t="s">
        <v>4279</v>
      </c>
      <c r="E14" s="1493" t="s">
        <v>61</v>
      </c>
      <c r="F14" s="1495" t="s">
        <v>4290</v>
      </c>
      <c r="G14" s="1495" t="s">
        <v>18</v>
      </c>
      <c r="H14" s="1851" t="s">
        <v>19</v>
      </c>
      <c r="I14" s="1495" t="s">
        <v>172</v>
      </c>
      <c r="J14" s="1600" t="s">
        <v>4291</v>
      </c>
      <c r="K14" s="1547"/>
      <c r="L14" s="1493"/>
      <c r="M14" s="1790"/>
    </row>
    <row r="15" spans="1:14" s="1548" customFormat="1" ht="156.75" customHeight="1">
      <c r="A15" s="1542">
        <v>10</v>
      </c>
      <c r="B15" s="1493" t="s">
        <v>183</v>
      </c>
      <c r="C15" s="1494">
        <v>4000</v>
      </c>
      <c r="D15" s="1495" t="s">
        <v>4292</v>
      </c>
      <c r="E15" s="1493" t="s">
        <v>3345</v>
      </c>
      <c r="F15" s="1495" t="s">
        <v>4293</v>
      </c>
      <c r="G15" s="1495" t="s">
        <v>18</v>
      </c>
      <c r="H15" s="1851" t="s">
        <v>19</v>
      </c>
      <c r="I15" s="1495" t="s">
        <v>28</v>
      </c>
      <c r="J15" s="1600" t="s">
        <v>4294</v>
      </c>
      <c r="K15" s="1547"/>
      <c r="L15" s="1493"/>
      <c r="M15" s="1790"/>
    </row>
    <row r="16" spans="1:14" s="1548" customFormat="1" ht="201.75" customHeight="1">
      <c r="A16" s="1542">
        <v>11</v>
      </c>
      <c r="B16" s="1493" t="s">
        <v>3414</v>
      </c>
      <c r="C16" s="1494">
        <v>24000</v>
      </c>
      <c r="D16" s="1495" t="s">
        <v>4295</v>
      </c>
      <c r="E16" s="1493" t="s">
        <v>3416</v>
      </c>
      <c r="F16" s="1495" t="s">
        <v>4296</v>
      </c>
      <c r="G16" s="1495" t="s">
        <v>18</v>
      </c>
      <c r="H16" s="1495" t="s">
        <v>19</v>
      </c>
      <c r="I16" s="1495" t="s">
        <v>154</v>
      </c>
      <c r="J16" s="1600" t="s">
        <v>4297</v>
      </c>
      <c r="K16" s="1911"/>
      <c r="L16" s="1493"/>
      <c r="M16" s="1790"/>
    </row>
    <row r="17" spans="1:13" s="1548" customFormat="1" ht="71.25" customHeight="1">
      <c r="A17" s="1542">
        <v>12</v>
      </c>
      <c r="B17" s="1493" t="s">
        <v>3391</v>
      </c>
      <c r="C17" s="1494">
        <v>3300</v>
      </c>
      <c r="D17" s="1495" t="s">
        <v>4298</v>
      </c>
      <c r="E17" s="1495" t="s">
        <v>89</v>
      </c>
      <c r="F17" s="1495" t="s">
        <v>4299</v>
      </c>
      <c r="G17" s="1495" t="s">
        <v>18</v>
      </c>
      <c r="H17" s="1495" t="s">
        <v>19</v>
      </c>
      <c r="I17" s="1495" t="s">
        <v>123</v>
      </c>
      <c r="J17" s="1600" t="s">
        <v>4300</v>
      </c>
      <c r="K17" s="1547"/>
      <c r="L17" s="1493"/>
      <c r="M17" s="1790"/>
    </row>
    <row r="18" spans="1:13" s="1548" customFormat="1" ht="71.25" customHeight="1">
      <c r="A18" s="1542">
        <v>13</v>
      </c>
      <c r="B18" s="1493" t="s">
        <v>3856</v>
      </c>
      <c r="C18" s="1494">
        <v>3900</v>
      </c>
      <c r="D18" s="1495" t="s">
        <v>4301</v>
      </c>
      <c r="E18" s="1495" t="s">
        <v>89</v>
      </c>
      <c r="F18" s="1495" t="s">
        <v>4302</v>
      </c>
      <c r="G18" s="1495" t="s">
        <v>18</v>
      </c>
      <c r="H18" s="1495" t="s">
        <v>19</v>
      </c>
      <c r="I18" s="1495" t="s">
        <v>123</v>
      </c>
      <c r="J18" s="1600" t="s">
        <v>4303</v>
      </c>
      <c r="K18" s="1547"/>
      <c r="L18" s="1493"/>
      <c r="M18" s="1790"/>
    </row>
    <row r="19" spans="1:13" s="1548" customFormat="1" ht="255.75" customHeight="1">
      <c r="A19" s="1542">
        <v>14</v>
      </c>
      <c r="B19" s="1493" t="s">
        <v>4304</v>
      </c>
      <c r="C19" s="1494">
        <v>12320</v>
      </c>
      <c r="D19" s="1495" t="s">
        <v>4305</v>
      </c>
      <c r="E19" s="1493" t="s">
        <v>25</v>
      </c>
      <c r="F19" s="1495" t="s">
        <v>4306</v>
      </c>
      <c r="G19" s="1495" t="s">
        <v>18</v>
      </c>
      <c r="H19" s="1851" t="s">
        <v>19</v>
      </c>
      <c r="I19" s="1495" t="s">
        <v>3513</v>
      </c>
      <c r="J19" s="1600" t="s">
        <v>4307</v>
      </c>
      <c r="K19" s="1547"/>
      <c r="L19" s="1493"/>
      <c r="M19" s="1790"/>
    </row>
    <row r="20" spans="1:13" s="1548" customFormat="1" ht="70.5" customHeight="1">
      <c r="A20" s="1542">
        <v>15</v>
      </c>
      <c r="B20" s="1493" t="s">
        <v>4308</v>
      </c>
      <c r="C20" s="1494">
        <v>5000</v>
      </c>
      <c r="D20" s="1624" t="s">
        <v>4309</v>
      </c>
      <c r="E20" s="1493" t="s">
        <v>25</v>
      </c>
      <c r="F20" s="1495" t="s">
        <v>4310</v>
      </c>
      <c r="G20" s="1495" t="s">
        <v>18</v>
      </c>
      <c r="H20" s="1851" t="s">
        <v>19</v>
      </c>
      <c r="I20" s="1495" t="s">
        <v>3844</v>
      </c>
      <c r="J20" s="1600" t="s">
        <v>4311</v>
      </c>
      <c r="K20" s="1547"/>
      <c r="L20" s="1493"/>
      <c r="M20" s="1790"/>
    </row>
    <row r="21" spans="1:13" s="1548" customFormat="1" ht="70.5" customHeight="1">
      <c r="A21" s="1542">
        <v>16</v>
      </c>
      <c r="B21" s="1493" t="s">
        <v>3425</v>
      </c>
      <c r="C21" s="1494">
        <v>3700</v>
      </c>
      <c r="D21" s="1495" t="s">
        <v>4298</v>
      </c>
      <c r="E21" s="1495" t="s">
        <v>89</v>
      </c>
      <c r="F21" s="1495" t="s">
        <v>4312</v>
      </c>
      <c r="G21" s="1495" t="s">
        <v>18</v>
      </c>
      <c r="H21" s="1495" t="s">
        <v>19</v>
      </c>
      <c r="I21" s="1495" t="s">
        <v>517</v>
      </c>
      <c r="J21" s="1600" t="s">
        <v>4313</v>
      </c>
      <c r="K21" s="1547"/>
      <c r="L21" s="1493"/>
      <c r="M21" s="1790"/>
    </row>
    <row r="22" spans="1:13" s="1548" customFormat="1" ht="82.5" customHeight="1">
      <c r="A22" s="1542">
        <v>17</v>
      </c>
      <c r="B22" s="1493" t="s">
        <v>3460</v>
      </c>
      <c r="C22" s="1494">
        <v>4000</v>
      </c>
      <c r="D22" s="1495" t="s">
        <v>4314</v>
      </c>
      <c r="E22" s="1495" t="s">
        <v>61</v>
      </c>
      <c r="F22" s="1495" t="s">
        <v>4315</v>
      </c>
      <c r="G22" s="1495" t="s">
        <v>18</v>
      </c>
      <c r="H22" s="1495" t="s">
        <v>19</v>
      </c>
      <c r="I22" s="1495" t="s">
        <v>517</v>
      </c>
      <c r="J22" s="1600" t="s">
        <v>4316</v>
      </c>
      <c r="K22" s="1547"/>
      <c r="L22" s="1493"/>
      <c r="M22" s="1790"/>
    </row>
    <row r="23" spans="1:13" s="1548" customFormat="1" ht="75" customHeight="1">
      <c r="A23" s="1542">
        <v>18</v>
      </c>
      <c r="B23" s="1493" t="s">
        <v>87</v>
      </c>
      <c r="C23" s="1494">
        <v>1500</v>
      </c>
      <c r="D23" s="1495" t="s">
        <v>4317</v>
      </c>
      <c r="E23" s="1495" t="s">
        <v>89</v>
      </c>
      <c r="F23" s="1495" t="s">
        <v>4318</v>
      </c>
      <c r="G23" s="1495" t="s">
        <v>18</v>
      </c>
      <c r="H23" s="1495" t="s">
        <v>19</v>
      </c>
      <c r="I23" s="1495" t="s">
        <v>517</v>
      </c>
      <c r="J23" s="1600" t="s">
        <v>4319</v>
      </c>
      <c r="K23" s="1547"/>
      <c r="L23" s="1493"/>
      <c r="M23" s="1790"/>
    </row>
    <row r="24" spans="1:13" s="1548" customFormat="1" ht="69.75" customHeight="1">
      <c r="A24" s="1542">
        <v>19</v>
      </c>
      <c r="B24" s="1493" t="s">
        <v>3977</v>
      </c>
      <c r="C24" s="1494">
        <v>3550</v>
      </c>
      <c r="D24" s="1495" t="s">
        <v>4320</v>
      </c>
      <c r="E24" s="1495" t="s">
        <v>61</v>
      </c>
      <c r="F24" s="1495" t="s">
        <v>4321</v>
      </c>
      <c r="G24" s="1495" t="s">
        <v>18</v>
      </c>
      <c r="H24" s="1495" t="s">
        <v>19</v>
      </c>
      <c r="I24" s="1495" t="s">
        <v>172</v>
      </c>
      <c r="J24" s="1600" t="s">
        <v>4322</v>
      </c>
      <c r="K24" s="1547"/>
      <c r="L24" s="1493"/>
      <c r="M24" s="1790"/>
    </row>
    <row r="25" spans="1:13" s="1548" customFormat="1" ht="113.25" customHeight="1">
      <c r="A25" s="1542">
        <v>20</v>
      </c>
      <c r="B25" s="1493" t="s">
        <v>3395</v>
      </c>
      <c r="C25" s="1901">
        <v>11100</v>
      </c>
      <c r="D25" s="1495" t="s">
        <v>4323</v>
      </c>
      <c r="E25" s="1493" t="s">
        <v>16</v>
      </c>
      <c r="F25" s="1495" t="s">
        <v>4324</v>
      </c>
      <c r="G25" s="1495" t="s">
        <v>18</v>
      </c>
      <c r="H25" s="1495" t="s">
        <v>19</v>
      </c>
      <c r="I25" s="1495" t="s">
        <v>3266</v>
      </c>
      <c r="J25" s="1600" t="s">
        <v>4325</v>
      </c>
      <c r="K25" s="1547"/>
      <c r="L25" s="1493"/>
      <c r="M25" s="1790"/>
    </row>
    <row r="26" spans="1:13" s="1548" customFormat="1" ht="130.5" customHeight="1">
      <c r="A26" s="1542">
        <v>21</v>
      </c>
      <c r="B26" s="1493" t="s">
        <v>211</v>
      </c>
      <c r="C26" s="1901">
        <v>3950</v>
      </c>
      <c r="D26" s="1495" t="s">
        <v>4326</v>
      </c>
      <c r="E26" s="1493" t="s">
        <v>61</v>
      </c>
      <c r="F26" s="1495" t="s">
        <v>4327</v>
      </c>
      <c r="G26" s="1495" t="s">
        <v>18</v>
      </c>
      <c r="H26" s="1851" t="s">
        <v>19</v>
      </c>
      <c r="I26" s="1495" t="s">
        <v>4328</v>
      </c>
      <c r="J26" s="1600" t="s">
        <v>4329</v>
      </c>
      <c r="K26" s="1547" t="s">
        <v>4330</v>
      </c>
      <c r="L26" s="1493"/>
      <c r="M26" s="1790"/>
    </row>
    <row r="27" spans="1:13" s="1548" customFormat="1" ht="231.75" customHeight="1">
      <c r="A27" s="1542">
        <v>22</v>
      </c>
      <c r="B27" s="1493" t="s">
        <v>4331</v>
      </c>
      <c r="C27" s="1901">
        <v>7950</v>
      </c>
      <c r="D27" s="1912" t="s">
        <v>4332</v>
      </c>
      <c r="E27" s="1493" t="s">
        <v>2260</v>
      </c>
      <c r="F27" s="1495" t="s">
        <v>4333</v>
      </c>
      <c r="G27" s="1495" t="s">
        <v>18</v>
      </c>
      <c r="H27" s="1851" t="s">
        <v>19</v>
      </c>
      <c r="I27" s="1495" t="s">
        <v>4334</v>
      </c>
      <c r="J27" s="1600" t="s">
        <v>4335</v>
      </c>
      <c r="K27" s="1908"/>
      <c r="L27" s="1493"/>
      <c r="M27" s="1790"/>
    </row>
    <row r="28" spans="1:13" s="1548" customFormat="1" ht="105.75" customHeight="1">
      <c r="A28" s="1542">
        <v>23</v>
      </c>
      <c r="B28" s="1493" t="s">
        <v>2915</v>
      </c>
      <c r="C28" s="1494">
        <v>3300</v>
      </c>
      <c r="D28" s="1495" t="s">
        <v>4336</v>
      </c>
      <c r="E28" s="1495" t="s">
        <v>61</v>
      </c>
      <c r="F28" s="1495" t="s">
        <v>4337</v>
      </c>
      <c r="G28" s="1495" t="s">
        <v>18</v>
      </c>
      <c r="H28" s="1495" t="s">
        <v>19</v>
      </c>
      <c r="I28" s="1495" t="s">
        <v>172</v>
      </c>
      <c r="J28" s="1600" t="s">
        <v>4338</v>
      </c>
      <c r="K28" s="1547"/>
      <c r="L28" s="1493"/>
      <c r="M28" s="1790"/>
    </row>
    <row r="29" spans="1:13" s="1548" customFormat="1" ht="72" customHeight="1">
      <c r="A29" s="1542">
        <v>24</v>
      </c>
      <c r="B29" s="1493" t="s">
        <v>157</v>
      </c>
      <c r="C29" s="1901">
        <v>3240</v>
      </c>
      <c r="D29" s="1495" t="s">
        <v>4339</v>
      </c>
      <c r="E29" s="1493" t="s">
        <v>61</v>
      </c>
      <c r="F29" s="1495" t="s">
        <v>4340</v>
      </c>
      <c r="G29" s="1495" t="s">
        <v>18</v>
      </c>
      <c r="H29" s="1495" t="s">
        <v>19</v>
      </c>
      <c r="I29" s="1495" t="s">
        <v>172</v>
      </c>
      <c r="J29" s="1600" t="s">
        <v>4341</v>
      </c>
      <c r="K29" s="1600"/>
      <c r="L29" s="1493"/>
      <c r="M29" s="1790"/>
    </row>
    <row r="30" spans="1:13" s="1548" customFormat="1" ht="70.5" customHeight="1">
      <c r="A30" s="1542">
        <v>25</v>
      </c>
      <c r="B30" s="1493" t="s">
        <v>98</v>
      </c>
      <c r="C30" s="1494">
        <v>4350</v>
      </c>
      <c r="D30" s="1495" t="s">
        <v>4342</v>
      </c>
      <c r="E30" s="1493" t="s">
        <v>89</v>
      </c>
      <c r="F30" s="1495" t="s">
        <v>4343</v>
      </c>
      <c r="G30" s="1495" t="s">
        <v>18</v>
      </c>
      <c r="H30" s="1495" t="s">
        <v>19</v>
      </c>
      <c r="I30" s="1495" t="s">
        <v>172</v>
      </c>
      <c r="J30" s="1496" t="s">
        <v>4344</v>
      </c>
      <c r="K30" s="1547" t="s">
        <v>4345</v>
      </c>
      <c r="L30" s="1493"/>
      <c r="M30" s="1790"/>
    </row>
    <row r="31" spans="1:13" s="1548" customFormat="1" ht="64.5" customHeight="1">
      <c r="A31" s="1542">
        <v>26</v>
      </c>
      <c r="B31" s="1493" t="s">
        <v>2912</v>
      </c>
      <c r="C31" s="1494">
        <v>4000</v>
      </c>
      <c r="D31" s="1495" t="s">
        <v>4346</v>
      </c>
      <c r="E31" s="1495" t="s">
        <v>61</v>
      </c>
      <c r="F31" s="1495" t="s">
        <v>4347</v>
      </c>
      <c r="G31" s="1495" t="s">
        <v>18</v>
      </c>
      <c r="H31" s="1495" t="s">
        <v>19</v>
      </c>
      <c r="I31" s="1495" t="s">
        <v>4348</v>
      </c>
      <c r="J31" s="1600" t="s">
        <v>4349</v>
      </c>
      <c r="K31" s="1547"/>
      <c r="L31" s="1493"/>
      <c r="M31" s="1790"/>
    </row>
    <row r="32" spans="1:13" s="1548" customFormat="1" ht="131.25" customHeight="1">
      <c r="A32" s="1542">
        <v>27</v>
      </c>
      <c r="B32" s="1493" t="s">
        <v>4350</v>
      </c>
      <c r="C32" s="1494">
        <v>5270</v>
      </c>
      <c r="D32" s="1624" t="s">
        <v>4339</v>
      </c>
      <c r="E32" s="1493" t="s">
        <v>4351</v>
      </c>
      <c r="F32" s="1495" t="s">
        <v>4352</v>
      </c>
      <c r="G32" s="1495" t="s">
        <v>18</v>
      </c>
      <c r="H32" s="1495" t="s">
        <v>19</v>
      </c>
      <c r="I32" s="1495" t="s">
        <v>4353</v>
      </c>
      <c r="J32" s="1600" t="s">
        <v>4354</v>
      </c>
      <c r="K32" s="1771" t="s">
        <v>4355</v>
      </c>
      <c r="L32" s="1493"/>
      <c r="M32" s="1790"/>
    </row>
    <row r="33" spans="1:14" s="1548" customFormat="1" ht="138.75" customHeight="1">
      <c r="A33" s="1542">
        <v>28</v>
      </c>
      <c r="B33" s="1493" t="s">
        <v>3414</v>
      </c>
      <c r="C33" s="1494">
        <v>24000</v>
      </c>
      <c r="D33" s="1495" t="s">
        <v>4356</v>
      </c>
      <c r="E33" s="1493" t="s">
        <v>3416</v>
      </c>
      <c r="F33" s="1495" t="s">
        <v>4357</v>
      </c>
      <c r="G33" s="1495" t="s">
        <v>18</v>
      </c>
      <c r="H33" s="1495" t="s">
        <v>19</v>
      </c>
      <c r="I33" s="1495" t="s">
        <v>3719</v>
      </c>
      <c r="J33" s="1496" t="s">
        <v>4358</v>
      </c>
      <c r="K33" s="1859"/>
      <c r="L33" s="1493"/>
      <c r="M33" s="1790"/>
    </row>
    <row r="34" spans="1:14" s="1548" customFormat="1" ht="90" customHeight="1">
      <c r="A34" s="1542">
        <v>29</v>
      </c>
      <c r="B34" s="1493" t="s">
        <v>3507</v>
      </c>
      <c r="C34" s="1494">
        <v>4400</v>
      </c>
      <c r="D34" s="1495" t="s">
        <v>4359</v>
      </c>
      <c r="E34" s="1493" t="s">
        <v>61</v>
      </c>
      <c r="F34" s="1495" t="s">
        <v>4360</v>
      </c>
      <c r="G34" s="1495" t="s">
        <v>18</v>
      </c>
      <c r="H34" s="1495" t="s">
        <v>19</v>
      </c>
      <c r="I34" s="1495" t="s">
        <v>517</v>
      </c>
      <c r="J34" s="1496" t="s">
        <v>4361</v>
      </c>
      <c r="K34" s="1547"/>
      <c r="L34" s="1493"/>
      <c r="M34" s="1790"/>
    </row>
    <row r="35" spans="1:14" s="1548" customFormat="1" ht="117" customHeight="1">
      <c r="A35" s="1542">
        <v>30</v>
      </c>
      <c r="B35" s="1493" t="s">
        <v>52</v>
      </c>
      <c r="C35" s="1901">
        <v>4620</v>
      </c>
      <c r="D35" s="1495" t="s">
        <v>4362</v>
      </c>
      <c r="E35" s="1493" t="s">
        <v>3401</v>
      </c>
      <c r="F35" s="1495" t="s">
        <v>4363</v>
      </c>
      <c r="G35" s="1495" t="s">
        <v>18</v>
      </c>
      <c r="H35" s="1495" t="s">
        <v>19</v>
      </c>
      <c r="I35" s="1495" t="s">
        <v>517</v>
      </c>
      <c r="J35" s="1600" t="s">
        <v>4364</v>
      </c>
      <c r="K35" s="1600"/>
      <c r="L35" s="1493"/>
      <c r="M35" s="1790"/>
    </row>
    <row r="36" spans="1:14" s="1548" customFormat="1" ht="61.5" customHeight="1">
      <c r="A36" s="1542">
        <v>31</v>
      </c>
      <c r="B36" s="1493" t="s">
        <v>3469</v>
      </c>
      <c r="C36" s="1901">
        <v>3600</v>
      </c>
      <c r="D36" s="1495" t="s">
        <v>4365</v>
      </c>
      <c r="E36" s="1493" t="s">
        <v>61</v>
      </c>
      <c r="F36" s="1495" t="s">
        <v>4366</v>
      </c>
      <c r="G36" s="1495" t="s">
        <v>18</v>
      </c>
      <c r="H36" s="1495" t="s">
        <v>19</v>
      </c>
      <c r="I36" s="1495" t="s">
        <v>517</v>
      </c>
      <c r="J36" s="1600" t="s">
        <v>4367</v>
      </c>
      <c r="K36" s="1600" t="s">
        <v>4368</v>
      </c>
      <c r="L36" s="1493"/>
      <c r="M36" s="1790"/>
    </row>
    <row r="37" spans="1:14" s="1548" customFormat="1" ht="77.25" customHeight="1">
      <c r="A37" s="1542">
        <v>32</v>
      </c>
      <c r="B37" s="1493" t="s">
        <v>59</v>
      </c>
      <c r="C37" s="1901">
        <v>3300</v>
      </c>
      <c r="D37" s="1495" t="s">
        <v>4369</v>
      </c>
      <c r="E37" s="1493" t="s">
        <v>61</v>
      </c>
      <c r="F37" s="1495" t="s">
        <v>4370</v>
      </c>
      <c r="G37" s="1495" t="s">
        <v>18</v>
      </c>
      <c r="H37" s="1495" t="s">
        <v>19</v>
      </c>
      <c r="I37" s="1495" t="s">
        <v>172</v>
      </c>
      <c r="J37" s="1600" t="s">
        <v>4371</v>
      </c>
      <c r="K37" s="1600"/>
      <c r="L37" s="1493"/>
      <c r="M37" s="1790"/>
    </row>
    <row r="38" spans="1:14" s="1559" customFormat="1" ht="78.75" customHeight="1">
      <c r="A38" s="1542">
        <v>33</v>
      </c>
      <c r="B38" s="1493" t="s">
        <v>217</v>
      </c>
      <c r="C38" s="1901">
        <v>4250</v>
      </c>
      <c r="D38" s="1495" t="s">
        <v>4372</v>
      </c>
      <c r="E38" s="1493" t="s">
        <v>3401</v>
      </c>
      <c r="F38" s="1495" t="s">
        <v>4373</v>
      </c>
      <c r="G38" s="1495" t="s">
        <v>18</v>
      </c>
      <c r="H38" s="1495" t="s">
        <v>19</v>
      </c>
      <c r="I38" s="1495" t="s">
        <v>517</v>
      </c>
      <c r="J38" s="1600" t="s">
        <v>4374</v>
      </c>
      <c r="K38" s="1547"/>
      <c r="L38" s="1493"/>
      <c r="M38" s="1790"/>
      <c r="N38" s="1548"/>
    </row>
    <row r="39" spans="1:14" s="1559" customFormat="1" ht="67.5" customHeight="1">
      <c r="A39" s="1553">
        <v>34</v>
      </c>
      <c r="B39" s="1545" t="s">
        <v>219</v>
      </c>
      <c r="C39" s="1913">
        <v>3800</v>
      </c>
      <c r="D39" s="1543" t="s">
        <v>4375</v>
      </c>
      <c r="E39" s="1545" t="s">
        <v>61</v>
      </c>
      <c r="F39" s="1543" t="s">
        <v>4376</v>
      </c>
      <c r="G39" s="1495" t="s">
        <v>18</v>
      </c>
      <c r="H39" s="1495" t="s">
        <v>19</v>
      </c>
      <c r="I39" s="1495" t="s">
        <v>172</v>
      </c>
      <c r="J39" s="1605" t="s">
        <v>4377</v>
      </c>
      <c r="K39" s="1828"/>
      <c r="L39" s="1545"/>
      <c r="M39" s="1852"/>
    </row>
    <row r="40" spans="1:14" s="1559" customFormat="1" ht="83.25" customHeight="1">
      <c r="A40" s="1542">
        <v>35</v>
      </c>
      <c r="B40" s="1493" t="s">
        <v>2921</v>
      </c>
      <c r="C40" s="1901">
        <v>6000</v>
      </c>
      <c r="D40" s="1495" t="s">
        <v>4372</v>
      </c>
      <c r="E40" s="1493" t="s">
        <v>3401</v>
      </c>
      <c r="F40" s="1495"/>
      <c r="G40" s="1495" t="s">
        <v>4378</v>
      </c>
      <c r="H40" s="1495" t="s">
        <v>19</v>
      </c>
      <c r="I40" s="1493" t="s">
        <v>172</v>
      </c>
      <c r="J40" s="1600" t="s">
        <v>4379</v>
      </c>
      <c r="K40" s="1547"/>
      <c r="L40" s="1493"/>
      <c r="M40" s="1790"/>
      <c r="N40" s="1914"/>
    </row>
    <row r="41" spans="1:14" s="1559" customFormat="1" ht="85.5" customHeight="1">
      <c r="A41" s="1542">
        <v>36</v>
      </c>
      <c r="B41" s="1493" t="s">
        <v>4380</v>
      </c>
      <c r="C41" s="1901">
        <v>5000</v>
      </c>
      <c r="D41" s="1495" t="s">
        <v>4381</v>
      </c>
      <c r="E41" s="1493" t="s">
        <v>25</v>
      </c>
      <c r="F41" s="1495" t="s">
        <v>4382</v>
      </c>
      <c r="G41" s="1495" t="s">
        <v>4378</v>
      </c>
      <c r="H41" s="1495" t="s">
        <v>19</v>
      </c>
      <c r="I41" s="1495" t="s">
        <v>178</v>
      </c>
      <c r="J41" s="1600" t="s">
        <v>4383</v>
      </c>
      <c r="K41" s="1600"/>
      <c r="L41" s="1493"/>
      <c r="M41" s="1790"/>
      <c r="N41" s="1548"/>
    </row>
    <row r="42" spans="1:14" s="1548" customFormat="1" ht="84" customHeight="1">
      <c r="A42" s="1542">
        <v>37</v>
      </c>
      <c r="B42" s="1493" t="s">
        <v>3563</v>
      </c>
      <c r="C42" s="1901">
        <v>3550</v>
      </c>
      <c r="D42" s="1495" t="s">
        <v>4384</v>
      </c>
      <c r="E42" s="1493" t="s">
        <v>61</v>
      </c>
      <c r="F42" s="1495" t="s">
        <v>4385</v>
      </c>
      <c r="G42" s="1495" t="s">
        <v>4386</v>
      </c>
      <c r="H42" s="1495" t="s">
        <v>19</v>
      </c>
      <c r="I42" s="1495" t="s">
        <v>172</v>
      </c>
      <c r="J42" s="1600" t="s">
        <v>4387</v>
      </c>
      <c r="K42" s="1600" t="s">
        <v>4388</v>
      </c>
      <c r="L42" s="1493"/>
      <c r="M42" s="1790"/>
    </row>
    <row r="43" spans="1:14" s="1559" customFormat="1" ht="339" customHeight="1">
      <c r="A43" s="1553">
        <v>38</v>
      </c>
      <c r="B43" s="1545" t="s">
        <v>4389</v>
      </c>
      <c r="C43" s="1913">
        <f>15685-7950</f>
        <v>7735</v>
      </c>
      <c r="D43" s="1543" t="s">
        <v>4384</v>
      </c>
      <c r="E43" s="1545" t="s">
        <v>2260</v>
      </c>
      <c r="F43" s="1543" t="s">
        <v>4390</v>
      </c>
      <c r="G43" s="1543" t="s">
        <v>4391</v>
      </c>
      <c r="H43" s="1543" t="s">
        <v>19</v>
      </c>
      <c r="I43" s="1543" t="s">
        <v>4334</v>
      </c>
      <c r="J43" s="1605" t="s">
        <v>4392</v>
      </c>
      <c r="K43" s="1828"/>
      <c r="L43" s="1545"/>
      <c r="M43" s="1852"/>
    </row>
    <row r="44" spans="1:14" s="1548" customFormat="1" ht="102.75" customHeight="1">
      <c r="A44" s="1542">
        <v>39</v>
      </c>
      <c r="B44" s="1493" t="s">
        <v>206</v>
      </c>
      <c r="C44" s="1901">
        <v>4300</v>
      </c>
      <c r="D44" s="1493" t="s">
        <v>4384</v>
      </c>
      <c r="E44" s="1493" t="s">
        <v>3401</v>
      </c>
      <c r="F44" s="1495" t="s">
        <v>4393</v>
      </c>
      <c r="G44" s="1495" t="s">
        <v>4394</v>
      </c>
      <c r="H44" s="1495" t="s">
        <v>19</v>
      </c>
      <c r="I44" s="1495" t="s">
        <v>517</v>
      </c>
      <c r="J44" s="1605" t="s">
        <v>4395</v>
      </c>
      <c r="K44" s="1547"/>
      <c r="L44" s="1493"/>
      <c r="M44" s="1790"/>
    </row>
    <row r="45" spans="1:14" s="1548" customFormat="1" ht="187.5" customHeight="1">
      <c r="A45" s="1850">
        <v>40</v>
      </c>
      <c r="B45" s="1630" t="s">
        <v>3629</v>
      </c>
      <c r="C45" s="1915">
        <v>17000</v>
      </c>
      <c r="D45" s="1851" t="s">
        <v>4396</v>
      </c>
      <c r="E45" s="1630" t="s">
        <v>3416</v>
      </c>
      <c r="F45" s="1851" t="s">
        <v>4397</v>
      </c>
      <c r="G45" s="1851" t="s">
        <v>4398</v>
      </c>
      <c r="H45" s="1851" t="s">
        <v>19</v>
      </c>
      <c r="I45" s="1872" t="s">
        <v>172</v>
      </c>
      <c r="J45" s="1600" t="s">
        <v>4399</v>
      </c>
      <c r="K45" s="1873"/>
      <c r="L45" s="1630"/>
      <c r="M45" s="1882"/>
      <c r="N45" s="1883"/>
    </row>
    <row r="46" spans="1:14" s="1548" customFormat="1" ht="85.5" customHeight="1">
      <c r="A46" s="1542">
        <v>41</v>
      </c>
      <c r="B46" s="1493" t="s">
        <v>71</v>
      </c>
      <c r="C46" s="1901">
        <v>3720</v>
      </c>
      <c r="D46" s="1495" t="s">
        <v>4384</v>
      </c>
      <c r="E46" s="1493" t="s">
        <v>16</v>
      </c>
      <c r="F46" s="1993" t="s">
        <v>4400</v>
      </c>
      <c r="G46" s="1495" t="s">
        <v>4386</v>
      </c>
      <c r="H46" s="1495" t="s">
        <v>19</v>
      </c>
      <c r="I46" s="1495" t="s">
        <v>172</v>
      </c>
      <c r="J46" s="1600" t="s">
        <v>4401</v>
      </c>
      <c r="K46" s="1547"/>
      <c r="L46" s="1493"/>
      <c r="M46" s="1790"/>
      <c r="N46" s="1914"/>
    </row>
    <row r="47" spans="1:14" s="1548" customFormat="1" ht="100.5" customHeight="1">
      <c r="A47" s="1542">
        <v>42</v>
      </c>
      <c r="B47" s="1493" t="s">
        <v>3715</v>
      </c>
      <c r="C47" s="1901">
        <v>4450</v>
      </c>
      <c r="D47" s="1495" t="s">
        <v>4402</v>
      </c>
      <c r="E47" s="1769" t="s">
        <v>84</v>
      </c>
      <c r="F47" s="1495"/>
      <c r="G47" s="1495" t="s">
        <v>4403</v>
      </c>
      <c r="H47" s="1495" t="s">
        <v>19</v>
      </c>
      <c r="I47" s="1495" t="s">
        <v>517</v>
      </c>
      <c r="J47" s="1600" t="s">
        <v>4404</v>
      </c>
      <c r="K47" s="1771"/>
      <c r="L47" s="1493"/>
      <c r="M47" s="1790"/>
    </row>
    <row r="48" spans="1:14" s="1548" customFormat="1" ht="123.75" customHeight="1">
      <c r="A48" s="1542">
        <v>43</v>
      </c>
      <c r="B48" s="1493" t="s">
        <v>4201</v>
      </c>
      <c r="C48" s="1901">
        <v>6950</v>
      </c>
      <c r="D48" s="1495" t="s">
        <v>4405</v>
      </c>
      <c r="E48" s="1493" t="s">
        <v>3095</v>
      </c>
      <c r="F48" s="1495" t="s">
        <v>4406</v>
      </c>
      <c r="G48" s="1543" t="s">
        <v>4391</v>
      </c>
      <c r="H48" s="1495" t="s">
        <v>19</v>
      </c>
      <c r="I48" s="1495" t="s">
        <v>3351</v>
      </c>
      <c r="J48" s="1600" t="s">
        <v>4407</v>
      </c>
      <c r="K48" s="1547"/>
      <c r="L48" s="1493"/>
      <c r="M48" s="1790"/>
    </row>
    <row r="49" spans="1:14" s="1548" customFormat="1" ht="90.75" customHeight="1">
      <c r="A49" s="1542">
        <v>44</v>
      </c>
      <c r="B49" s="1493" t="s">
        <v>112</v>
      </c>
      <c r="C49" s="1901">
        <v>11500</v>
      </c>
      <c r="D49" s="1495" t="s">
        <v>4405</v>
      </c>
      <c r="E49" s="1493" t="s">
        <v>84</v>
      </c>
      <c r="F49" s="1495" t="s">
        <v>153</v>
      </c>
      <c r="G49" s="1495" t="s">
        <v>4408</v>
      </c>
      <c r="H49" s="1495" t="s">
        <v>19</v>
      </c>
      <c r="I49" s="1495" t="s">
        <v>4409</v>
      </c>
      <c r="J49" s="1497" t="s">
        <v>4410</v>
      </c>
      <c r="K49" s="1547" t="s">
        <v>4411</v>
      </c>
      <c r="L49" s="1493"/>
      <c r="M49" s="1790"/>
      <c r="N49" s="1914"/>
    </row>
    <row r="50" spans="1:14" s="1777" customFormat="1" ht="94.5" customHeight="1">
      <c r="A50" s="738">
        <v>45</v>
      </c>
      <c r="B50" s="102"/>
      <c r="C50" s="1148"/>
      <c r="D50" s="109"/>
      <c r="E50" s="102"/>
      <c r="F50" s="109"/>
      <c r="G50" s="109"/>
      <c r="H50" s="109"/>
      <c r="I50" s="109"/>
      <c r="J50" s="696"/>
      <c r="K50" s="143"/>
      <c r="L50" s="102"/>
      <c r="M50" s="1853"/>
    </row>
  </sheetData>
  <autoFilter ref="A5:P76" xr:uid="{00000000-0009-0000-0000-000001000000}"/>
  <mergeCells count="4">
    <mergeCell ref="C1:K1"/>
    <mergeCell ref="A2:M2"/>
    <mergeCell ref="A3:K3"/>
    <mergeCell ref="A4:B4"/>
  </mergeCells>
  <conditionalFormatting sqref="A1:A4">
    <cfRule type="duplicateValues" dxfId="415" priority="5"/>
  </conditionalFormatting>
  <conditionalFormatting sqref="A5">
    <cfRule type="duplicateValues" dxfId="414" priority="4"/>
  </conditionalFormatting>
  <conditionalFormatting sqref="B5">
    <cfRule type="duplicateValues" dxfId="413" priority="1"/>
    <cfRule type="duplicateValues" dxfId="412" priority="2"/>
    <cfRule type="duplicateValues" dxfId="411" priority="3"/>
  </conditionalFormatting>
  <pageMargins left="0.7" right="0.7" top="0.75" bottom="0.75" header="0.3" footer="0.3"/>
  <pageSetup paperSize="9" scale="40" orientation="landscape"/>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08AE15-91FD-45D7-B8B0-7317622ECCAB}">
  <sheetPr>
    <tabColor theme="2" tint="-9.9978637043366805E-2"/>
    <pageSetUpPr fitToPage="1"/>
  </sheetPr>
  <dimension ref="A1:N47"/>
  <sheetViews>
    <sheetView topLeftCell="A2" zoomScale="70" zoomScaleNormal="70" workbookViewId="0">
      <pane xSplit="3" ySplit="4" topLeftCell="E39" activePane="bottomRight" state="frozen"/>
      <selection pane="topRight" activeCell="E39" sqref="E39"/>
      <selection pane="bottomLeft" activeCell="E39" sqref="E39"/>
      <selection pane="bottomRight" activeCell="E39" sqref="E39"/>
    </sheetView>
  </sheetViews>
  <sheetFormatPr defaultColWidth="32.140625" defaultRowHeight="58.5" customHeight="1"/>
  <cols>
    <col min="1" max="1" width="9.42578125" style="359" customWidth="1"/>
    <col min="2" max="2" width="27.7109375" style="1" customWidth="1"/>
    <col min="3" max="3" width="17.140625" style="1138" customWidth="1"/>
    <col min="4" max="4" width="17.85546875" style="271" customWidth="1"/>
    <col min="5" max="5" width="22.28515625" style="1" customWidth="1"/>
    <col min="6" max="6" width="21.42578125" style="271" customWidth="1"/>
    <col min="7" max="7" width="26.5703125" style="271" hidden="1" customWidth="1"/>
    <col min="8" max="8" width="20.140625" style="271" customWidth="1"/>
    <col min="9" max="9" width="20.28515625" style="271" customWidth="1"/>
    <col min="10" max="10" width="116.42578125" style="9" customWidth="1"/>
    <col min="11" max="11" width="85.85546875" style="9" customWidth="1"/>
    <col min="12" max="12" width="17.28515625" style="1" customWidth="1"/>
    <col min="13" max="13" width="18.7109375" style="763" customWidth="1"/>
    <col min="14" max="14" width="35.42578125" style="3" customWidth="1"/>
    <col min="15" max="16384" width="32.140625" style="3"/>
  </cols>
  <sheetData>
    <row r="1" spans="1:14" ht="58.5" customHeight="1">
      <c r="B1" s="10"/>
      <c r="C1" s="3624"/>
      <c r="D1" s="3624"/>
      <c r="E1" s="3624"/>
      <c r="F1" s="3624"/>
      <c r="G1" s="3624"/>
      <c r="H1" s="3624"/>
      <c r="I1" s="3624"/>
      <c r="J1" s="3624"/>
      <c r="K1" s="3624"/>
      <c r="M1" s="1848"/>
    </row>
    <row r="2" spans="1:14" ht="64.5" customHeight="1">
      <c r="A2" s="3713" t="s">
        <v>4412</v>
      </c>
      <c r="B2" s="3713"/>
      <c r="C2" s="3713"/>
      <c r="D2" s="3713"/>
      <c r="E2" s="3713"/>
      <c r="F2" s="3713"/>
      <c r="G2" s="3713"/>
      <c r="H2" s="3713"/>
      <c r="I2" s="3713"/>
      <c r="J2" s="3713"/>
      <c r="K2" s="3713"/>
      <c r="L2" s="3713"/>
      <c r="M2" s="3713"/>
      <c r="N2" s="287"/>
    </row>
    <row r="3" spans="1:14" ht="51.75" customHeight="1">
      <c r="A3" s="3708" t="s">
        <v>4413</v>
      </c>
      <c r="B3" s="3708"/>
      <c r="C3" s="3708"/>
      <c r="D3" s="3708"/>
      <c r="E3" s="3708"/>
      <c r="F3" s="3708"/>
      <c r="G3" s="3708"/>
      <c r="H3" s="3708"/>
      <c r="I3" s="3708"/>
      <c r="J3" s="3708"/>
      <c r="K3" s="3709"/>
      <c r="L3" s="1905"/>
      <c r="M3" s="1905"/>
      <c r="N3" s="287"/>
    </row>
    <row r="4" spans="1:14" ht="48.75" customHeight="1">
      <c r="A4" s="3712" t="s">
        <v>3388</v>
      </c>
      <c r="B4" s="3712"/>
      <c r="C4" s="1898">
        <f>SUM(C6:C46)</f>
        <v>269370</v>
      </c>
      <c r="D4" s="1503"/>
      <c r="E4" s="1849"/>
      <c r="F4" s="1503"/>
      <c r="G4" s="1503"/>
      <c r="H4" s="1503"/>
      <c r="I4" s="1503"/>
      <c r="J4" s="1906">
        <f ca="1">TODAY()</f>
        <v>45960</v>
      </c>
      <c r="K4" s="143"/>
      <c r="L4" s="1907"/>
      <c r="M4" s="1849"/>
      <c r="N4" s="287"/>
    </row>
    <row r="5" spans="1:14" s="1535" customFormat="1" ht="60.75" customHeight="1">
      <c r="A5" s="1896" t="s">
        <v>1</v>
      </c>
      <c r="B5" s="1897" t="s">
        <v>2</v>
      </c>
      <c r="C5" s="1178" t="s">
        <v>3</v>
      </c>
      <c r="D5" s="679" t="s">
        <v>3534</v>
      </c>
      <c r="E5" s="679" t="s">
        <v>5</v>
      </c>
      <c r="F5" s="679" t="s">
        <v>3535</v>
      </c>
      <c r="G5" s="679" t="s">
        <v>7</v>
      </c>
      <c r="H5" s="679" t="s">
        <v>8</v>
      </c>
      <c r="I5" s="679" t="s">
        <v>9</v>
      </c>
      <c r="J5" s="679" t="s">
        <v>10</v>
      </c>
      <c r="K5" s="1897" t="s">
        <v>11</v>
      </c>
      <c r="L5" s="679" t="s">
        <v>12</v>
      </c>
      <c r="M5" s="1892" t="s">
        <v>13</v>
      </c>
      <c r="N5" s="1893" t="e">
        <f>SUM(#REF!)</f>
        <v>#REF!</v>
      </c>
    </row>
    <row r="6" spans="1:14" s="1904" customFormat="1" ht="93.75" customHeight="1">
      <c r="A6" s="1542" cm="1">
        <f t="array" ref="A6:A47">_xlfn.SEQUENCE(42,1,1,)</f>
        <v>1</v>
      </c>
      <c r="B6" s="1493" t="s">
        <v>98</v>
      </c>
      <c r="C6" s="1494">
        <v>4350</v>
      </c>
      <c r="D6" s="1624" t="s">
        <v>4414</v>
      </c>
      <c r="E6" s="1493" t="s">
        <v>89</v>
      </c>
      <c r="F6" s="1495" t="s">
        <v>4415</v>
      </c>
      <c r="G6" s="1495" t="s">
        <v>18</v>
      </c>
      <c r="H6" s="1495" t="s">
        <v>19</v>
      </c>
      <c r="I6" s="1495" t="s">
        <v>253</v>
      </c>
      <c r="J6" s="1600" t="s">
        <v>4416</v>
      </c>
      <c r="K6" s="1547"/>
      <c r="L6" s="1493"/>
      <c r="M6" s="1790"/>
      <c r="N6" s="1548"/>
    </row>
    <row r="7" spans="1:14" s="1904" customFormat="1" ht="336.75" customHeight="1">
      <c r="A7" s="1542">
        <v>2</v>
      </c>
      <c r="B7" s="1493" t="s">
        <v>4417</v>
      </c>
      <c r="C7" s="1901">
        <v>24000</v>
      </c>
      <c r="D7" s="1493" t="s">
        <v>4418</v>
      </c>
      <c r="E7" s="1493" t="s">
        <v>3416</v>
      </c>
      <c r="F7" s="1495" t="s">
        <v>4419</v>
      </c>
      <c r="G7" s="1495" t="s">
        <v>18</v>
      </c>
      <c r="H7" s="1495" t="s">
        <v>19</v>
      </c>
      <c r="I7" s="1495" t="s">
        <v>517</v>
      </c>
      <c r="J7" s="1496" t="s">
        <v>4420</v>
      </c>
      <c r="K7" s="1547"/>
      <c r="L7" s="1493"/>
      <c r="M7" s="1790"/>
      <c r="N7" s="1548"/>
    </row>
    <row r="8" spans="1:14" s="1548" customFormat="1" ht="98.25" customHeight="1">
      <c r="A8" s="1542">
        <v>3</v>
      </c>
      <c r="B8" s="1493" t="s">
        <v>4421</v>
      </c>
      <c r="C8" s="1494">
        <v>10000</v>
      </c>
      <c r="D8" s="1495" t="s">
        <v>4422</v>
      </c>
      <c r="E8" s="1495" t="s">
        <v>25</v>
      </c>
      <c r="F8" s="1495" t="s">
        <v>4423</v>
      </c>
      <c r="G8" s="1495" t="s">
        <v>18</v>
      </c>
      <c r="H8" s="1495" t="s">
        <v>3423</v>
      </c>
      <c r="I8" s="1495" t="s">
        <v>178</v>
      </c>
      <c r="J8" s="1600" t="s">
        <v>4424</v>
      </c>
      <c r="K8" s="1547"/>
      <c r="L8" s="1493"/>
      <c r="M8" s="1790"/>
    </row>
    <row r="9" spans="1:14" s="1548" customFormat="1" ht="71.25" customHeight="1">
      <c r="A9" s="1542">
        <v>4</v>
      </c>
      <c r="B9" s="1493" t="s">
        <v>117</v>
      </c>
      <c r="C9" s="1494">
        <v>3300</v>
      </c>
      <c r="D9" s="1624" t="s">
        <v>4425</v>
      </c>
      <c r="E9" s="1493" t="s">
        <v>84</v>
      </c>
      <c r="F9" s="1495" t="s">
        <v>4426</v>
      </c>
      <c r="G9" s="1495" t="s">
        <v>18</v>
      </c>
      <c r="H9" s="1495" t="s">
        <v>19</v>
      </c>
      <c r="I9" s="1495" t="s">
        <v>4427</v>
      </c>
      <c r="J9" s="1600" t="s">
        <v>4428</v>
      </c>
      <c r="K9" s="1547"/>
      <c r="L9" s="1493"/>
      <c r="M9" s="1790"/>
    </row>
    <row r="10" spans="1:14" s="1548" customFormat="1" ht="350.25" customHeight="1">
      <c r="A10" s="1542">
        <v>5</v>
      </c>
      <c r="B10" s="1493" t="s">
        <v>4429</v>
      </c>
      <c r="C10" s="1494">
        <v>20530</v>
      </c>
      <c r="D10" s="1495" t="s">
        <v>4422</v>
      </c>
      <c r="E10" s="1493" t="s">
        <v>3095</v>
      </c>
      <c r="F10" s="1495" t="s">
        <v>4430</v>
      </c>
      <c r="G10" s="1495" t="s">
        <v>18</v>
      </c>
      <c r="H10" s="1495" t="s">
        <v>19</v>
      </c>
      <c r="I10" s="1495" t="s">
        <v>3351</v>
      </c>
      <c r="J10" s="1600" t="s">
        <v>4431</v>
      </c>
      <c r="K10" s="1547"/>
      <c r="L10" s="1493"/>
      <c r="M10" s="1790"/>
    </row>
    <row r="11" spans="1:14" s="1548" customFormat="1" ht="99.75" customHeight="1">
      <c r="A11" s="1542">
        <v>6</v>
      </c>
      <c r="B11" s="1493" t="s">
        <v>3211</v>
      </c>
      <c r="C11" s="1494">
        <v>4250</v>
      </c>
      <c r="D11" s="1495" t="s">
        <v>4432</v>
      </c>
      <c r="E11" s="1493" t="s">
        <v>16</v>
      </c>
      <c r="F11" s="1495" t="s">
        <v>153</v>
      </c>
      <c r="G11" s="1495" t="s">
        <v>18</v>
      </c>
      <c r="H11" s="1851" t="s">
        <v>19</v>
      </c>
      <c r="I11" s="1495" t="s">
        <v>517</v>
      </c>
      <c r="J11" s="1496" t="s">
        <v>4433</v>
      </c>
      <c r="K11" s="1547"/>
      <c r="L11" s="1493"/>
      <c r="M11" s="1790"/>
    </row>
    <row r="12" spans="1:14" s="1548" customFormat="1" ht="118.5" customHeight="1">
      <c r="A12" s="1542">
        <v>7</v>
      </c>
      <c r="B12" s="1493" t="s">
        <v>98</v>
      </c>
      <c r="C12" s="1494">
        <v>4350</v>
      </c>
      <c r="D12" s="1495" t="s">
        <v>4434</v>
      </c>
      <c r="E12" s="1493" t="s">
        <v>89</v>
      </c>
      <c r="F12" s="1495" t="s">
        <v>4435</v>
      </c>
      <c r="G12" s="1495" t="s">
        <v>18</v>
      </c>
      <c r="H12" s="1495" t="s">
        <v>19</v>
      </c>
      <c r="I12" s="1495" t="s">
        <v>172</v>
      </c>
      <c r="J12" s="1600" t="s">
        <v>4436</v>
      </c>
      <c r="K12" s="1547"/>
      <c r="L12" s="1493"/>
      <c r="M12" s="1790"/>
    </row>
    <row r="13" spans="1:14" s="1548" customFormat="1" ht="81.75" customHeight="1">
      <c r="A13" s="1542">
        <v>8</v>
      </c>
      <c r="B13" s="1493" t="s">
        <v>2906</v>
      </c>
      <c r="C13" s="1494">
        <v>3500</v>
      </c>
      <c r="D13" s="1495" t="s">
        <v>4437</v>
      </c>
      <c r="E13" s="1493" t="s">
        <v>89</v>
      </c>
      <c r="F13" s="1495" t="s">
        <v>4438</v>
      </c>
      <c r="G13" s="1495" t="s">
        <v>18</v>
      </c>
      <c r="H13" s="1495" t="s">
        <v>19</v>
      </c>
      <c r="I13" s="1495" t="s">
        <v>172</v>
      </c>
      <c r="J13" s="1600" t="s">
        <v>4439</v>
      </c>
      <c r="K13" s="1547"/>
      <c r="L13" s="1493"/>
      <c r="M13" s="1790"/>
    </row>
    <row r="14" spans="1:14" s="1548" customFormat="1" ht="77.25" customHeight="1">
      <c r="A14" s="1542">
        <v>9</v>
      </c>
      <c r="B14" s="1493" t="s">
        <v>3469</v>
      </c>
      <c r="C14" s="1494">
        <v>4280</v>
      </c>
      <c r="D14" s="1624" t="s">
        <v>4440</v>
      </c>
      <c r="E14" s="1493" t="s">
        <v>84</v>
      </c>
      <c r="F14" s="1495" t="s">
        <v>4441</v>
      </c>
      <c r="G14" s="1495" t="s">
        <v>4442</v>
      </c>
      <c r="H14" s="1495" t="s">
        <v>19</v>
      </c>
      <c r="I14" s="1495" t="s">
        <v>517</v>
      </c>
      <c r="J14" s="1600" t="s">
        <v>4443</v>
      </c>
      <c r="K14" s="1547"/>
      <c r="L14" s="1493"/>
      <c r="M14" s="1790"/>
    </row>
    <row r="15" spans="1:14" s="1548" customFormat="1" ht="143.25" customHeight="1">
      <c r="A15" s="1542">
        <v>10</v>
      </c>
      <c r="B15" s="1493" t="s">
        <v>3115</v>
      </c>
      <c r="C15" s="1901">
        <v>9850</v>
      </c>
      <c r="D15" s="1495" t="s">
        <v>4444</v>
      </c>
      <c r="E15" s="1493" t="s">
        <v>3401</v>
      </c>
      <c r="F15" s="1495" t="s">
        <v>4445</v>
      </c>
      <c r="G15" s="1495" t="s">
        <v>4446</v>
      </c>
      <c r="H15" s="1495" t="s">
        <v>19</v>
      </c>
      <c r="I15" s="1495" t="s">
        <v>154</v>
      </c>
      <c r="J15" s="1600" t="s">
        <v>4447</v>
      </c>
      <c r="K15" s="1547"/>
      <c r="L15" s="1493"/>
      <c r="M15" s="1790"/>
    </row>
    <row r="16" spans="1:14" s="1548" customFormat="1" ht="241.5" customHeight="1">
      <c r="A16" s="1542">
        <v>11</v>
      </c>
      <c r="B16" s="1493" t="s">
        <v>4448</v>
      </c>
      <c r="C16" s="1494">
        <v>13600</v>
      </c>
      <c r="D16" s="1624" t="s">
        <v>4449</v>
      </c>
      <c r="E16" s="1493" t="s">
        <v>25</v>
      </c>
      <c r="F16" s="1495" t="s">
        <v>4450</v>
      </c>
      <c r="G16" s="1495" t="s">
        <v>18</v>
      </c>
      <c r="H16" s="1495" t="s">
        <v>3423</v>
      </c>
      <c r="I16" s="1495" t="s">
        <v>4451</v>
      </c>
      <c r="J16" s="1600" t="s">
        <v>4452</v>
      </c>
      <c r="K16" s="1547"/>
      <c r="L16" s="1493"/>
      <c r="M16" s="1790"/>
    </row>
    <row r="17" spans="1:13" s="1548" customFormat="1" ht="69" customHeight="1">
      <c r="A17" s="1542">
        <v>12</v>
      </c>
      <c r="B17" s="1493" t="s">
        <v>3856</v>
      </c>
      <c r="C17" s="1901">
        <v>4000</v>
      </c>
      <c r="D17" s="1493" t="s">
        <v>4453</v>
      </c>
      <c r="E17" s="1493" t="s">
        <v>16</v>
      </c>
      <c r="F17" s="1495" t="s">
        <v>4454</v>
      </c>
      <c r="G17" s="1495" t="s">
        <v>4455</v>
      </c>
      <c r="H17" s="1495" t="s">
        <v>19</v>
      </c>
      <c r="I17" s="1495" t="s">
        <v>253</v>
      </c>
      <c r="J17" s="1600" t="s">
        <v>4456</v>
      </c>
      <c r="K17" s="1908" t="s">
        <v>4457</v>
      </c>
      <c r="L17" s="1493"/>
      <c r="M17" s="1790"/>
    </row>
    <row r="18" spans="1:13" s="1548" customFormat="1" ht="69" customHeight="1">
      <c r="A18" s="1542">
        <v>13</v>
      </c>
      <c r="B18" s="1493" t="s">
        <v>71</v>
      </c>
      <c r="C18" s="1901">
        <v>3700</v>
      </c>
      <c r="D18" s="1495" t="s">
        <v>4449</v>
      </c>
      <c r="E18" s="1493" t="s">
        <v>151</v>
      </c>
      <c r="F18" s="1495" t="s">
        <v>4458</v>
      </c>
      <c r="G18" s="1495" t="s">
        <v>4455</v>
      </c>
      <c r="H18" s="1495" t="s">
        <v>19</v>
      </c>
      <c r="I18" s="1495" t="s">
        <v>517</v>
      </c>
      <c r="J18" s="1600" t="s">
        <v>4459</v>
      </c>
      <c r="K18" s="1547"/>
      <c r="L18" s="1493"/>
      <c r="M18" s="1790"/>
    </row>
    <row r="19" spans="1:13" s="1548" customFormat="1" ht="77.25" customHeight="1">
      <c r="A19" s="1542">
        <v>14</v>
      </c>
      <c r="B19" s="1493" t="s">
        <v>52</v>
      </c>
      <c r="C19" s="1901">
        <v>4400</v>
      </c>
      <c r="D19" s="1495" t="s">
        <v>4460</v>
      </c>
      <c r="E19" s="1493" t="s">
        <v>16</v>
      </c>
      <c r="F19" s="1495" t="s">
        <v>4461</v>
      </c>
      <c r="G19" s="1495" t="s">
        <v>4462</v>
      </c>
      <c r="H19" s="1495" t="s">
        <v>19</v>
      </c>
      <c r="I19" s="1495" t="s">
        <v>123</v>
      </c>
      <c r="J19" s="1600" t="s">
        <v>4463</v>
      </c>
      <c r="K19" s="1547" t="s">
        <v>4464</v>
      </c>
      <c r="L19" s="1493"/>
      <c r="M19" s="1790"/>
    </row>
    <row r="20" spans="1:13" s="1548" customFormat="1" ht="77.25" customHeight="1">
      <c r="A20" s="1542">
        <v>15</v>
      </c>
      <c r="B20" s="1493" t="s">
        <v>3507</v>
      </c>
      <c r="C20" s="1901">
        <v>4400</v>
      </c>
      <c r="D20" s="1495" t="s">
        <v>4465</v>
      </c>
      <c r="E20" s="1493" t="s">
        <v>61</v>
      </c>
      <c r="F20" s="1495" t="s">
        <v>4466</v>
      </c>
      <c r="G20" s="1495" t="s">
        <v>4467</v>
      </c>
      <c r="H20" s="1495" t="s">
        <v>19</v>
      </c>
      <c r="I20" s="1495" t="s">
        <v>172</v>
      </c>
      <c r="J20" s="1600" t="s">
        <v>4468</v>
      </c>
      <c r="K20" s="1547"/>
      <c r="L20" s="1493"/>
      <c r="M20" s="1790"/>
    </row>
    <row r="21" spans="1:13" s="1548" customFormat="1" ht="77.25" customHeight="1">
      <c r="A21" s="1542">
        <v>16</v>
      </c>
      <c r="B21" s="1493" t="s">
        <v>3715</v>
      </c>
      <c r="C21" s="1901">
        <v>4330</v>
      </c>
      <c r="D21" s="1495" t="s">
        <v>4465</v>
      </c>
      <c r="E21" s="1493" t="s">
        <v>84</v>
      </c>
      <c r="F21" s="1495" t="s">
        <v>4469</v>
      </c>
      <c r="G21" s="1495" t="s">
        <v>4467</v>
      </c>
      <c r="H21" s="1495" t="s">
        <v>19</v>
      </c>
      <c r="I21" s="1495" t="s">
        <v>20</v>
      </c>
      <c r="J21" s="1600" t="s">
        <v>4470</v>
      </c>
      <c r="K21" s="1547"/>
      <c r="L21" s="1493"/>
      <c r="M21" s="1790"/>
    </row>
    <row r="22" spans="1:13" s="1548" customFormat="1" ht="66.75" customHeight="1">
      <c r="A22" s="1542">
        <v>17</v>
      </c>
      <c r="B22" s="1902" t="s">
        <v>206</v>
      </c>
      <c r="C22" s="1901">
        <v>4300</v>
      </c>
      <c r="D22" s="1495" t="s">
        <v>4471</v>
      </c>
      <c r="E22" s="1493" t="s">
        <v>3401</v>
      </c>
      <c r="F22" s="1495" t="s">
        <v>4472</v>
      </c>
      <c r="G22" s="1495" t="s">
        <v>4473</v>
      </c>
      <c r="H22" s="1495" t="s">
        <v>19</v>
      </c>
      <c r="I22" s="1495" t="s">
        <v>123</v>
      </c>
      <c r="J22" s="1600" t="s">
        <v>4474</v>
      </c>
      <c r="K22" s="1600" t="s">
        <v>4475</v>
      </c>
      <c r="L22" s="1493"/>
      <c r="M22" s="1790"/>
    </row>
    <row r="23" spans="1:13" s="1548" customFormat="1" ht="66.75" customHeight="1">
      <c r="A23" s="1542">
        <v>18</v>
      </c>
      <c r="B23" s="1493" t="s">
        <v>2915</v>
      </c>
      <c r="C23" s="1901">
        <v>3200</v>
      </c>
      <c r="D23" s="1495" t="s">
        <v>4476</v>
      </c>
      <c r="E23" s="1493" t="s">
        <v>84</v>
      </c>
      <c r="F23" s="1495" t="s">
        <v>4477</v>
      </c>
      <c r="G23" s="1495" t="s">
        <v>4473</v>
      </c>
      <c r="H23" s="1495" t="s">
        <v>19</v>
      </c>
      <c r="I23" s="1495" t="s">
        <v>172</v>
      </c>
      <c r="J23" s="1600" t="s">
        <v>4478</v>
      </c>
      <c r="K23" s="1547" t="s">
        <v>4479</v>
      </c>
      <c r="L23" s="1493"/>
      <c r="M23" s="1790"/>
    </row>
    <row r="24" spans="1:13" s="1548" customFormat="1" ht="66.75" customHeight="1">
      <c r="A24" s="1542">
        <v>19</v>
      </c>
      <c r="B24" s="1902" t="s">
        <v>93</v>
      </c>
      <c r="C24" s="1901">
        <v>2950</v>
      </c>
      <c r="D24" s="1495" t="s">
        <v>4317</v>
      </c>
      <c r="E24" s="1493" t="s">
        <v>84</v>
      </c>
      <c r="F24" s="1495" t="s">
        <v>4480</v>
      </c>
      <c r="G24" s="1495" t="s">
        <v>4481</v>
      </c>
      <c r="H24" s="1495" t="s">
        <v>19</v>
      </c>
      <c r="I24" s="1495" t="s">
        <v>123</v>
      </c>
      <c r="J24" s="1600" t="s">
        <v>4482</v>
      </c>
      <c r="K24" s="1600" t="s">
        <v>4475</v>
      </c>
      <c r="L24" s="1493"/>
      <c r="M24" s="1790"/>
    </row>
    <row r="25" spans="1:13" s="1548" customFormat="1" ht="66.75" customHeight="1">
      <c r="A25" s="1542">
        <v>20</v>
      </c>
      <c r="B25" s="1902" t="s">
        <v>3460</v>
      </c>
      <c r="C25" s="1901">
        <v>4000</v>
      </c>
      <c r="D25" s="1495" t="s">
        <v>4483</v>
      </c>
      <c r="E25" s="1493" t="s">
        <v>61</v>
      </c>
      <c r="F25" s="1495" t="s">
        <v>4484</v>
      </c>
      <c r="G25" s="1495" t="s">
        <v>4485</v>
      </c>
      <c r="H25" s="1495" t="s">
        <v>19</v>
      </c>
      <c r="I25" s="1495" t="s">
        <v>253</v>
      </c>
      <c r="J25" s="1464" t="s">
        <v>4486</v>
      </c>
      <c r="K25" s="1547"/>
      <c r="L25" s="1493"/>
      <c r="M25" s="1790"/>
    </row>
    <row r="26" spans="1:13" s="1548" customFormat="1" ht="66.75" customHeight="1">
      <c r="A26" s="1542">
        <v>21</v>
      </c>
      <c r="B26" s="1493" t="s">
        <v>3856</v>
      </c>
      <c r="C26" s="1901">
        <v>4000</v>
      </c>
      <c r="D26" s="1495" t="s">
        <v>4487</v>
      </c>
      <c r="E26" s="1493" t="s">
        <v>16</v>
      </c>
      <c r="F26" s="1495" t="s">
        <v>4488</v>
      </c>
      <c r="G26" s="1495" t="s">
        <v>4485</v>
      </c>
      <c r="H26" s="1495" t="s">
        <v>19</v>
      </c>
      <c r="I26" s="1495" t="s">
        <v>123</v>
      </c>
      <c r="J26" s="1600" t="s">
        <v>4489</v>
      </c>
      <c r="K26" s="1600" t="s">
        <v>4475</v>
      </c>
      <c r="L26" s="1493"/>
      <c r="M26" s="1790"/>
    </row>
    <row r="27" spans="1:13" s="1548" customFormat="1" ht="66.75" customHeight="1">
      <c r="A27" s="1542">
        <v>22</v>
      </c>
      <c r="B27" s="1493" t="s">
        <v>4130</v>
      </c>
      <c r="C27" s="1901">
        <v>3350</v>
      </c>
      <c r="D27" s="1495" t="s">
        <v>4490</v>
      </c>
      <c r="E27" s="1493" t="s">
        <v>84</v>
      </c>
      <c r="F27" s="1495" t="s">
        <v>4491</v>
      </c>
      <c r="G27" s="1495" t="s">
        <v>4485</v>
      </c>
      <c r="H27" s="1495" t="s">
        <v>19</v>
      </c>
      <c r="I27" s="1495" t="s">
        <v>172</v>
      </c>
      <c r="J27" s="1600" t="s">
        <v>4492</v>
      </c>
      <c r="K27" s="1547" t="s">
        <v>4493</v>
      </c>
      <c r="L27" s="1493"/>
      <c r="M27" s="1790"/>
    </row>
    <row r="28" spans="1:13" s="1548" customFormat="1" ht="66.75" customHeight="1">
      <c r="A28" s="1542">
        <v>23</v>
      </c>
      <c r="B28" s="1493" t="s">
        <v>3563</v>
      </c>
      <c r="C28" s="1901">
        <v>3550</v>
      </c>
      <c r="D28" s="1495" t="s">
        <v>4494</v>
      </c>
      <c r="E28" s="1493" t="s">
        <v>61</v>
      </c>
      <c r="F28" s="1495" t="s">
        <v>4495</v>
      </c>
      <c r="G28" s="1495" t="s">
        <v>4485</v>
      </c>
      <c r="H28" s="1495" t="s">
        <v>19</v>
      </c>
      <c r="I28" s="1495" t="s">
        <v>172</v>
      </c>
      <c r="J28" s="1600" t="s">
        <v>4496</v>
      </c>
      <c r="K28" s="1547" t="s">
        <v>4493</v>
      </c>
      <c r="L28" s="1493"/>
      <c r="M28" s="1790"/>
    </row>
    <row r="29" spans="1:13" s="1548" customFormat="1" ht="82.5" customHeight="1">
      <c r="A29" s="1542">
        <v>24</v>
      </c>
      <c r="B29" s="1493" t="s">
        <v>150</v>
      </c>
      <c r="C29" s="1901">
        <v>8300</v>
      </c>
      <c r="D29" s="1495" t="s">
        <v>4497</v>
      </c>
      <c r="E29" s="1493" t="s">
        <v>151</v>
      </c>
      <c r="F29" s="1495" t="s">
        <v>4498</v>
      </c>
      <c r="G29" s="1495" t="s">
        <v>4499</v>
      </c>
      <c r="H29" s="1495" t="s">
        <v>19</v>
      </c>
      <c r="I29" s="1495" t="s">
        <v>114</v>
      </c>
      <c r="J29" s="1600" t="s">
        <v>4500</v>
      </c>
      <c r="K29" s="1547"/>
      <c r="L29" s="1493"/>
      <c r="M29" s="1790"/>
    </row>
    <row r="30" spans="1:13" s="1548" customFormat="1" ht="82.5" customHeight="1">
      <c r="A30" s="1542">
        <v>25</v>
      </c>
      <c r="B30" s="1493" t="s">
        <v>4278</v>
      </c>
      <c r="C30" s="1901">
        <v>4000</v>
      </c>
      <c r="D30" s="1495" t="s">
        <v>4501</v>
      </c>
      <c r="E30" s="1493" t="s">
        <v>16</v>
      </c>
      <c r="F30" s="1495" t="s">
        <v>4502</v>
      </c>
      <c r="G30" s="1495" t="s">
        <v>4499</v>
      </c>
      <c r="H30" s="1495" t="s">
        <v>19</v>
      </c>
      <c r="I30" s="1495" t="s">
        <v>172</v>
      </c>
      <c r="J30" s="1600" t="s">
        <v>4503</v>
      </c>
      <c r="K30" s="1547"/>
      <c r="L30" s="1493"/>
      <c r="M30" s="1790"/>
    </row>
    <row r="31" spans="1:13" s="1548" customFormat="1" ht="82.5" customHeight="1">
      <c r="A31" s="1542">
        <v>26</v>
      </c>
      <c r="B31" s="1493" t="s">
        <v>3115</v>
      </c>
      <c r="C31" s="1901">
        <v>9850</v>
      </c>
      <c r="D31" s="1495" t="s">
        <v>4504</v>
      </c>
      <c r="E31" s="1493" t="s">
        <v>3401</v>
      </c>
      <c r="F31" s="1495" t="s">
        <v>4505</v>
      </c>
      <c r="G31" s="1495" t="s">
        <v>4506</v>
      </c>
      <c r="H31" s="1495" t="s">
        <v>19</v>
      </c>
      <c r="I31" s="1495" t="s">
        <v>172</v>
      </c>
      <c r="J31" s="1600" t="s">
        <v>4507</v>
      </c>
      <c r="K31" s="1547"/>
      <c r="L31" s="1493"/>
      <c r="M31" s="1790"/>
    </row>
    <row r="32" spans="1:13" s="1548" customFormat="1" ht="66.75" customHeight="1">
      <c r="A32" s="1542">
        <v>27</v>
      </c>
      <c r="B32" s="1493" t="s">
        <v>3460</v>
      </c>
      <c r="C32" s="1901">
        <v>4000</v>
      </c>
      <c r="D32" s="1495" t="s">
        <v>4508</v>
      </c>
      <c r="E32" s="1493" t="s">
        <v>61</v>
      </c>
      <c r="F32" s="1543" t="s">
        <v>4509</v>
      </c>
      <c r="G32" s="1495" t="s">
        <v>4506</v>
      </c>
      <c r="H32" s="1495" t="s">
        <v>19</v>
      </c>
      <c r="I32" s="1495" t="s">
        <v>4348</v>
      </c>
      <c r="J32" s="1605" t="s">
        <v>4510</v>
      </c>
      <c r="K32" s="1547"/>
      <c r="L32" s="1493"/>
      <c r="M32" s="1790"/>
    </row>
    <row r="33" spans="1:13" s="1548" customFormat="1" ht="78.75" customHeight="1">
      <c r="A33" s="1542">
        <v>28</v>
      </c>
      <c r="B33" s="1493" t="s">
        <v>98</v>
      </c>
      <c r="C33" s="1901">
        <v>4350</v>
      </c>
      <c r="D33" s="1495" t="s">
        <v>4511</v>
      </c>
      <c r="E33" s="1769" t="s">
        <v>89</v>
      </c>
      <c r="F33" s="1495" t="s">
        <v>4512</v>
      </c>
      <c r="G33" s="1495" t="s">
        <v>4506</v>
      </c>
      <c r="H33" s="1495" t="s">
        <v>19</v>
      </c>
      <c r="I33" s="1773" t="s">
        <v>517</v>
      </c>
      <c r="J33" s="1600" t="s">
        <v>4513</v>
      </c>
      <c r="K33" s="1771"/>
      <c r="L33" s="1493"/>
      <c r="M33" s="1790"/>
    </row>
    <row r="34" spans="1:13" s="1548" customFormat="1" ht="78.75" customHeight="1">
      <c r="A34" s="1542">
        <v>29</v>
      </c>
      <c r="B34" s="1493" t="s">
        <v>87</v>
      </c>
      <c r="C34" s="1901">
        <v>3080</v>
      </c>
      <c r="D34" s="1495" t="s">
        <v>4508</v>
      </c>
      <c r="E34" s="1493" t="s">
        <v>89</v>
      </c>
      <c r="F34" s="1851" t="s">
        <v>4514</v>
      </c>
      <c r="G34" s="1495" t="s">
        <v>4506</v>
      </c>
      <c r="H34" s="1495" t="s">
        <v>19</v>
      </c>
      <c r="I34" s="1495" t="s">
        <v>101</v>
      </c>
      <c r="J34" s="1497" t="s">
        <v>4515</v>
      </c>
      <c r="K34" s="1547"/>
      <c r="L34" s="1493"/>
      <c r="M34" s="1790"/>
    </row>
    <row r="35" spans="1:13" s="1548" customFormat="1" ht="78.75" customHeight="1">
      <c r="A35" s="1542">
        <v>30</v>
      </c>
      <c r="B35" s="1790" t="s">
        <v>71</v>
      </c>
      <c r="C35" s="1494">
        <v>3700</v>
      </c>
      <c r="D35" s="1495" t="s">
        <v>4516</v>
      </c>
      <c r="E35" s="1493" t="s">
        <v>151</v>
      </c>
      <c r="F35" s="1495" t="s">
        <v>4517</v>
      </c>
      <c r="G35" s="1495" t="s">
        <v>4518</v>
      </c>
      <c r="H35" s="1495" t="s">
        <v>19</v>
      </c>
      <c r="I35" s="1495" t="s">
        <v>172</v>
      </c>
      <c r="J35" s="1600" t="s">
        <v>4519</v>
      </c>
      <c r="K35" s="1547"/>
      <c r="L35" s="1493"/>
      <c r="M35" s="1790"/>
    </row>
    <row r="36" spans="1:13" s="1548" customFormat="1" ht="89.25" customHeight="1">
      <c r="A36" s="1542">
        <v>31</v>
      </c>
      <c r="B36" s="1493" t="s">
        <v>3395</v>
      </c>
      <c r="C36" s="1901">
        <v>11200</v>
      </c>
      <c r="D36" s="1495" t="s">
        <v>4520</v>
      </c>
      <c r="E36" s="1493" t="s">
        <v>16</v>
      </c>
      <c r="F36" s="1495" t="s">
        <v>4521</v>
      </c>
      <c r="G36" s="1495" t="s">
        <v>4522</v>
      </c>
      <c r="H36" s="1495" t="s">
        <v>19</v>
      </c>
      <c r="I36" s="1495" t="s">
        <v>172</v>
      </c>
      <c r="J36" s="1600" t="s">
        <v>4523</v>
      </c>
      <c r="K36" s="1547"/>
      <c r="L36" s="1493"/>
      <c r="M36" s="1790"/>
    </row>
    <row r="37" spans="1:13" s="1548" customFormat="1" ht="94.5" customHeight="1">
      <c r="A37" s="1542">
        <v>32</v>
      </c>
      <c r="B37" s="1493" t="s">
        <v>3469</v>
      </c>
      <c r="C37" s="1494">
        <v>4300</v>
      </c>
      <c r="D37" s="1495" t="s">
        <v>4524</v>
      </c>
      <c r="E37" s="1493" t="s">
        <v>84</v>
      </c>
      <c r="F37" s="1495" t="s">
        <v>4525</v>
      </c>
      <c r="G37" s="1495" t="s">
        <v>4522</v>
      </c>
      <c r="H37" s="1495" t="s">
        <v>19</v>
      </c>
      <c r="I37" s="1495" t="s">
        <v>517</v>
      </c>
      <c r="J37" s="1600" t="s">
        <v>4526</v>
      </c>
      <c r="K37" s="1775" t="s">
        <v>4527</v>
      </c>
      <c r="L37" s="1493"/>
      <c r="M37" s="1790"/>
    </row>
    <row r="38" spans="1:13" s="1548" customFormat="1" ht="60.75" customHeight="1">
      <c r="A38" s="1542">
        <v>33</v>
      </c>
      <c r="B38" s="1493" t="s">
        <v>3977</v>
      </c>
      <c r="C38" s="1494">
        <v>3550</v>
      </c>
      <c r="D38" s="1495" t="s">
        <v>4528</v>
      </c>
      <c r="E38" s="1493" t="s">
        <v>61</v>
      </c>
      <c r="F38" s="1495" t="s">
        <v>4529</v>
      </c>
      <c r="G38" s="1495" t="s">
        <v>4530</v>
      </c>
      <c r="H38" s="1495" t="s">
        <v>19</v>
      </c>
      <c r="I38" s="1495" t="s">
        <v>172</v>
      </c>
      <c r="J38" s="1600" t="s">
        <v>4531</v>
      </c>
      <c r="K38" s="1547"/>
      <c r="L38" s="1493"/>
      <c r="M38" s="1790"/>
    </row>
    <row r="39" spans="1:13" s="1548" customFormat="1" ht="96.75" customHeight="1">
      <c r="A39" s="1542">
        <v>34</v>
      </c>
      <c r="B39" s="1790" t="s">
        <v>117</v>
      </c>
      <c r="C39" s="1901">
        <v>3950</v>
      </c>
      <c r="D39" s="1495" t="s">
        <v>4532</v>
      </c>
      <c r="E39" s="1493" t="s">
        <v>84</v>
      </c>
      <c r="F39" s="1495" t="s">
        <v>4533</v>
      </c>
      <c r="G39" s="1495" t="s">
        <v>4530</v>
      </c>
      <c r="H39" s="1495" t="s">
        <v>19</v>
      </c>
      <c r="I39" s="1495" t="s">
        <v>172</v>
      </c>
      <c r="J39" s="1600" t="s">
        <v>4534</v>
      </c>
      <c r="K39" s="1908" t="s">
        <v>4535</v>
      </c>
      <c r="L39" s="1493"/>
      <c r="M39" s="1790"/>
    </row>
    <row r="40" spans="1:13" s="1548" customFormat="1" ht="75" customHeight="1">
      <c r="A40" s="1542">
        <v>35</v>
      </c>
      <c r="B40" s="1493" t="s">
        <v>4536</v>
      </c>
      <c r="C40" s="1494">
        <v>5000</v>
      </c>
      <c r="D40" s="1495" t="s">
        <v>4532</v>
      </c>
      <c r="E40" s="1493" t="s">
        <v>3345</v>
      </c>
      <c r="F40" s="1495"/>
      <c r="G40" s="1495" t="s">
        <v>4537</v>
      </c>
      <c r="H40" s="1495" t="s">
        <v>19</v>
      </c>
      <c r="I40" s="1495" t="s">
        <v>3635</v>
      </c>
      <c r="J40" s="1600" t="s">
        <v>4538</v>
      </c>
      <c r="K40" s="1547" t="s">
        <v>4539</v>
      </c>
      <c r="L40" s="1493"/>
      <c r="M40" s="1790"/>
    </row>
    <row r="41" spans="1:13" s="1548" customFormat="1" ht="64.5" customHeight="1">
      <c r="A41" s="1542">
        <v>36</v>
      </c>
      <c r="B41" s="1902" t="s">
        <v>4540</v>
      </c>
      <c r="C41" s="1494">
        <v>35000</v>
      </c>
      <c r="D41" s="1495" t="s">
        <v>4541</v>
      </c>
      <c r="E41" s="1493" t="s">
        <v>4351</v>
      </c>
      <c r="F41" s="1495" t="s">
        <v>4542</v>
      </c>
      <c r="G41" s="1495" t="s">
        <v>4537</v>
      </c>
      <c r="H41" s="1495" t="s">
        <v>19</v>
      </c>
      <c r="I41" s="1495" t="s">
        <v>4543</v>
      </c>
      <c r="J41" s="1600" t="s">
        <v>4544</v>
      </c>
      <c r="K41" s="1547" t="s">
        <v>4545</v>
      </c>
      <c r="L41" s="1493"/>
      <c r="M41" s="1790"/>
    </row>
    <row r="42" spans="1:13" s="1548" customFormat="1" ht="68.25" customHeight="1">
      <c r="A42" s="1542">
        <v>37</v>
      </c>
      <c r="B42" s="1902" t="s">
        <v>3391</v>
      </c>
      <c r="C42" s="1494">
        <v>3200</v>
      </c>
      <c r="D42" s="1495" t="s">
        <v>4528</v>
      </c>
      <c r="E42" s="1493" t="s">
        <v>89</v>
      </c>
      <c r="F42" s="1495" t="s">
        <v>4546</v>
      </c>
      <c r="G42" s="1495" t="s">
        <v>4537</v>
      </c>
      <c r="H42" s="1495" t="s">
        <v>19</v>
      </c>
      <c r="I42" s="1495" t="s">
        <v>74</v>
      </c>
      <c r="J42" s="1600" t="s">
        <v>4547</v>
      </c>
      <c r="K42" s="1547"/>
      <c r="L42" s="1493"/>
      <c r="M42" s="1790"/>
    </row>
    <row r="43" spans="1:13" s="1548" customFormat="1" ht="107.25" customHeight="1">
      <c r="A43" s="1542">
        <v>38</v>
      </c>
      <c r="B43" s="1902" t="s">
        <v>2906</v>
      </c>
      <c r="C43" s="1494">
        <v>3500</v>
      </c>
      <c r="D43" s="1495" t="s">
        <v>4528</v>
      </c>
      <c r="E43" s="1493" t="s">
        <v>89</v>
      </c>
      <c r="F43" s="1495" t="s">
        <v>4548</v>
      </c>
      <c r="G43" s="1495" t="s">
        <v>4537</v>
      </c>
      <c r="H43" s="1495" t="s">
        <v>19</v>
      </c>
      <c r="I43" s="1495" t="s">
        <v>517</v>
      </c>
      <c r="J43" s="1600" t="s">
        <v>4549</v>
      </c>
      <c r="K43" s="1547"/>
      <c r="L43" s="1493"/>
      <c r="M43" s="1790"/>
    </row>
    <row r="44" spans="1:13" s="1548" customFormat="1" ht="99" customHeight="1">
      <c r="A44" s="1542">
        <v>39</v>
      </c>
      <c r="B44" s="1902" t="s">
        <v>2921</v>
      </c>
      <c r="C44" s="1494">
        <v>6000</v>
      </c>
      <c r="D44" s="1495" t="s">
        <v>4528</v>
      </c>
      <c r="E44" s="1493" t="s">
        <v>3401</v>
      </c>
      <c r="F44" s="1495" t="s">
        <v>4550</v>
      </c>
      <c r="G44" s="1495" t="s">
        <v>4537</v>
      </c>
      <c r="H44" s="1495" t="s">
        <v>19</v>
      </c>
      <c r="I44" s="1495" t="s">
        <v>517</v>
      </c>
      <c r="J44" s="1600" t="s">
        <v>4551</v>
      </c>
      <c r="K44" s="1547"/>
      <c r="L44" s="1493"/>
      <c r="M44" s="1790"/>
    </row>
    <row r="45" spans="1:13" s="1548" customFormat="1" ht="87" customHeight="1">
      <c r="A45" s="1542">
        <v>40</v>
      </c>
      <c r="B45" s="1790" t="s">
        <v>3507</v>
      </c>
      <c r="C45" s="1901">
        <v>4300</v>
      </c>
      <c r="D45" s="1495" t="s">
        <v>4552</v>
      </c>
      <c r="E45" s="1493" t="s">
        <v>89</v>
      </c>
      <c r="F45" s="1495" t="s">
        <v>4553</v>
      </c>
      <c r="G45" s="1909" t="s">
        <v>4554</v>
      </c>
      <c r="H45" s="1495" t="s">
        <v>19</v>
      </c>
      <c r="I45" s="1495" t="s">
        <v>517</v>
      </c>
      <c r="J45" s="1496" t="s">
        <v>4555</v>
      </c>
      <c r="K45" s="1547"/>
      <c r="L45" s="1493"/>
      <c r="M45" s="1790"/>
    </row>
    <row r="46" spans="1:13" s="1548" customFormat="1" ht="78" customHeight="1">
      <c r="A46" s="1542">
        <v>41</v>
      </c>
      <c r="B46" s="1790" t="s">
        <v>211</v>
      </c>
      <c r="C46" s="1494">
        <v>3900</v>
      </c>
      <c r="D46" s="1495" t="s">
        <v>4556</v>
      </c>
      <c r="E46" s="1493" t="s">
        <v>61</v>
      </c>
      <c r="F46" s="1495" t="s">
        <v>4557</v>
      </c>
      <c r="G46" s="1909" t="s">
        <v>4554</v>
      </c>
      <c r="H46" s="1495" t="s">
        <v>19</v>
      </c>
      <c r="I46" s="1495" t="s">
        <v>517</v>
      </c>
      <c r="J46" s="1496" t="s">
        <v>4558</v>
      </c>
      <c r="K46" s="1547"/>
      <c r="L46" s="1493"/>
      <c r="M46" s="1790"/>
    </row>
    <row r="47" spans="1:13" s="1777" customFormat="1" ht="77.25" customHeight="1">
      <c r="A47" s="738">
        <v>42</v>
      </c>
      <c r="B47" s="102"/>
      <c r="C47" s="1167"/>
      <c r="D47" s="109"/>
      <c r="E47" s="102"/>
      <c r="F47" s="109"/>
      <c r="G47" s="109"/>
      <c r="H47" s="109"/>
      <c r="I47" s="109"/>
      <c r="J47" s="696"/>
      <c r="K47" s="143"/>
      <c r="L47" s="102"/>
      <c r="M47" s="1853"/>
    </row>
  </sheetData>
  <autoFilter ref="A5:P63" xr:uid="{00000000-0009-0000-0000-000001000000}"/>
  <mergeCells count="4">
    <mergeCell ref="C1:K1"/>
    <mergeCell ref="A2:M2"/>
    <mergeCell ref="A4:B4"/>
    <mergeCell ref="A3:K3"/>
  </mergeCells>
  <conditionalFormatting sqref="A1:A4">
    <cfRule type="duplicateValues" dxfId="410" priority="1070"/>
  </conditionalFormatting>
  <conditionalFormatting sqref="A5">
    <cfRule type="duplicateValues" dxfId="409" priority="4"/>
  </conditionalFormatting>
  <conditionalFormatting sqref="B5">
    <cfRule type="duplicateValues" dxfId="408" priority="1"/>
    <cfRule type="duplicateValues" dxfId="407" priority="2"/>
    <cfRule type="duplicateValues" dxfId="406" priority="3"/>
  </conditionalFormatting>
  <pageMargins left="0.7" right="0.7" top="0.75" bottom="0.75" header="0.3" footer="0.3"/>
  <pageSetup paperSize="9" scale="40" orientation="landscape"/>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89732C-1BE0-4A2B-9D69-829D0FCA92D8}">
  <sheetPr>
    <tabColor theme="2" tint="-9.9978637043366805E-2"/>
    <pageSetUpPr fitToPage="1"/>
  </sheetPr>
  <dimension ref="A1:N53"/>
  <sheetViews>
    <sheetView topLeftCell="A2" zoomScale="70" zoomScaleNormal="70" workbookViewId="0">
      <pane xSplit="3" ySplit="4" topLeftCell="D38" activePane="bottomRight" state="frozen"/>
      <selection pane="topRight" activeCell="E39" sqref="E39"/>
      <selection pane="bottomLeft" activeCell="E39" sqref="E39"/>
      <selection pane="bottomRight" activeCell="E39" sqref="E39"/>
    </sheetView>
  </sheetViews>
  <sheetFormatPr defaultColWidth="32.140625" defaultRowHeight="58.5" customHeight="1"/>
  <cols>
    <col min="1" max="1" width="9.42578125" style="359" customWidth="1"/>
    <col min="2" max="2" width="28.5703125" style="1" customWidth="1"/>
    <col min="3" max="3" width="18.85546875" style="804" customWidth="1"/>
    <col min="4" max="4" width="22.28515625" style="271" customWidth="1"/>
    <col min="5" max="5" width="20.85546875" style="1" customWidth="1"/>
    <col min="6" max="6" width="21.85546875" style="271" customWidth="1"/>
    <col min="7" max="7" width="16.42578125" style="271" customWidth="1"/>
    <col min="8" max="8" width="20" style="271" customWidth="1"/>
    <col min="9" max="9" width="22.28515625" style="271" customWidth="1"/>
    <col min="10" max="10" width="94.28515625" style="9" customWidth="1"/>
    <col min="11" max="11" width="68.28515625" style="9" customWidth="1"/>
    <col min="12" max="12" width="17.28515625" style="1" customWidth="1"/>
    <col min="13" max="13" width="18.7109375" style="763" customWidth="1"/>
    <col min="14" max="16384" width="32.140625" style="3"/>
  </cols>
  <sheetData>
    <row r="1" spans="1:14" ht="58.5" customHeight="1">
      <c r="B1" s="10"/>
      <c r="C1" s="3624"/>
      <c r="D1" s="3624"/>
      <c r="E1" s="3624"/>
      <c r="F1" s="3624"/>
      <c r="G1" s="3624"/>
      <c r="H1" s="3624"/>
      <c r="I1" s="3624"/>
      <c r="J1" s="3624"/>
      <c r="K1" s="3624"/>
      <c r="M1" s="1848"/>
    </row>
    <row r="2" spans="1:14" ht="39.75" customHeight="1">
      <c r="A2" s="3625" t="s">
        <v>4559</v>
      </c>
      <c r="B2" s="3625"/>
      <c r="C2" s="3625"/>
      <c r="D2" s="3625"/>
      <c r="E2" s="3625"/>
      <c r="F2" s="3625"/>
      <c r="G2" s="3625"/>
      <c r="H2" s="3625"/>
      <c r="I2" s="3625"/>
      <c r="J2" s="3625"/>
      <c r="K2" s="3625"/>
      <c r="L2" s="3625"/>
      <c r="M2" s="3625"/>
      <c r="N2" s="287"/>
    </row>
    <row r="3" spans="1:14" s="1725" customFormat="1" ht="45" customHeight="1">
      <c r="A3" s="1723"/>
      <c r="B3" s="3626"/>
      <c r="C3" s="3627"/>
      <c r="D3" s="3627"/>
      <c r="E3" s="3627"/>
      <c r="F3" s="3627"/>
      <c r="G3" s="3627"/>
      <c r="H3" s="3627"/>
      <c r="I3" s="3627"/>
      <c r="J3" s="3627"/>
      <c r="K3" s="3627"/>
      <c r="L3" s="3627"/>
      <c r="M3" s="3628"/>
      <c r="N3" s="1724"/>
    </row>
    <row r="4" spans="1:14" ht="30" customHeight="1">
      <c r="A4" s="3629"/>
      <c r="B4" s="3629"/>
      <c r="C4" s="1810">
        <f>SUM(C6:C42)</f>
        <v>242500</v>
      </c>
      <c r="D4" s="1503"/>
      <c r="E4" s="1504"/>
      <c r="F4" s="1503"/>
      <c r="G4" s="1503"/>
      <c r="H4" s="1503"/>
      <c r="I4" s="1503"/>
      <c r="J4" s="1504">
        <f ca="1">TODAY()</f>
        <v>45960</v>
      </c>
      <c r="L4" s="1504"/>
      <c r="M4" s="1849"/>
      <c r="N4" s="287"/>
    </row>
    <row r="5" spans="1:14" s="1535" customFormat="1" ht="36" customHeight="1">
      <c r="A5" s="361" t="s">
        <v>1</v>
      </c>
      <c r="B5" s="679" t="s">
        <v>2</v>
      </c>
      <c r="C5" s="1811" t="s">
        <v>3</v>
      </c>
      <c r="D5" s="204" t="s">
        <v>4</v>
      </c>
      <c r="E5" s="204" t="s">
        <v>5</v>
      </c>
      <c r="F5" s="204" t="s">
        <v>6</v>
      </c>
      <c r="G5" s="204" t="s">
        <v>7</v>
      </c>
      <c r="H5" s="204" t="s">
        <v>8</v>
      </c>
      <c r="I5" s="204" t="s">
        <v>9</v>
      </c>
      <c r="J5" s="204" t="s">
        <v>10</v>
      </c>
      <c r="K5" s="204" t="s">
        <v>11</v>
      </c>
      <c r="L5" s="204" t="s">
        <v>12</v>
      </c>
      <c r="M5" s="1858" t="s">
        <v>13</v>
      </c>
      <c r="N5" s="1534" t="e">
        <f>SUM(#REF!)</f>
        <v>#REF!</v>
      </c>
    </row>
    <row r="6" spans="1:14" s="1535" customFormat="1" ht="63.75" customHeight="1">
      <c r="A6" s="1542" cm="1">
        <f t="array" ref="A6:A45">_xlfn.SEQUENCE(40,1,1,)</f>
        <v>1</v>
      </c>
      <c r="B6" s="1630" t="s">
        <v>47</v>
      </c>
      <c r="C6" s="1826">
        <v>4200</v>
      </c>
      <c r="D6" s="1495" t="s">
        <v>4560</v>
      </c>
      <c r="E6" s="1630" t="s">
        <v>3401</v>
      </c>
      <c r="F6" s="1495" t="s">
        <v>4561</v>
      </c>
      <c r="G6" s="1787" t="s">
        <v>18</v>
      </c>
      <c r="H6" s="1495" t="s">
        <v>19</v>
      </c>
      <c r="I6" s="1495" t="s">
        <v>123</v>
      </c>
      <c r="J6" s="1496" t="s">
        <v>4562</v>
      </c>
      <c r="K6" s="1547"/>
      <c r="L6" s="1493"/>
      <c r="M6" s="1790"/>
      <c r="N6" s="1534"/>
    </row>
    <row r="7" spans="1:14" s="1535" customFormat="1" ht="171.75" customHeight="1">
      <c r="A7" s="1542">
        <v>2</v>
      </c>
      <c r="B7" s="1630" t="s">
        <v>4278</v>
      </c>
      <c r="C7" s="1826">
        <v>3700</v>
      </c>
      <c r="D7" s="1495" t="s">
        <v>4563</v>
      </c>
      <c r="E7" s="1630" t="s">
        <v>61</v>
      </c>
      <c r="F7" s="1495" t="s">
        <v>4564</v>
      </c>
      <c r="G7" s="1787" t="s">
        <v>18</v>
      </c>
      <c r="H7" s="1495" t="s">
        <v>19</v>
      </c>
      <c r="I7" s="1495" t="s">
        <v>123</v>
      </c>
      <c r="J7" s="1496" t="s">
        <v>4565</v>
      </c>
      <c r="K7" s="1547"/>
      <c r="L7" s="1493"/>
      <c r="M7" s="1790"/>
      <c r="N7" s="1534"/>
    </row>
    <row r="8" spans="1:14" s="1535" customFormat="1" ht="69" customHeight="1">
      <c r="A8" s="1542">
        <v>3</v>
      </c>
      <c r="B8" s="1493" t="s">
        <v>3573</v>
      </c>
      <c r="C8" s="1826">
        <v>4000</v>
      </c>
      <c r="D8" s="1495" t="s">
        <v>4566</v>
      </c>
      <c r="E8" s="1493" t="s">
        <v>3401</v>
      </c>
      <c r="F8" s="1495" t="s">
        <v>4567</v>
      </c>
      <c r="G8" s="1787" t="s">
        <v>18</v>
      </c>
      <c r="H8" s="1495" t="s">
        <v>19</v>
      </c>
      <c r="I8" s="1495" t="s">
        <v>123</v>
      </c>
      <c r="J8" s="1496" t="s">
        <v>4568</v>
      </c>
      <c r="K8" s="1547" t="s">
        <v>4569</v>
      </c>
      <c r="L8" s="1493"/>
      <c r="M8" s="1790"/>
      <c r="N8" s="1534"/>
    </row>
    <row r="9" spans="1:14" s="1548" customFormat="1" ht="75.75" customHeight="1">
      <c r="A9" s="1542">
        <v>4</v>
      </c>
      <c r="B9" s="1630" t="s">
        <v>4570</v>
      </c>
      <c r="C9" s="1826">
        <v>6300</v>
      </c>
      <c r="D9" s="1495" t="s">
        <v>4571</v>
      </c>
      <c r="E9" s="1630" t="s">
        <v>2260</v>
      </c>
      <c r="F9" s="1495" t="s">
        <v>4572</v>
      </c>
      <c r="G9" s="1787" t="s">
        <v>18</v>
      </c>
      <c r="H9" s="1495" t="s">
        <v>19</v>
      </c>
      <c r="I9" s="1495" t="s">
        <v>109</v>
      </c>
      <c r="J9" s="1496" t="s">
        <v>4573</v>
      </c>
      <c r="K9" s="1547" t="s">
        <v>4574</v>
      </c>
      <c r="L9" s="1493"/>
      <c r="M9" s="1790"/>
    </row>
    <row r="10" spans="1:14" s="1883" customFormat="1" ht="46.5" customHeight="1">
      <c r="A10" s="1850">
        <v>5</v>
      </c>
      <c r="B10" s="1630" t="s">
        <v>4575</v>
      </c>
      <c r="C10" s="1868">
        <v>10000</v>
      </c>
      <c r="D10" s="1890" t="s">
        <v>4576</v>
      </c>
      <c r="E10" s="1851" t="s">
        <v>25</v>
      </c>
      <c r="F10" s="1495" t="s">
        <v>4577</v>
      </c>
      <c r="G10" s="1787" t="s">
        <v>18</v>
      </c>
      <c r="H10" s="1851" t="s">
        <v>3423</v>
      </c>
      <c r="I10" s="1851" t="s">
        <v>3950</v>
      </c>
      <c r="J10" s="1497" t="s">
        <v>4578</v>
      </c>
      <c r="K10" s="1547" t="s">
        <v>4574</v>
      </c>
      <c r="L10" s="1630"/>
      <c r="M10" s="1882"/>
    </row>
    <row r="11" spans="1:14" s="1548" customFormat="1" ht="135.75" customHeight="1">
      <c r="A11" s="1542">
        <v>6</v>
      </c>
      <c r="B11" s="1493" t="s">
        <v>3977</v>
      </c>
      <c r="C11" s="1826">
        <v>3550</v>
      </c>
      <c r="D11" s="1495" t="s">
        <v>4579</v>
      </c>
      <c r="E11" s="1493" t="s">
        <v>84</v>
      </c>
      <c r="F11" s="1495" t="s">
        <v>4580</v>
      </c>
      <c r="G11" s="1787" t="s">
        <v>18</v>
      </c>
      <c r="H11" s="1495" t="s">
        <v>19</v>
      </c>
      <c r="I11" s="1495" t="s">
        <v>4581</v>
      </c>
      <c r="J11" s="1600" t="s">
        <v>4582</v>
      </c>
      <c r="K11" s="1547" t="s">
        <v>4583</v>
      </c>
      <c r="L11" s="1493"/>
      <c r="M11" s="1790"/>
    </row>
    <row r="12" spans="1:14" s="1548" customFormat="1" ht="83.25" customHeight="1">
      <c r="A12" s="1542">
        <v>7</v>
      </c>
      <c r="B12" s="1493" t="s">
        <v>206</v>
      </c>
      <c r="C12" s="1826">
        <v>4250</v>
      </c>
      <c r="D12" s="1495" t="s">
        <v>4584</v>
      </c>
      <c r="E12" s="1493" t="s">
        <v>84</v>
      </c>
      <c r="F12" s="1495" t="s">
        <v>4585</v>
      </c>
      <c r="G12" s="1787" t="s">
        <v>18</v>
      </c>
      <c r="H12" s="1495" t="s">
        <v>19</v>
      </c>
      <c r="I12" s="1495" t="s">
        <v>199</v>
      </c>
      <c r="J12" s="1496" t="s">
        <v>4586</v>
      </c>
      <c r="K12" s="1547"/>
      <c r="L12" s="1493"/>
      <c r="M12" s="1790"/>
    </row>
    <row r="13" spans="1:14" s="1548" customFormat="1" ht="63.75" customHeight="1">
      <c r="A13" s="1542">
        <v>8</v>
      </c>
      <c r="B13" s="1493" t="s">
        <v>3460</v>
      </c>
      <c r="C13" s="1826">
        <v>4000</v>
      </c>
      <c r="D13" s="1748" t="s">
        <v>4587</v>
      </c>
      <c r="E13" s="1493" t="s">
        <v>61</v>
      </c>
      <c r="F13" s="1787" t="s">
        <v>4588</v>
      </c>
      <c r="G13" s="1787" t="s">
        <v>18</v>
      </c>
      <c r="H13" s="1495" t="s">
        <v>19</v>
      </c>
      <c r="I13" s="1495" t="s">
        <v>63</v>
      </c>
      <c r="J13" s="1889" t="s">
        <v>4589</v>
      </c>
      <c r="K13" s="1547"/>
      <c r="L13" s="1493"/>
      <c r="M13" s="1790"/>
    </row>
    <row r="14" spans="1:14" s="1548" customFormat="1" ht="63.75" customHeight="1">
      <c r="A14" s="1542">
        <v>9</v>
      </c>
      <c r="B14" s="1493" t="s">
        <v>211</v>
      </c>
      <c r="C14" s="1826">
        <v>4000</v>
      </c>
      <c r="D14" s="1748" t="s">
        <v>4587</v>
      </c>
      <c r="E14" s="1493" t="s">
        <v>61</v>
      </c>
      <c r="F14" s="1495" t="s">
        <v>4590</v>
      </c>
      <c r="G14" s="1787" t="s">
        <v>18</v>
      </c>
      <c r="H14" s="1495" t="s">
        <v>19</v>
      </c>
      <c r="I14" s="1495" t="s">
        <v>4348</v>
      </c>
      <c r="J14" s="1600" t="s">
        <v>4591</v>
      </c>
      <c r="K14" s="1547"/>
      <c r="L14" s="1493"/>
      <c r="M14" s="1790"/>
    </row>
    <row r="15" spans="1:14" s="1548" customFormat="1" ht="119.25" customHeight="1">
      <c r="A15" s="1542">
        <v>10</v>
      </c>
      <c r="B15" s="1493" t="s">
        <v>217</v>
      </c>
      <c r="C15" s="1826">
        <v>4250</v>
      </c>
      <c r="D15" s="1495" t="s">
        <v>4592</v>
      </c>
      <c r="E15" s="1493" t="s">
        <v>3401</v>
      </c>
      <c r="F15" s="1495" t="s">
        <v>4593</v>
      </c>
      <c r="G15" s="1787" t="s">
        <v>18</v>
      </c>
      <c r="H15" s="1495" t="s">
        <v>19</v>
      </c>
      <c r="I15" s="1495" t="s">
        <v>172</v>
      </c>
      <c r="J15" s="1496" t="s">
        <v>4594</v>
      </c>
      <c r="K15" s="1547"/>
      <c r="L15" s="1493"/>
      <c r="M15" s="1790"/>
    </row>
    <row r="16" spans="1:14" s="1548" customFormat="1" ht="71.25" customHeight="1">
      <c r="A16" s="1542">
        <v>11</v>
      </c>
      <c r="B16" s="1630" t="s">
        <v>98</v>
      </c>
      <c r="C16" s="1826">
        <v>4200</v>
      </c>
      <c r="D16" s="1495" t="s">
        <v>4595</v>
      </c>
      <c r="E16" s="1630" t="s">
        <v>89</v>
      </c>
      <c r="F16" s="1493" t="s">
        <v>4596</v>
      </c>
      <c r="G16" s="1787" t="s">
        <v>18</v>
      </c>
      <c r="H16" s="1851" t="s">
        <v>19</v>
      </c>
      <c r="I16" s="1495" t="s">
        <v>172</v>
      </c>
      <c r="J16" s="1496" t="s">
        <v>4597</v>
      </c>
      <c r="K16" s="1547"/>
      <c r="L16" s="1493"/>
      <c r="M16" s="1790"/>
    </row>
    <row r="17" spans="1:13" s="1548" customFormat="1" ht="393.75">
      <c r="A17" s="1542">
        <v>12</v>
      </c>
      <c r="B17" s="1493" t="s">
        <v>3109</v>
      </c>
      <c r="C17" s="1826">
        <v>18500</v>
      </c>
      <c r="D17" s="1495" t="s">
        <v>4592</v>
      </c>
      <c r="E17" s="1493" t="s">
        <v>3401</v>
      </c>
      <c r="F17" s="1495" t="s">
        <v>4598</v>
      </c>
      <c r="G17" s="1851" t="s">
        <v>4599</v>
      </c>
      <c r="H17" s="1495" t="s">
        <v>19</v>
      </c>
      <c r="I17" s="1495" t="s">
        <v>114</v>
      </c>
      <c r="J17" s="1496" t="s">
        <v>4600</v>
      </c>
      <c r="K17" s="1547"/>
      <c r="L17" s="1493"/>
      <c r="M17" s="1790"/>
    </row>
    <row r="18" spans="1:13" s="1548" customFormat="1" ht="78" customHeight="1">
      <c r="A18" s="1542">
        <v>13</v>
      </c>
      <c r="B18" s="1630" t="s">
        <v>4601</v>
      </c>
      <c r="C18" s="1826">
        <v>5000</v>
      </c>
      <c r="D18" s="1495" t="s">
        <v>4602</v>
      </c>
      <c r="E18" s="1851" t="s">
        <v>3095</v>
      </c>
      <c r="F18" s="1495" t="s">
        <v>4603</v>
      </c>
      <c r="G18" s="1851" t="s">
        <v>18</v>
      </c>
      <c r="H18" s="1851" t="s">
        <v>3423</v>
      </c>
      <c r="I18" s="1495" t="s">
        <v>4604</v>
      </c>
      <c r="J18" s="1600" t="s">
        <v>4605</v>
      </c>
      <c r="K18" s="1547" t="s">
        <v>4574</v>
      </c>
      <c r="L18" s="1493"/>
      <c r="M18" s="1790"/>
    </row>
    <row r="19" spans="1:13" s="1548" customFormat="1" ht="256.5" customHeight="1">
      <c r="A19" s="1542">
        <v>14</v>
      </c>
      <c r="B19" s="1493" t="s">
        <v>4417</v>
      </c>
      <c r="C19" s="1826">
        <v>23800</v>
      </c>
      <c r="D19" s="1495" t="s">
        <v>4571</v>
      </c>
      <c r="E19" s="1493" t="s">
        <v>3416</v>
      </c>
      <c r="F19" s="1495" t="s">
        <v>4606</v>
      </c>
      <c r="G19" s="1851" t="s">
        <v>18</v>
      </c>
      <c r="H19" s="1495" t="s">
        <v>19</v>
      </c>
      <c r="I19" s="1495" t="s">
        <v>4607</v>
      </c>
      <c r="J19" s="1496" t="s">
        <v>4608</v>
      </c>
      <c r="K19" s="1891" t="s">
        <v>4609</v>
      </c>
      <c r="L19" s="1493"/>
      <c r="M19" s="1790"/>
    </row>
    <row r="20" spans="1:13" s="1548" customFormat="1" ht="59.25" customHeight="1">
      <c r="A20" s="1542">
        <v>15</v>
      </c>
      <c r="B20" s="1630" t="s">
        <v>3856</v>
      </c>
      <c r="C20" s="1826">
        <v>3800</v>
      </c>
      <c r="D20" s="1495" t="s">
        <v>4610</v>
      </c>
      <c r="E20" s="1630" t="s">
        <v>89</v>
      </c>
      <c r="F20" s="1495" t="s">
        <v>4611</v>
      </c>
      <c r="G20" s="1851" t="s">
        <v>18</v>
      </c>
      <c r="H20" s="1851" t="s">
        <v>19</v>
      </c>
      <c r="I20" s="1495" t="s">
        <v>172</v>
      </c>
      <c r="J20" s="1496" t="s">
        <v>4612</v>
      </c>
      <c r="K20" s="1547"/>
      <c r="L20" s="1493"/>
      <c r="M20" s="1790"/>
    </row>
    <row r="21" spans="1:13" s="1548" customFormat="1" ht="72.75" customHeight="1">
      <c r="A21" s="1542">
        <v>16</v>
      </c>
      <c r="B21" s="1493" t="s">
        <v>117</v>
      </c>
      <c r="C21" s="1826">
        <v>4000</v>
      </c>
      <c r="D21" s="1495" t="s">
        <v>4613</v>
      </c>
      <c r="E21" s="1493" t="s">
        <v>84</v>
      </c>
      <c r="F21" s="1493" t="s">
        <v>4611</v>
      </c>
      <c r="G21" s="1851" t="s">
        <v>18</v>
      </c>
      <c r="H21" s="1495" t="s">
        <v>19</v>
      </c>
      <c r="I21" s="1495" t="s">
        <v>4348</v>
      </c>
      <c r="J21" s="1496" t="s">
        <v>4614</v>
      </c>
      <c r="K21" s="1547"/>
      <c r="L21" s="1493"/>
      <c r="M21" s="1790"/>
    </row>
    <row r="22" spans="1:13" s="1548" customFormat="1" ht="59.25" customHeight="1">
      <c r="A22" s="1542">
        <v>17</v>
      </c>
      <c r="B22" s="1630" t="s">
        <v>87</v>
      </c>
      <c r="C22" s="1826">
        <v>3080</v>
      </c>
      <c r="D22" s="1495" t="s">
        <v>4615</v>
      </c>
      <c r="E22" s="1851" t="s">
        <v>89</v>
      </c>
      <c r="F22" s="1495" t="s">
        <v>4616</v>
      </c>
      <c r="G22" s="1851" t="s">
        <v>18</v>
      </c>
      <c r="H22" s="1851" t="s">
        <v>19</v>
      </c>
      <c r="I22" s="1495" t="s">
        <v>101</v>
      </c>
      <c r="J22" s="1600" t="s">
        <v>4617</v>
      </c>
      <c r="K22" s="1600"/>
      <c r="L22" s="1493"/>
      <c r="M22" s="1790"/>
    </row>
    <row r="23" spans="1:13" s="1548" customFormat="1" ht="59.25" customHeight="1">
      <c r="A23" s="1542">
        <v>18</v>
      </c>
      <c r="B23" s="1630" t="s">
        <v>2912</v>
      </c>
      <c r="C23" s="1826">
        <v>4000</v>
      </c>
      <c r="D23" s="1495" t="s">
        <v>4610</v>
      </c>
      <c r="E23" s="1851" t="s">
        <v>84</v>
      </c>
      <c r="F23" s="1495" t="s">
        <v>4618</v>
      </c>
      <c r="G23" s="1851" t="s">
        <v>18</v>
      </c>
      <c r="H23" s="1851" t="s">
        <v>19</v>
      </c>
      <c r="I23" s="1495" t="s">
        <v>172</v>
      </c>
      <c r="J23" s="1600" t="s">
        <v>4619</v>
      </c>
      <c r="K23" s="1600"/>
      <c r="L23" s="1493"/>
      <c r="M23" s="1790"/>
    </row>
    <row r="24" spans="1:13" s="1548" customFormat="1" ht="67.5" customHeight="1">
      <c r="A24" s="1542">
        <v>19</v>
      </c>
      <c r="B24" s="1630" t="s">
        <v>3507</v>
      </c>
      <c r="C24" s="1826">
        <v>4400</v>
      </c>
      <c r="D24" s="1495" t="s">
        <v>4610</v>
      </c>
      <c r="E24" s="1851" t="s">
        <v>61</v>
      </c>
      <c r="F24" s="1495" t="s">
        <v>4620</v>
      </c>
      <c r="G24" s="1851" t="s">
        <v>18</v>
      </c>
      <c r="H24" s="1851" t="s">
        <v>19</v>
      </c>
      <c r="I24" s="1495" t="s">
        <v>172</v>
      </c>
      <c r="J24" s="1600" t="s">
        <v>4621</v>
      </c>
      <c r="K24" s="1600"/>
      <c r="L24" s="1493"/>
      <c r="M24" s="1790"/>
    </row>
    <row r="25" spans="1:13" s="1548" customFormat="1" ht="179.25" customHeight="1">
      <c r="A25" s="1542">
        <v>20</v>
      </c>
      <c r="B25" s="1493" t="s">
        <v>4622</v>
      </c>
      <c r="C25" s="1826">
        <v>13000</v>
      </c>
      <c r="D25" s="1495" t="s">
        <v>4623</v>
      </c>
      <c r="E25" s="1493" t="s">
        <v>3401</v>
      </c>
      <c r="F25" s="1495" t="s">
        <v>4624</v>
      </c>
      <c r="G25" s="1851" t="s">
        <v>18</v>
      </c>
      <c r="H25" s="1495" t="s">
        <v>19</v>
      </c>
      <c r="I25" s="1495" t="s">
        <v>393</v>
      </c>
      <c r="J25" s="1600" t="s">
        <v>4625</v>
      </c>
      <c r="K25" s="1843" t="s">
        <v>4626</v>
      </c>
      <c r="L25" s="1493"/>
      <c r="M25" s="1790"/>
    </row>
    <row r="26" spans="1:13" s="1548" customFormat="1" ht="80.25" customHeight="1">
      <c r="A26" s="1542">
        <v>21</v>
      </c>
      <c r="B26" s="1630" t="s">
        <v>150</v>
      </c>
      <c r="C26" s="1826">
        <v>8300</v>
      </c>
      <c r="D26" s="1495" t="s">
        <v>4623</v>
      </c>
      <c r="E26" s="1630" t="s">
        <v>151</v>
      </c>
      <c r="F26" s="1495" t="s">
        <v>4627</v>
      </c>
      <c r="G26" s="1851" t="s">
        <v>18</v>
      </c>
      <c r="H26" s="1851" t="s">
        <v>19</v>
      </c>
      <c r="I26" s="1495" t="s">
        <v>172</v>
      </c>
      <c r="J26" s="1600" t="s">
        <v>4628</v>
      </c>
      <c r="K26" s="1547"/>
      <c r="L26" s="1493"/>
      <c r="M26" s="1790"/>
    </row>
    <row r="27" spans="1:13" s="1548" customFormat="1" ht="82.5" customHeight="1">
      <c r="A27" s="1542">
        <v>22</v>
      </c>
      <c r="B27" s="1630" t="s">
        <v>4629</v>
      </c>
      <c r="C27" s="1826">
        <v>35000</v>
      </c>
      <c r="D27" s="1495" t="s">
        <v>4630</v>
      </c>
      <c r="E27" s="1851" t="s">
        <v>4031</v>
      </c>
      <c r="F27" s="1495" t="s">
        <v>4631</v>
      </c>
      <c r="G27" s="1851" t="s">
        <v>18</v>
      </c>
      <c r="H27" s="1851" t="s">
        <v>3423</v>
      </c>
      <c r="I27" s="1495" t="s">
        <v>4632</v>
      </c>
      <c r="J27" s="1600" t="s">
        <v>4633</v>
      </c>
      <c r="K27" s="1600" t="s">
        <v>4634</v>
      </c>
      <c r="L27" s="1493"/>
      <c r="M27" s="1790"/>
    </row>
    <row r="28" spans="1:13" s="1548" customFormat="1" ht="82.5" customHeight="1">
      <c r="A28" s="1542">
        <v>23</v>
      </c>
      <c r="B28" s="1493" t="s">
        <v>3469</v>
      </c>
      <c r="C28" s="1826">
        <v>4280</v>
      </c>
      <c r="D28" s="1495" t="s">
        <v>4635</v>
      </c>
      <c r="E28" s="1493" t="s">
        <v>84</v>
      </c>
      <c r="F28" s="1495" t="s">
        <v>4636</v>
      </c>
      <c r="G28" s="1851" t="s">
        <v>18</v>
      </c>
      <c r="H28" s="1495" t="s">
        <v>19</v>
      </c>
      <c r="I28" s="1495" t="s">
        <v>74</v>
      </c>
      <c r="J28" s="1600" t="s">
        <v>4637</v>
      </c>
      <c r="K28" s="1547"/>
      <c r="L28" s="1493"/>
      <c r="M28" s="1790"/>
    </row>
    <row r="29" spans="1:13" s="1548" customFormat="1" ht="67.5" customHeight="1">
      <c r="A29" s="1542">
        <v>24</v>
      </c>
      <c r="B29" s="1851" t="s">
        <v>52</v>
      </c>
      <c r="C29" s="1868">
        <v>4700</v>
      </c>
      <c r="D29" s="1851" t="s">
        <v>4638</v>
      </c>
      <c r="E29" s="1851" t="s">
        <v>16</v>
      </c>
      <c r="F29" s="1495" t="s">
        <v>4639</v>
      </c>
      <c r="G29" s="1851" t="s">
        <v>18</v>
      </c>
      <c r="H29" s="1875" t="s">
        <v>19</v>
      </c>
      <c r="I29" s="1495" t="s">
        <v>172</v>
      </c>
      <c r="J29" s="1600" t="s">
        <v>4640</v>
      </c>
      <c r="K29" s="1547"/>
      <c r="L29" s="1493"/>
      <c r="M29" s="1790"/>
    </row>
    <row r="30" spans="1:13" s="1559" customFormat="1" ht="123" customHeight="1">
      <c r="A30" s="1553">
        <v>25</v>
      </c>
      <c r="B30" s="1545" t="s">
        <v>3395</v>
      </c>
      <c r="C30" s="1827">
        <v>11000</v>
      </c>
      <c r="D30" s="1543" t="s">
        <v>4638</v>
      </c>
      <c r="E30" s="1543" t="s">
        <v>16</v>
      </c>
      <c r="F30" s="1543" t="s">
        <v>4641</v>
      </c>
      <c r="G30" s="1899"/>
      <c r="H30" s="1543" t="s">
        <v>19</v>
      </c>
      <c r="I30" s="1900" t="s">
        <v>172</v>
      </c>
      <c r="J30" s="1605" t="s">
        <v>4642</v>
      </c>
      <c r="K30" s="1828"/>
      <c r="L30" s="1545"/>
      <c r="M30" s="1852"/>
    </row>
    <row r="31" spans="1:13" s="1548" customFormat="1" ht="179.25" customHeight="1">
      <c r="A31" s="1542">
        <v>26</v>
      </c>
      <c r="B31" s="1493" t="s">
        <v>4643</v>
      </c>
      <c r="C31" s="1826">
        <v>15000</v>
      </c>
      <c r="D31" s="1495" t="s">
        <v>4644</v>
      </c>
      <c r="E31" s="1495" t="s">
        <v>25</v>
      </c>
      <c r="F31" s="1495" t="s">
        <v>4645</v>
      </c>
      <c r="G31" s="1495" t="s">
        <v>4646</v>
      </c>
      <c r="H31" s="1495" t="s">
        <v>3423</v>
      </c>
      <c r="I31" s="1495" t="s">
        <v>4647</v>
      </c>
      <c r="J31" s="1496" t="s">
        <v>4648</v>
      </c>
      <c r="L31" s="1493"/>
      <c r="M31" s="1790"/>
    </row>
    <row r="32" spans="1:13" s="1883" customFormat="1" ht="72" customHeight="1">
      <c r="A32" s="1850">
        <v>27</v>
      </c>
      <c r="B32" s="1630" t="s">
        <v>3391</v>
      </c>
      <c r="C32" s="1868">
        <v>3000</v>
      </c>
      <c r="D32" s="1851" t="s">
        <v>4649</v>
      </c>
      <c r="E32" s="1630" t="s">
        <v>89</v>
      </c>
      <c r="F32" s="1851" t="s">
        <v>4650</v>
      </c>
      <c r="G32" s="1875" t="s">
        <v>4651</v>
      </c>
      <c r="H32" s="1851" t="s">
        <v>19</v>
      </c>
      <c r="I32" s="1851" t="s">
        <v>101</v>
      </c>
      <c r="J32" s="1497" t="s">
        <v>4652</v>
      </c>
      <c r="K32" s="1881"/>
      <c r="L32" s="1630"/>
      <c r="M32" s="1882"/>
    </row>
    <row r="33" spans="1:13" s="1559" customFormat="1" ht="105.75" customHeight="1">
      <c r="A33" s="1553">
        <v>28</v>
      </c>
      <c r="B33" s="1545" t="s">
        <v>211</v>
      </c>
      <c r="C33" s="1827">
        <v>4000</v>
      </c>
      <c r="D33" s="1543" t="s">
        <v>4653</v>
      </c>
      <c r="E33" s="1545" t="s">
        <v>61</v>
      </c>
      <c r="F33" s="1543" t="s">
        <v>4654</v>
      </c>
      <c r="G33" s="1543" t="s">
        <v>4655</v>
      </c>
      <c r="H33" s="1543" t="s">
        <v>19</v>
      </c>
      <c r="I33" s="1543" t="s">
        <v>74</v>
      </c>
      <c r="J33" s="1605" t="s">
        <v>4656</v>
      </c>
      <c r="K33" s="1605" t="s">
        <v>4657</v>
      </c>
      <c r="L33" s="1545"/>
      <c r="M33" s="1545"/>
    </row>
    <row r="34" spans="1:13" s="1559" customFormat="1" ht="153.75" customHeight="1">
      <c r="A34" s="1553">
        <v>29</v>
      </c>
      <c r="B34" s="1545" t="s">
        <v>3573</v>
      </c>
      <c r="C34" s="1827">
        <v>3100</v>
      </c>
      <c r="D34" s="1543" t="s">
        <v>4658</v>
      </c>
      <c r="E34" s="1545" t="s">
        <v>84</v>
      </c>
      <c r="F34" s="1543" t="s">
        <v>4659</v>
      </c>
      <c r="G34" s="1543" t="s">
        <v>4655</v>
      </c>
      <c r="H34" s="1543" t="s">
        <v>19</v>
      </c>
      <c r="I34" s="1543" t="s">
        <v>74</v>
      </c>
      <c r="J34" s="1605" t="s">
        <v>4660</v>
      </c>
      <c r="K34" s="1828" t="s">
        <v>4657</v>
      </c>
      <c r="L34" s="1545"/>
      <c r="M34" s="1852"/>
    </row>
    <row r="35" spans="1:13" s="1548" customFormat="1" ht="115.5" customHeight="1">
      <c r="A35" s="1542">
        <v>30</v>
      </c>
      <c r="B35" s="1493" t="s">
        <v>3563</v>
      </c>
      <c r="C35" s="1901">
        <v>3550</v>
      </c>
      <c r="D35" s="1495" t="s">
        <v>4653</v>
      </c>
      <c r="E35" s="1493" t="s">
        <v>61</v>
      </c>
      <c r="F35" s="1493" t="s">
        <v>4661</v>
      </c>
      <c r="G35" s="1495"/>
      <c r="H35" s="1495" t="s">
        <v>19</v>
      </c>
      <c r="I35" s="1495" t="s">
        <v>20</v>
      </c>
      <c r="J35" s="1770" t="s">
        <v>4662</v>
      </c>
      <c r="K35" s="1600" t="s">
        <v>4663</v>
      </c>
      <c r="L35" s="1493"/>
      <c r="M35" s="1790"/>
    </row>
    <row r="36" spans="1:13" s="1883" customFormat="1" ht="117.75" customHeight="1">
      <c r="A36" s="1630">
        <v>31</v>
      </c>
      <c r="B36" s="1902" t="s">
        <v>59</v>
      </c>
      <c r="C36" s="1826">
        <v>3240</v>
      </c>
      <c r="D36" s="1495" t="s">
        <v>4664</v>
      </c>
      <c r="E36" s="1493" t="s">
        <v>89</v>
      </c>
      <c r="F36" s="1495" t="s">
        <v>4665</v>
      </c>
      <c r="H36" s="1875" t="s">
        <v>19</v>
      </c>
      <c r="I36" s="1851" t="s">
        <v>20</v>
      </c>
      <c r="J36" s="1994" t="s">
        <v>4666</v>
      </c>
      <c r="K36" s="1883" t="s">
        <v>4667</v>
      </c>
    </row>
    <row r="37" spans="1:13" s="1548" customFormat="1" ht="86.25" customHeight="1">
      <c r="A37" s="1493">
        <v>32</v>
      </c>
      <c r="B37" s="1630" t="s">
        <v>3460</v>
      </c>
      <c r="C37" s="1631">
        <v>4000</v>
      </c>
      <c r="D37" s="1851" t="s">
        <v>4668</v>
      </c>
      <c r="E37" s="1630" t="s">
        <v>61</v>
      </c>
      <c r="F37" s="1630" t="s">
        <v>4669</v>
      </c>
      <c r="G37" s="1493"/>
      <c r="H37" s="1543" t="s">
        <v>19</v>
      </c>
      <c r="I37" s="1851" t="s">
        <v>4670</v>
      </c>
      <c r="J37" s="1600" t="s">
        <v>4671</v>
      </c>
    </row>
    <row r="38" spans="1:13" s="1548" customFormat="1" ht="106.5" customHeight="1">
      <c r="A38" s="1542">
        <v>33</v>
      </c>
      <c r="B38" s="1493" t="s">
        <v>3715</v>
      </c>
      <c r="C38" s="1903">
        <v>4350</v>
      </c>
      <c r="D38" s="1495" t="s">
        <v>4672</v>
      </c>
      <c r="E38" s="1493" t="s">
        <v>84</v>
      </c>
      <c r="F38" s="1495" t="s">
        <v>4673</v>
      </c>
      <c r="G38" s="1495"/>
      <c r="H38" s="1543" t="s">
        <v>19</v>
      </c>
      <c r="I38" s="1851" t="s">
        <v>20</v>
      </c>
      <c r="J38" s="1994" t="s">
        <v>4674</v>
      </c>
      <c r="K38" s="1600" t="s">
        <v>4675</v>
      </c>
      <c r="L38" s="1493"/>
      <c r="M38" s="1790"/>
    </row>
    <row r="39" spans="1:13" s="1548" customFormat="1" ht="107.25" customHeight="1">
      <c r="A39" s="1542">
        <v>34</v>
      </c>
      <c r="B39" s="1493" t="s">
        <v>93</v>
      </c>
      <c r="C39" s="1903">
        <v>2950</v>
      </c>
      <c r="D39" s="1495" t="s">
        <v>4418</v>
      </c>
      <c r="E39" s="1493" t="s">
        <v>84</v>
      </c>
      <c r="F39" s="1495" t="s">
        <v>4676</v>
      </c>
      <c r="G39" s="1495"/>
      <c r="H39" s="1543" t="s">
        <v>19</v>
      </c>
      <c r="I39" s="1851" t="s">
        <v>20</v>
      </c>
      <c r="J39" s="1600" t="s">
        <v>4666</v>
      </c>
      <c r="K39" s="1600" t="s">
        <v>4675</v>
      </c>
      <c r="L39" s="1493"/>
      <c r="M39" s="1790"/>
    </row>
    <row r="40" spans="1:13" s="1548" customFormat="1" ht="119.25" customHeight="1">
      <c r="A40" s="1542">
        <v>35</v>
      </c>
      <c r="B40" s="1493" t="s">
        <v>47</v>
      </c>
      <c r="C40" s="1903">
        <v>4000</v>
      </c>
      <c r="D40" s="1495" t="s">
        <v>4677</v>
      </c>
      <c r="E40" s="1493" t="s">
        <v>3401</v>
      </c>
      <c r="F40" s="1495" t="s">
        <v>4678</v>
      </c>
      <c r="G40" s="1495"/>
      <c r="H40" s="1543" t="s">
        <v>19</v>
      </c>
      <c r="I40" s="1851" t="s">
        <v>20</v>
      </c>
      <c r="J40" s="1600" t="s">
        <v>4674</v>
      </c>
      <c r="K40" s="1600" t="s">
        <v>4675</v>
      </c>
      <c r="L40" s="1493"/>
      <c r="M40" s="1790"/>
    </row>
    <row r="41" spans="1:13" s="1777" customFormat="1" ht="58.5" customHeight="1">
      <c r="A41" s="738">
        <v>36</v>
      </c>
      <c r="B41" s="1895"/>
      <c r="C41" s="1207"/>
      <c r="D41" s="109"/>
      <c r="E41" s="102"/>
      <c r="F41" s="109"/>
      <c r="G41" s="109"/>
      <c r="H41" s="109"/>
      <c r="I41" s="109"/>
      <c r="J41" s="143"/>
      <c r="K41" s="143"/>
      <c r="L41" s="102"/>
      <c r="M41" s="1853"/>
    </row>
    <row r="42" spans="1:13" s="1777" customFormat="1" ht="58.5" customHeight="1">
      <c r="A42" s="738">
        <v>37</v>
      </c>
      <c r="B42" s="102"/>
      <c r="C42" s="1207"/>
      <c r="D42" s="109"/>
      <c r="E42" s="102"/>
      <c r="F42" s="109"/>
      <c r="G42" s="109"/>
      <c r="H42" s="109"/>
      <c r="I42" s="109"/>
      <c r="J42" s="143"/>
      <c r="K42" s="143"/>
      <c r="L42" s="102"/>
      <c r="M42" s="1853"/>
    </row>
    <row r="43" spans="1:13" s="1777" customFormat="1" ht="58.5" customHeight="1">
      <c r="A43" s="738">
        <v>38</v>
      </c>
      <c r="B43" s="102"/>
      <c r="C43" s="1207"/>
      <c r="D43" s="109"/>
      <c r="E43" s="102"/>
      <c r="F43" s="109"/>
      <c r="G43" s="109"/>
      <c r="H43" s="109"/>
      <c r="I43" s="109"/>
      <c r="J43" s="143"/>
      <c r="K43" s="143"/>
      <c r="L43" s="102"/>
      <c r="M43" s="1853"/>
    </row>
    <row r="44" spans="1:13" s="1777" customFormat="1" ht="58.5" customHeight="1">
      <c r="A44" s="738">
        <v>39</v>
      </c>
      <c r="B44" s="102"/>
      <c r="C44" s="1207"/>
      <c r="D44" s="109"/>
      <c r="E44" s="102"/>
      <c r="F44" s="109"/>
      <c r="G44" s="109"/>
      <c r="H44" s="109"/>
      <c r="I44" s="109"/>
      <c r="J44" s="143"/>
      <c r="K44" s="143"/>
      <c r="L44" s="102"/>
      <c r="M44" s="1853"/>
    </row>
    <row r="45" spans="1:13" s="1777" customFormat="1" ht="58.5" customHeight="1">
      <c r="A45" s="738">
        <v>40</v>
      </c>
      <c r="B45" s="102"/>
      <c r="C45" s="1207"/>
      <c r="D45" s="109"/>
      <c r="E45" s="102"/>
      <c r="F45" s="109"/>
      <c r="G45" s="109"/>
      <c r="H45" s="109"/>
      <c r="I45" s="109"/>
      <c r="J45" s="143"/>
      <c r="K45" s="143"/>
      <c r="L45" s="102"/>
      <c r="M45" s="1853"/>
    </row>
    <row r="53" spans="2:5" s="1823" customFormat="1" ht="54" customHeight="1">
      <c r="B53" s="1801" t="s">
        <v>93</v>
      </c>
      <c r="C53" s="1830"/>
      <c r="D53" s="1802" t="s">
        <v>216</v>
      </c>
      <c r="E53" s="1801" t="s">
        <v>84</v>
      </c>
    </row>
  </sheetData>
  <autoFilter ref="A5:P44" xr:uid="{00000000-0009-0000-0000-000001000000}"/>
  <mergeCells count="4">
    <mergeCell ref="C1:K1"/>
    <mergeCell ref="A2:M2"/>
    <mergeCell ref="B3:M3"/>
    <mergeCell ref="A4:B4"/>
  </mergeCells>
  <conditionalFormatting sqref="A1:A4">
    <cfRule type="duplicateValues" dxfId="405" priority="6"/>
  </conditionalFormatting>
  <conditionalFormatting sqref="A5">
    <cfRule type="duplicateValues" dxfId="404" priority="5"/>
  </conditionalFormatting>
  <conditionalFormatting sqref="B5">
    <cfRule type="duplicateValues" dxfId="403" priority="2"/>
    <cfRule type="duplicateValues" dxfId="402" priority="3"/>
    <cfRule type="duplicateValues" dxfId="401" priority="4"/>
  </conditionalFormatting>
  <pageMargins left="0.7" right="0.7" top="0.75" bottom="0.75" header="0.3" footer="0.3"/>
  <pageSetup paperSize="9" scale="40" orientation="landscape"/>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055369-18FC-4D56-9918-366D6855EACE}">
  <sheetPr>
    <tabColor theme="2" tint="-0.249977111117893"/>
    <pageSetUpPr fitToPage="1"/>
  </sheetPr>
  <dimension ref="A1:N45"/>
  <sheetViews>
    <sheetView topLeftCell="A2" zoomScale="70" zoomScaleNormal="70" workbookViewId="0">
      <pane xSplit="3" ySplit="4" topLeftCell="E26" activePane="bottomRight" state="frozen"/>
      <selection pane="topRight" activeCell="E39" sqref="E39"/>
      <selection pane="bottomLeft" activeCell="E39" sqref="E39"/>
      <selection pane="bottomRight" activeCell="E39" sqref="E39"/>
    </sheetView>
  </sheetViews>
  <sheetFormatPr defaultColWidth="32.140625" defaultRowHeight="58.5" customHeight="1"/>
  <cols>
    <col min="1" max="1" width="9.42578125" style="359" customWidth="1"/>
    <col min="2" max="2" width="33.5703125" style="1" customWidth="1"/>
    <col min="3" max="3" width="18.85546875" style="804" customWidth="1"/>
    <col min="4" max="4" width="27.85546875" style="271" customWidth="1"/>
    <col min="5" max="5" width="32.140625" style="1" customWidth="1"/>
    <col min="6" max="6" width="25.85546875" style="271" customWidth="1"/>
    <col min="7" max="7" width="36.42578125" style="271" customWidth="1"/>
    <col min="8" max="8" width="32.140625" style="271" customWidth="1"/>
    <col min="9" max="9" width="31.28515625" style="271" customWidth="1"/>
    <col min="10" max="10" width="119.28515625" style="9" customWidth="1"/>
    <col min="11" max="11" width="42.140625" style="9" customWidth="1"/>
    <col min="12" max="12" width="17.28515625" style="1" customWidth="1"/>
    <col min="13" max="13" width="18.7109375" style="763" customWidth="1"/>
    <col min="14" max="16384" width="32.140625" style="3"/>
  </cols>
  <sheetData>
    <row r="1" spans="1:14" ht="58.5" customHeight="1">
      <c r="B1" s="10"/>
      <c r="C1" s="3624"/>
      <c r="D1" s="3624"/>
      <c r="E1" s="3624"/>
      <c r="F1" s="3624"/>
      <c r="G1" s="3624"/>
      <c r="H1" s="3624"/>
      <c r="I1" s="3624"/>
      <c r="J1" s="3624"/>
      <c r="K1" s="3624"/>
      <c r="M1" s="1848"/>
    </row>
    <row r="2" spans="1:14" ht="39.75" customHeight="1">
      <c r="A2" s="3625" t="s">
        <v>4679</v>
      </c>
      <c r="B2" s="3625"/>
      <c r="C2" s="3625"/>
      <c r="D2" s="3625"/>
      <c r="E2" s="3625"/>
      <c r="F2" s="3625"/>
      <c r="G2" s="3625"/>
      <c r="H2" s="3625"/>
      <c r="I2" s="3625"/>
      <c r="J2" s="3625"/>
      <c r="K2" s="3625"/>
      <c r="L2" s="3625"/>
      <c r="M2" s="3625"/>
      <c r="N2" s="287"/>
    </row>
    <row r="3" spans="1:14" s="1725" customFormat="1" ht="45" customHeight="1">
      <c r="A3" s="1723"/>
      <c r="B3" s="3626"/>
      <c r="C3" s="3627"/>
      <c r="D3" s="3627"/>
      <c r="E3" s="3627"/>
      <c r="F3" s="3627"/>
      <c r="G3" s="3627"/>
      <c r="H3" s="3627"/>
      <c r="I3" s="3627"/>
      <c r="J3" s="3627"/>
      <c r="K3" s="3627"/>
      <c r="L3" s="3627"/>
      <c r="M3" s="3628"/>
      <c r="N3" s="1724"/>
    </row>
    <row r="4" spans="1:14" ht="30" customHeight="1">
      <c r="A4" s="3629"/>
      <c r="B4" s="3629"/>
      <c r="C4" s="1810">
        <f>SUM(C6:C28)</f>
        <v>284490</v>
      </c>
      <c r="D4" s="1503"/>
      <c r="E4" s="1504"/>
      <c r="F4" s="1503"/>
      <c r="G4" s="1503"/>
      <c r="H4" s="1503"/>
      <c r="I4" s="1503"/>
      <c r="J4" s="1504">
        <f ca="1">TODAY()</f>
        <v>45960</v>
      </c>
      <c r="L4" s="1504"/>
      <c r="M4" s="1849"/>
      <c r="N4" s="287"/>
    </row>
    <row r="5" spans="1:14" s="1535" customFormat="1" ht="33">
      <c r="A5" s="361" t="s">
        <v>1</v>
      </c>
      <c r="B5" s="679" t="s">
        <v>2</v>
      </c>
      <c r="C5" s="1811" t="s">
        <v>3</v>
      </c>
      <c r="D5" s="204" t="s">
        <v>4</v>
      </c>
      <c r="E5" s="204" t="s">
        <v>5</v>
      </c>
      <c r="F5" s="204" t="s">
        <v>6</v>
      </c>
      <c r="G5" s="204" t="s">
        <v>7</v>
      </c>
      <c r="H5" s="204" t="s">
        <v>8</v>
      </c>
      <c r="I5" s="204" t="s">
        <v>9</v>
      </c>
      <c r="J5" s="204" t="s">
        <v>10</v>
      </c>
      <c r="K5" s="204" t="s">
        <v>11</v>
      </c>
      <c r="L5" s="204" t="s">
        <v>12</v>
      </c>
      <c r="M5" s="1858" t="s">
        <v>13</v>
      </c>
      <c r="N5" s="1534" t="e">
        <f>SUM(#REF!)</f>
        <v>#REF!</v>
      </c>
    </row>
    <row r="6" spans="1:14" s="1548" customFormat="1" ht="225">
      <c r="A6" s="1850" cm="1">
        <f t="array" ref="A6:A45">_xlfn.SEQUENCE(40,1,1,)</f>
        <v>1</v>
      </c>
      <c r="B6" s="1630" t="s">
        <v>4417</v>
      </c>
      <c r="C6" s="1826">
        <v>23800</v>
      </c>
      <c r="D6" s="1495" t="s">
        <v>4680</v>
      </c>
      <c r="E6" s="1851" t="s">
        <v>3416</v>
      </c>
      <c r="F6" s="1495" t="s">
        <v>4681</v>
      </c>
      <c r="G6" s="1787" t="s">
        <v>18</v>
      </c>
      <c r="H6" s="1851" t="s">
        <v>19</v>
      </c>
      <c r="I6" s="1495" t="s">
        <v>172</v>
      </c>
      <c r="J6" s="1600" t="s">
        <v>4682</v>
      </c>
      <c r="K6" s="1547" t="s">
        <v>4683</v>
      </c>
      <c r="L6" s="1493"/>
      <c r="M6" s="1790"/>
    </row>
    <row r="7" spans="1:14" s="1548" customFormat="1" ht="56.25">
      <c r="A7" s="1542">
        <v>2</v>
      </c>
      <c r="B7" s="1493" t="s">
        <v>211</v>
      </c>
      <c r="C7" s="1826">
        <v>3800</v>
      </c>
      <c r="D7" s="1495" t="s">
        <v>4684</v>
      </c>
      <c r="E7" s="1493" t="s">
        <v>61</v>
      </c>
      <c r="F7" s="1495" t="s">
        <v>4685</v>
      </c>
      <c r="G7" s="1787" t="s">
        <v>18</v>
      </c>
      <c r="H7" s="1493" t="s">
        <v>19</v>
      </c>
      <c r="I7" s="1493" t="s">
        <v>517</v>
      </c>
      <c r="J7" s="1496" t="s">
        <v>4686</v>
      </c>
      <c r="K7" s="1547"/>
      <c r="L7" s="1493"/>
      <c r="M7" s="1790"/>
    </row>
    <row r="8" spans="1:14" s="1548" customFormat="1" ht="138.75" customHeight="1">
      <c r="A8" s="1542">
        <v>3</v>
      </c>
      <c r="B8" s="1493" t="s">
        <v>3977</v>
      </c>
      <c r="C8" s="1826">
        <v>2300</v>
      </c>
      <c r="D8" s="1495" t="s">
        <v>4687</v>
      </c>
      <c r="E8" s="1493" t="s">
        <v>84</v>
      </c>
      <c r="F8" s="1495" t="s">
        <v>4688</v>
      </c>
      <c r="G8" s="1787" t="s">
        <v>18</v>
      </c>
      <c r="H8" s="1493" t="s">
        <v>19</v>
      </c>
      <c r="I8" s="1493" t="s">
        <v>74</v>
      </c>
      <c r="J8" s="1496" t="s">
        <v>4689</v>
      </c>
      <c r="K8" s="1496"/>
      <c r="L8" s="1493"/>
      <c r="M8" s="1790"/>
    </row>
    <row r="9" spans="1:14" s="1883" customFormat="1" ht="360.75" customHeight="1">
      <c r="A9" s="1850">
        <v>4</v>
      </c>
      <c r="B9" s="1630" t="s">
        <v>4690</v>
      </c>
      <c r="C9" s="1868">
        <v>31100</v>
      </c>
      <c r="D9" s="1851" t="s">
        <v>4691</v>
      </c>
      <c r="E9" s="1851" t="s">
        <v>25</v>
      </c>
      <c r="F9" s="1851"/>
      <c r="G9" s="1851" t="s">
        <v>4692</v>
      </c>
      <c r="H9" s="1851" t="s">
        <v>153</v>
      </c>
      <c r="I9" s="1851" t="s">
        <v>3513</v>
      </c>
      <c r="J9" s="1887" t="s">
        <v>4693</v>
      </c>
      <c r="K9" s="1881"/>
      <c r="L9" s="1630"/>
      <c r="M9" s="1882" t="s">
        <v>4694</v>
      </c>
    </row>
    <row r="10" spans="1:14" s="1883" customFormat="1" ht="56.25">
      <c r="A10" s="1850">
        <v>5</v>
      </c>
      <c r="B10" s="1851" t="s">
        <v>93</v>
      </c>
      <c r="C10" s="1868">
        <v>2950</v>
      </c>
      <c r="D10" s="1851" t="s">
        <v>4695</v>
      </c>
      <c r="E10" s="1851" t="s">
        <v>84</v>
      </c>
      <c r="F10" s="1851"/>
      <c r="G10" s="1787" t="s">
        <v>18</v>
      </c>
      <c r="H10" s="1851" t="s">
        <v>19</v>
      </c>
      <c r="I10" s="1851" t="s">
        <v>172</v>
      </c>
      <c r="J10" s="1497" t="s">
        <v>4696</v>
      </c>
      <c r="K10" s="1881"/>
      <c r="L10" s="1630"/>
      <c r="M10" s="1882"/>
    </row>
    <row r="11" spans="1:14" s="1883" customFormat="1" ht="37.5">
      <c r="A11" s="1850">
        <v>6</v>
      </c>
      <c r="B11" s="1851" t="s">
        <v>4278</v>
      </c>
      <c r="C11" s="1868">
        <v>4000</v>
      </c>
      <c r="D11" s="1851" t="s">
        <v>4697</v>
      </c>
      <c r="E11" s="1851" t="s">
        <v>16</v>
      </c>
      <c r="F11" s="1851" t="s">
        <v>4698</v>
      </c>
      <c r="G11" s="1787" t="s">
        <v>18</v>
      </c>
      <c r="H11" s="1851" t="s">
        <v>19</v>
      </c>
      <c r="I11" s="1851" t="s">
        <v>172</v>
      </c>
      <c r="J11" s="1497" t="s">
        <v>4699</v>
      </c>
      <c r="K11" s="1881"/>
      <c r="L11" s="1630"/>
      <c r="M11" s="1882"/>
    </row>
    <row r="12" spans="1:14" s="1883" customFormat="1" ht="37.5">
      <c r="A12" s="1850">
        <v>7</v>
      </c>
      <c r="B12" s="1851" t="s">
        <v>59</v>
      </c>
      <c r="C12" s="1868">
        <v>3300</v>
      </c>
      <c r="D12" s="1851" t="s">
        <v>4700</v>
      </c>
      <c r="E12" s="1851" t="s">
        <v>61</v>
      </c>
      <c r="F12" s="1851" t="s">
        <v>4701</v>
      </c>
      <c r="G12" s="1787" t="s">
        <v>18</v>
      </c>
      <c r="H12" s="1851" t="s">
        <v>19</v>
      </c>
      <c r="I12" s="1851" t="s">
        <v>101</v>
      </c>
      <c r="J12" s="1497" t="s">
        <v>4702</v>
      </c>
      <c r="K12" s="1881"/>
      <c r="L12" s="1630"/>
      <c r="M12" s="1882"/>
    </row>
    <row r="13" spans="1:14" s="1883" customFormat="1" ht="56.25">
      <c r="A13" s="1850">
        <v>8</v>
      </c>
      <c r="B13" s="1851" t="s">
        <v>4703</v>
      </c>
      <c r="C13" s="1868">
        <v>45000</v>
      </c>
      <c r="D13" s="1851" t="s">
        <v>4704</v>
      </c>
      <c r="E13" s="1851" t="s">
        <v>513</v>
      </c>
      <c r="F13" s="1851" t="s">
        <v>4705</v>
      </c>
      <c r="G13" s="1851"/>
      <c r="H13" s="1851" t="s">
        <v>3423</v>
      </c>
      <c r="I13" s="1851" t="s">
        <v>4706</v>
      </c>
      <c r="J13" s="1497" t="s">
        <v>4707</v>
      </c>
      <c r="K13" s="1881"/>
      <c r="L13" s="1630"/>
      <c r="M13" s="1882"/>
    </row>
    <row r="14" spans="1:14" s="1883" customFormat="1" ht="93.75">
      <c r="A14" s="1850">
        <v>9</v>
      </c>
      <c r="B14" s="1851" t="s">
        <v>2915</v>
      </c>
      <c r="C14" s="1868">
        <v>3300</v>
      </c>
      <c r="D14" s="1851" t="s">
        <v>4697</v>
      </c>
      <c r="E14" s="1851" t="s">
        <v>61</v>
      </c>
      <c r="F14" s="1851" t="s">
        <v>4708</v>
      </c>
      <c r="G14" s="1787" t="s">
        <v>18</v>
      </c>
      <c r="H14" s="1851" t="s">
        <v>19</v>
      </c>
      <c r="I14" s="1851" t="s">
        <v>172</v>
      </c>
      <c r="J14" s="1497" t="s">
        <v>4709</v>
      </c>
      <c r="K14" s="1881"/>
      <c r="L14" s="1630"/>
      <c r="M14" s="1882"/>
    </row>
    <row r="15" spans="1:14" s="1883" customFormat="1" ht="31.5">
      <c r="A15" s="1850">
        <v>10</v>
      </c>
      <c r="B15" s="1630" t="s">
        <v>219</v>
      </c>
      <c r="C15" s="1868">
        <v>3800</v>
      </c>
      <c r="D15" s="1851" t="s">
        <v>4700</v>
      </c>
      <c r="E15" s="1851" t="s">
        <v>61</v>
      </c>
      <c r="F15" s="1851" t="s">
        <v>4710</v>
      </c>
      <c r="G15" s="1787" t="s">
        <v>18</v>
      </c>
      <c r="H15" s="1851" t="s">
        <v>19</v>
      </c>
      <c r="I15" s="1851" t="s">
        <v>63</v>
      </c>
      <c r="J15" s="1887" t="s">
        <v>4711</v>
      </c>
      <c r="K15" s="1881"/>
      <c r="L15" s="1630"/>
      <c r="M15" s="1882"/>
    </row>
    <row r="16" spans="1:14" s="1883" customFormat="1" ht="37.5">
      <c r="A16" s="1850">
        <v>11</v>
      </c>
      <c r="B16" s="1630" t="s">
        <v>4712</v>
      </c>
      <c r="C16" s="1868">
        <v>35000</v>
      </c>
      <c r="D16" s="1851" t="s">
        <v>4713</v>
      </c>
      <c r="E16" s="1851" t="s">
        <v>4031</v>
      </c>
      <c r="F16" s="1851" t="s">
        <v>4714</v>
      </c>
      <c r="G16" s="1787" t="s">
        <v>18</v>
      </c>
      <c r="H16" s="1851" t="s">
        <v>3423</v>
      </c>
      <c r="I16" s="1851" t="s">
        <v>4543</v>
      </c>
      <c r="J16" s="1497" t="s">
        <v>4715</v>
      </c>
      <c r="K16" s="1888" t="s">
        <v>4716</v>
      </c>
      <c r="L16" s="1630"/>
      <c r="M16" s="1882"/>
    </row>
    <row r="17" spans="1:13" s="1883" customFormat="1" ht="56.25">
      <c r="A17" s="1850">
        <v>12</v>
      </c>
      <c r="B17" s="1630" t="s">
        <v>14</v>
      </c>
      <c r="C17" s="1868">
        <v>4000</v>
      </c>
      <c r="D17" s="1851" t="s">
        <v>4713</v>
      </c>
      <c r="E17" s="1851" t="s">
        <v>84</v>
      </c>
      <c r="F17" s="1851" t="s">
        <v>4717</v>
      </c>
      <c r="G17" s="1787" t="s">
        <v>18</v>
      </c>
      <c r="H17" s="1851" t="s">
        <v>19</v>
      </c>
      <c r="I17" s="1851" t="s">
        <v>4328</v>
      </c>
      <c r="J17" s="1497" t="s">
        <v>4718</v>
      </c>
      <c r="K17" s="1888"/>
      <c r="L17" s="1630"/>
      <c r="M17" s="1882"/>
    </row>
    <row r="18" spans="1:13" s="1883" customFormat="1" ht="37.5">
      <c r="A18" s="1850">
        <v>13</v>
      </c>
      <c r="B18" s="1630" t="s">
        <v>4719</v>
      </c>
      <c r="C18" s="1868">
        <v>15000</v>
      </c>
      <c r="D18" s="1851" t="s">
        <v>4720</v>
      </c>
      <c r="E18" s="1851" t="s">
        <v>25</v>
      </c>
      <c r="F18" s="1851" t="s">
        <v>4721</v>
      </c>
      <c r="G18" s="1787" t="s">
        <v>18</v>
      </c>
      <c r="H18" s="1851" t="s">
        <v>3423</v>
      </c>
      <c r="I18" s="1495" t="s">
        <v>4722</v>
      </c>
      <c r="J18" s="1497" t="s">
        <v>4723</v>
      </c>
      <c r="K18" s="1881"/>
      <c r="L18" s="1630"/>
      <c r="M18" s="1882"/>
    </row>
    <row r="19" spans="1:13" s="1883" customFormat="1" ht="37.5" customHeight="1">
      <c r="A19" s="1850">
        <v>14</v>
      </c>
      <c r="B19" s="1851" t="s">
        <v>3507</v>
      </c>
      <c r="C19" s="1868">
        <v>4450</v>
      </c>
      <c r="D19" s="1851" t="s">
        <v>4720</v>
      </c>
      <c r="E19" s="1851" t="s">
        <v>61</v>
      </c>
      <c r="F19" s="1851" t="s">
        <v>4724</v>
      </c>
      <c r="G19" s="1787" t="s">
        <v>18</v>
      </c>
      <c r="H19" s="1851" t="s">
        <v>19</v>
      </c>
      <c r="I19" s="1851" t="s">
        <v>4348</v>
      </c>
      <c r="J19" s="1497" t="s">
        <v>4725</v>
      </c>
      <c r="K19" s="1881"/>
      <c r="L19" s="1630"/>
      <c r="M19" s="1882"/>
    </row>
    <row r="20" spans="1:13" s="1883" customFormat="1" ht="206.25">
      <c r="A20" s="1850">
        <v>15</v>
      </c>
      <c r="B20" s="1851" t="s">
        <v>4417</v>
      </c>
      <c r="C20" s="1868">
        <v>20000</v>
      </c>
      <c r="D20" s="1851" t="s">
        <v>4726</v>
      </c>
      <c r="E20" s="1851" t="s">
        <v>3416</v>
      </c>
      <c r="F20" s="1851" t="s">
        <v>4727</v>
      </c>
      <c r="G20" s="1787" t="s">
        <v>18</v>
      </c>
      <c r="H20" s="1851" t="s">
        <v>19</v>
      </c>
      <c r="I20" s="1851" t="s">
        <v>4728</v>
      </c>
      <c r="J20" s="1497" t="s">
        <v>4729</v>
      </c>
      <c r="K20" s="1881"/>
      <c r="L20" s="1630"/>
      <c r="M20" s="1882"/>
    </row>
    <row r="21" spans="1:13" s="1883" customFormat="1" ht="38.25" customHeight="1">
      <c r="A21" s="1850">
        <v>16</v>
      </c>
      <c r="B21" s="1851" t="s">
        <v>47</v>
      </c>
      <c r="C21" s="1868">
        <v>4250</v>
      </c>
      <c r="D21" s="1851" t="s">
        <v>4730</v>
      </c>
      <c r="E21" s="1851" t="s">
        <v>3401</v>
      </c>
      <c r="F21" s="1851" t="s">
        <v>4731</v>
      </c>
      <c r="G21" s="1787" t="s">
        <v>18</v>
      </c>
      <c r="H21" s="1851" t="s">
        <v>19</v>
      </c>
      <c r="I21" s="1851" t="s">
        <v>20</v>
      </c>
      <c r="J21" s="1497" t="s">
        <v>4732</v>
      </c>
      <c r="K21" s="1881" t="s">
        <v>4733</v>
      </c>
      <c r="L21" s="1630"/>
      <c r="M21" s="1882"/>
    </row>
    <row r="22" spans="1:13" s="1883" customFormat="1" ht="127.5" customHeight="1">
      <c r="A22" s="1850">
        <v>17</v>
      </c>
      <c r="B22" s="1851" t="s">
        <v>193</v>
      </c>
      <c r="C22" s="1868">
        <v>9000</v>
      </c>
      <c r="D22" s="1851" t="s">
        <v>4734</v>
      </c>
      <c r="E22" s="1851" t="s">
        <v>3401</v>
      </c>
      <c r="F22" s="1851" t="s">
        <v>4735</v>
      </c>
      <c r="G22" s="1787" t="s">
        <v>18</v>
      </c>
      <c r="H22" s="1851" t="s">
        <v>19</v>
      </c>
      <c r="I22" s="1851" t="s">
        <v>393</v>
      </c>
      <c r="J22" s="1497" t="s">
        <v>4736</v>
      </c>
      <c r="K22" s="1881"/>
      <c r="L22" s="1630"/>
      <c r="M22" s="1882"/>
    </row>
    <row r="23" spans="1:13" s="1548" customFormat="1" ht="56.25">
      <c r="A23" s="1542">
        <v>18</v>
      </c>
      <c r="B23" s="1630" t="s">
        <v>4737</v>
      </c>
      <c r="C23" s="1826">
        <v>10000</v>
      </c>
      <c r="D23" s="1495" t="s">
        <v>4738</v>
      </c>
      <c r="E23" s="1851" t="s">
        <v>25</v>
      </c>
      <c r="F23" s="1495" t="s">
        <v>4739</v>
      </c>
      <c r="G23" s="1787" t="s">
        <v>18</v>
      </c>
      <c r="H23" s="1851" t="s">
        <v>3423</v>
      </c>
      <c r="I23" s="1495" t="s">
        <v>178</v>
      </c>
      <c r="J23" s="1600" t="s">
        <v>4740</v>
      </c>
      <c r="K23" s="1547" t="s">
        <v>4741</v>
      </c>
      <c r="L23" s="1493"/>
      <c r="M23" s="1790"/>
    </row>
    <row r="24" spans="1:13" s="1883" customFormat="1" ht="262.5">
      <c r="A24" s="1850">
        <v>19</v>
      </c>
      <c r="B24" s="1630" t="s">
        <v>4742</v>
      </c>
      <c r="C24" s="1868">
        <v>20350</v>
      </c>
      <c r="D24" s="1851" t="s">
        <v>4743</v>
      </c>
      <c r="E24" s="1851" t="s">
        <v>25</v>
      </c>
      <c r="F24" s="1851" t="s">
        <v>4744</v>
      </c>
      <c r="G24" s="1787" t="s">
        <v>18</v>
      </c>
      <c r="H24" s="1851" t="s">
        <v>3423</v>
      </c>
      <c r="I24" s="1851" t="s">
        <v>3513</v>
      </c>
      <c r="J24" s="1497" t="s">
        <v>4745</v>
      </c>
      <c r="K24" s="1881" t="s">
        <v>4746</v>
      </c>
      <c r="L24" s="1630"/>
      <c r="M24" s="1882"/>
    </row>
    <row r="25" spans="1:13" s="1548" customFormat="1" ht="206.25">
      <c r="A25" s="1542">
        <v>20</v>
      </c>
      <c r="B25" s="1630" t="s">
        <v>4747</v>
      </c>
      <c r="C25" s="1826">
        <v>27820</v>
      </c>
      <c r="D25" s="1495" t="s">
        <v>4748</v>
      </c>
      <c r="E25" s="1851" t="s">
        <v>2260</v>
      </c>
      <c r="F25" s="1495" t="s">
        <v>4749</v>
      </c>
      <c r="G25" s="1787" t="s">
        <v>18</v>
      </c>
      <c r="H25" s="1851" t="s">
        <v>3423</v>
      </c>
      <c r="I25" s="1495" t="s">
        <v>3351</v>
      </c>
      <c r="J25" s="1600" t="s">
        <v>4750</v>
      </c>
      <c r="K25" s="1600"/>
      <c r="L25" s="1493"/>
      <c r="M25" s="1790"/>
    </row>
    <row r="26" spans="1:13" s="1548" customFormat="1" ht="85.5" customHeight="1">
      <c r="A26" s="1542">
        <v>21</v>
      </c>
      <c r="B26" s="1630" t="s">
        <v>211</v>
      </c>
      <c r="C26" s="1826">
        <v>4000</v>
      </c>
      <c r="D26" s="1495" t="s">
        <v>4751</v>
      </c>
      <c r="E26" s="1851" t="s">
        <v>61</v>
      </c>
      <c r="F26" s="1495" t="s">
        <v>4752</v>
      </c>
      <c r="G26" s="1787" t="s">
        <v>18</v>
      </c>
      <c r="H26" s="1851" t="s">
        <v>19</v>
      </c>
      <c r="I26" s="1495" t="s">
        <v>101</v>
      </c>
      <c r="J26" s="1600" t="s">
        <v>4753</v>
      </c>
      <c r="K26" s="1547"/>
      <c r="L26" s="1493"/>
      <c r="M26" s="1790"/>
    </row>
    <row r="27" spans="1:13" s="1548" customFormat="1" ht="97.5" customHeight="1">
      <c r="A27" s="1542">
        <v>22</v>
      </c>
      <c r="B27" s="1630" t="s">
        <v>3977</v>
      </c>
      <c r="C27" s="1826">
        <v>3550</v>
      </c>
      <c r="D27" s="1495" t="s">
        <v>4754</v>
      </c>
      <c r="E27" s="1851" t="s">
        <v>84</v>
      </c>
      <c r="F27" s="1495" t="s">
        <v>4755</v>
      </c>
      <c r="G27" s="1787" t="s">
        <v>18</v>
      </c>
      <c r="H27" s="1851" t="s">
        <v>19</v>
      </c>
      <c r="I27" s="1495" t="s">
        <v>101</v>
      </c>
      <c r="J27" s="1600" t="s">
        <v>4756</v>
      </c>
      <c r="K27" s="1547"/>
      <c r="L27" s="1493"/>
      <c r="M27" s="1790"/>
    </row>
    <row r="28" spans="1:13" s="1548" customFormat="1" ht="56.25" customHeight="1">
      <c r="A28" s="1542">
        <v>23</v>
      </c>
      <c r="B28" s="1630" t="s">
        <v>71</v>
      </c>
      <c r="C28" s="1826">
        <v>3720</v>
      </c>
      <c r="D28" s="1495" t="s">
        <v>4757</v>
      </c>
      <c r="E28" s="1851" t="s">
        <v>16</v>
      </c>
      <c r="F28" s="1495" t="s">
        <v>4758</v>
      </c>
      <c r="G28" s="1787" t="s">
        <v>18</v>
      </c>
      <c r="H28" s="1851" t="s">
        <v>19</v>
      </c>
      <c r="I28" s="1495" t="s">
        <v>172</v>
      </c>
      <c r="J28" s="1600" t="s">
        <v>4759</v>
      </c>
      <c r="K28" s="1547"/>
      <c r="L28" s="1493"/>
      <c r="M28" s="1790"/>
    </row>
    <row r="29" spans="1:13" s="1777" customFormat="1" ht="58.5" customHeight="1">
      <c r="A29" s="738">
        <v>24</v>
      </c>
      <c r="B29" s="102"/>
      <c r="C29" s="1207"/>
      <c r="D29" s="109"/>
      <c r="E29" s="102"/>
      <c r="F29" s="109"/>
      <c r="G29" s="109"/>
      <c r="H29" s="109"/>
      <c r="I29" s="109"/>
      <c r="J29" s="143"/>
      <c r="K29" s="143"/>
      <c r="L29" s="102"/>
      <c r="M29" s="1853"/>
    </row>
    <row r="30" spans="1:13" s="1777" customFormat="1" ht="58.5" customHeight="1">
      <c r="A30" s="738">
        <v>25</v>
      </c>
      <c r="B30" s="102"/>
      <c r="C30" s="1207"/>
      <c r="D30" s="109"/>
      <c r="E30" s="102"/>
      <c r="F30" s="109"/>
      <c r="G30" s="109"/>
      <c r="H30" s="109"/>
      <c r="I30" s="109"/>
      <c r="J30" s="143"/>
      <c r="K30" s="143"/>
      <c r="L30" s="102"/>
      <c r="M30" s="1853"/>
    </row>
    <row r="31" spans="1:13" s="1777" customFormat="1" ht="58.5" customHeight="1">
      <c r="A31" s="738">
        <v>26</v>
      </c>
      <c r="B31" s="102"/>
      <c r="C31" s="1207"/>
      <c r="D31" s="109"/>
      <c r="E31" s="102"/>
      <c r="F31" s="109"/>
      <c r="G31" s="109"/>
      <c r="H31" s="109"/>
      <c r="I31" s="109"/>
      <c r="J31" s="143"/>
      <c r="K31" s="143"/>
      <c r="L31" s="102"/>
      <c r="M31" s="1853"/>
    </row>
    <row r="32" spans="1:13" s="1777" customFormat="1" ht="58.5" customHeight="1">
      <c r="A32" s="738">
        <v>27</v>
      </c>
      <c r="B32" s="102"/>
      <c r="C32" s="1207"/>
      <c r="D32" s="109"/>
      <c r="E32" s="102"/>
      <c r="F32" s="109"/>
      <c r="G32" s="109"/>
      <c r="H32" s="109"/>
      <c r="I32" s="109"/>
      <c r="J32" s="143"/>
      <c r="K32" s="143"/>
      <c r="L32" s="102"/>
      <c r="M32" s="1853"/>
    </row>
    <row r="33" spans="1:13" s="1777" customFormat="1" ht="58.5" customHeight="1">
      <c r="A33" s="738">
        <v>28</v>
      </c>
      <c r="B33" s="102"/>
      <c r="C33" s="1207"/>
      <c r="D33" s="109"/>
      <c r="E33" s="102"/>
      <c r="F33" s="109"/>
      <c r="G33" s="109"/>
      <c r="H33" s="109"/>
      <c r="I33" s="109"/>
      <c r="J33" s="143"/>
      <c r="K33" s="143"/>
      <c r="L33" s="102"/>
      <c r="M33" s="1853"/>
    </row>
    <row r="34" spans="1:13" ht="58.5" customHeight="1">
      <c r="A34" s="359">
        <v>29</v>
      </c>
    </row>
    <row r="35" spans="1:13" ht="58.5" customHeight="1">
      <c r="A35" s="359">
        <v>30</v>
      </c>
    </row>
    <row r="36" spans="1:13" ht="58.5" customHeight="1">
      <c r="A36" s="359">
        <v>31</v>
      </c>
    </row>
    <row r="37" spans="1:13" ht="58.5" customHeight="1">
      <c r="A37" s="359">
        <v>32</v>
      </c>
    </row>
    <row r="38" spans="1:13" ht="58.5" customHeight="1">
      <c r="A38" s="359">
        <v>33</v>
      </c>
    </row>
    <row r="39" spans="1:13" ht="58.5" customHeight="1">
      <c r="A39" s="359">
        <v>34</v>
      </c>
    </row>
    <row r="40" spans="1:13" ht="58.5" customHeight="1">
      <c r="A40" s="359">
        <v>35</v>
      </c>
    </row>
    <row r="41" spans="1:13" ht="58.5" customHeight="1">
      <c r="A41" s="359">
        <v>36</v>
      </c>
    </row>
    <row r="42" spans="1:13" ht="58.5" customHeight="1">
      <c r="A42" s="359">
        <v>37</v>
      </c>
    </row>
    <row r="43" spans="1:13" ht="58.5" customHeight="1">
      <c r="A43" s="359">
        <v>38</v>
      </c>
    </row>
    <row r="44" spans="1:13" ht="58.5" customHeight="1">
      <c r="A44" s="359">
        <v>39</v>
      </c>
    </row>
    <row r="45" spans="1:13" ht="58.5" customHeight="1">
      <c r="A45" s="359">
        <v>40</v>
      </c>
    </row>
  </sheetData>
  <autoFilter ref="A5:N45" xr:uid="{2E055369-18FC-4D56-9918-366D6855EACE}"/>
  <mergeCells count="4">
    <mergeCell ref="C1:K1"/>
    <mergeCell ref="A2:M2"/>
    <mergeCell ref="B3:M3"/>
    <mergeCell ref="A4:B4"/>
  </mergeCells>
  <conditionalFormatting sqref="A1:A4">
    <cfRule type="duplicateValues" dxfId="400" priority="6"/>
  </conditionalFormatting>
  <conditionalFormatting sqref="A5">
    <cfRule type="duplicateValues" dxfId="399" priority="5"/>
  </conditionalFormatting>
  <conditionalFormatting sqref="B5">
    <cfRule type="duplicateValues" dxfId="398" priority="2"/>
    <cfRule type="duplicateValues" dxfId="397" priority="3"/>
    <cfRule type="duplicateValues" dxfId="396" priority="4"/>
  </conditionalFormatting>
  <conditionalFormatting sqref="J16:J17">
    <cfRule type="iconSet" priority="1">
      <iconSet iconSet="3Arrows">
        <cfvo type="percent" val="0"/>
        <cfvo type="percent" val="33"/>
        <cfvo type="percent" val="67"/>
      </iconSet>
    </cfRule>
  </conditionalFormatting>
  <pageMargins left="0.7" right="0.7" top="0.75" bottom="0.75" header="0.3" footer="0.3"/>
  <pageSetup paperSize="9" scale="40" orientation="landscape"/>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720C7D-CBDB-417B-8061-47F0AE654536}">
  <sheetPr>
    <tabColor theme="4" tint="-0.249977111117893"/>
    <pageSetUpPr fitToPage="1"/>
  </sheetPr>
  <dimension ref="A1:DW60"/>
  <sheetViews>
    <sheetView topLeftCell="A2" zoomScale="70" zoomScaleNormal="70" workbookViewId="0">
      <pane xSplit="3" ySplit="3" topLeftCell="I12" activePane="bottomRight" state="frozen"/>
      <selection pane="topRight" activeCell="E39" sqref="E39"/>
      <selection pane="bottomLeft" activeCell="E39" sqref="E39"/>
      <selection pane="bottomRight" activeCell="E39" sqref="E39"/>
    </sheetView>
  </sheetViews>
  <sheetFormatPr defaultColWidth="32.140625" defaultRowHeight="58.5" customHeight="1"/>
  <cols>
    <col min="1" max="1" width="9.42578125" style="359" customWidth="1"/>
    <col min="2" max="2" width="32.140625" style="1" customWidth="1"/>
    <col min="3" max="3" width="20.7109375" style="1138" customWidth="1"/>
    <col min="4" max="4" width="24.42578125" style="271" customWidth="1"/>
    <col min="5" max="5" width="22.28515625" style="1" customWidth="1"/>
    <col min="6" max="6" width="22.28515625" style="271" customWidth="1"/>
    <col min="7" max="7" width="23.42578125" style="271" customWidth="1"/>
    <col min="8" max="8" width="20.85546875" style="271" customWidth="1"/>
    <col min="9" max="9" width="24.42578125" style="271" customWidth="1"/>
    <col min="10" max="10" width="88.85546875" style="9" customWidth="1"/>
    <col min="11" max="11" width="57.85546875" style="9" customWidth="1"/>
    <col min="12" max="12" width="26.42578125" style="1" customWidth="1"/>
    <col min="13" max="13" width="18.7109375" style="763" customWidth="1"/>
    <col min="14" max="14" width="35.42578125" style="3" customWidth="1"/>
    <col min="15" max="16384" width="32.140625" style="3"/>
  </cols>
  <sheetData>
    <row r="1" spans="1:127" ht="58.5" customHeight="1">
      <c r="B1" s="10"/>
      <c r="C1" s="3624"/>
      <c r="D1" s="3624"/>
      <c r="E1" s="3624"/>
      <c r="F1" s="3624"/>
      <c r="G1" s="3624"/>
      <c r="H1" s="3624"/>
      <c r="I1" s="3624"/>
      <c r="J1" s="3624"/>
      <c r="K1" s="3624"/>
      <c r="M1" s="1848"/>
    </row>
    <row r="2" spans="1:127" ht="50.25" customHeight="1">
      <c r="A2" s="3714" t="s">
        <v>4760</v>
      </c>
      <c r="B2" s="3715"/>
      <c r="C2" s="3715"/>
      <c r="D2" s="3715"/>
      <c r="E2" s="3715"/>
      <c r="F2" s="3715"/>
      <c r="G2" s="3715"/>
      <c r="H2" s="3715"/>
      <c r="I2" s="3715"/>
      <c r="J2" s="3715"/>
      <c r="K2" s="3716"/>
      <c r="L2" s="1905"/>
      <c r="M2" s="1905"/>
      <c r="N2" s="287"/>
    </row>
    <row r="3" spans="1:127" ht="37.5" customHeight="1">
      <c r="A3" s="3707" t="s">
        <v>3388</v>
      </c>
      <c r="B3" s="3707"/>
      <c r="C3" s="1950">
        <f>SUBTOTAL(9,C5:C536)</f>
        <v>124600</v>
      </c>
      <c r="D3" s="1932"/>
      <c r="E3" s="1951"/>
      <c r="F3" s="1932"/>
      <c r="G3" s="1932"/>
      <c r="H3" s="1932"/>
      <c r="I3" s="1932"/>
      <c r="J3" s="1934">
        <f ca="1">TODAY()</f>
        <v>45960</v>
      </c>
      <c r="K3" s="1622"/>
      <c r="L3" s="1952"/>
      <c r="M3" s="1951"/>
      <c r="N3" s="287"/>
    </row>
    <row r="4" spans="1:127" s="1149" customFormat="1" ht="53.25" customHeight="1">
      <c r="A4" s="1817" t="s">
        <v>1</v>
      </c>
      <c r="B4" s="1818" t="s">
        <v>2</v>
      </c>
      <c r="C4" s="1948" t="s">
        <v>3</v>
      </c>
      <c r="D4" s="1818" t="s">
        <v>3389</v>
      </c>
      <c r="E4" s="1818" t="s">
        <v>5</v>
      </c>
      <c r="F4" s="1818" t="s">
        <v>3390</v>
      </c>
      <c r="G4" s="1818" t="s">
        <v>7</v>
      </c>
      <c r="H4" s="1818" t="s">
        <v>8</v>
      </c>
      <c r="I4" s="1818" t="s">
        <v>9</v>
      </c>
      <c r="J4" s="1818" t="s">
        <v>10</v>
      </c>
      <c r="K4" s="1818" t="s">
        <v>11</v>
      </c>
      <c r="L4" s="1818" t="s">
        <v>12</v>
      </c>
      <c r="M4" s="1949" t="s">
        <v>13</v>
      </c>
      <c r="N4" s="1820" t="e">
        <f>SUM(#REF!)</f>
        <v>#REF!</v>
      </c>
    </row>
    <row r="5" spans="1:127" s="2077" customFormat="1" ht="100.5" customHeight="1">
      <c r="A5" s="1850" cm="1">
        <f t="array" ref="A5:A54">_xlfn.SEQUENCE(50,1,1,)</f>
        <v>1</v>
      </c>
      <c r="B5" s="1851" t="s">
        <v>3491</v>
      </c>
      <c r="C5" s="1915">
        <v>4300</v>
      </c>
      <c r="D5" s="1851" t="s">
        <v>4761</v>
      </c>
      <c r="E5" s="1935" t="s">
        <v>3401</v>
      </c>
      <c r="F5" s="1851" t="s">
        <v>4762</v>
      </c>
      <c r="G5" s="1947" t="s">
        <v>1599</v>
      </c>
      <c r="H5" s="1851" t="s">
        <v>19</v>
      </c>
      <c r="I5" s="1851" t="s">
        <v>959</v>
      </c>
      <c r="J5" s="1628" t="s">
        <v>4763</v>
      </c>
      <c r="K5" s="1497" t="s">
        <v>4764</v>
      </c>
      <c r="L5" s="1630"/>
      <c r="M5" s="1882"/>
      <c r="N5" s="1883"/>
      <c r="O5" s="1883"/>
      <c r="P5" s="1883"/>
      <c r="Q5" s="1883"/>
      <c r="R5" s="1883"/>
      <c r="S5" s="1883"/>
      <c r="T5" s="1883"/>
      <c r="U5" s="1883"/>
      <c r="V5" s="1883"/>
      <c r="W5" s="1883"/>
      <c r="X5" s="1883"/>
      <c r="Y5" s="1883"/>
      <c r="Z5" s="1883"/>
      <c r="AA5" s="1883"/>
      <c r="AB5" s="1883"/>
      <c r="AC5" s="1883"/>
      <c r="AD5" s="1883"/>
      <c r="AE5" s="1883"/>
      <c r="AF5" s="1883"/>
      <c r="AG5" s="1883"/>
      <c r="AH5" s="1883"/>
      <c r="AI5" s="1883"/>
      <c r="AJ5" s="1883"/>
      <c r="AK5" s="1883"/>
      <c r="AL5" s="1883"/>
      <c r="AM5" s="1883"/>
      <c r="AN5" s="1883"/>
      <c r="AO5" s="1883"/>
      <c r="AP5" s="1883"/>
      <c r="AQ5" s="1883"/>
      <c r="AR5" s="1883"/>
      <c r="AS5" s="1883"/>
      <c r="AT5" s="1883"/>
      <c r="AU5" s="1883"/>
      <c r="AV5" s="1883"/>
      <c r="AW5" s="1883"/>
      <c r="AX5" s="1883"/>
      <c r="AY5" s="1883"/>
      <c r="AZ5" s="1883"/>
      <c r="BA5" s="1883"/>
      <c r="BB5" s="1883"/>
      <c r="BC5" s="1883"/>
      <c r="BD5" s="1883"/>
      <c r="BE5" s="1883"/>
      <c r="BF5" s="1883"/>
      <c r="BG5" s="1883"/>
      <c r="BH5" s="1883"/>
      <c r="BI5" s="1883"/>
      <c r="BJ5" s="1883"/>
      <c r="BK5" s="1883"/>
      <c r="BL5" s="1883"/>
      <c r="BM5" s="1883"/>
      <c r="BN5" s="1883"/>
      <c r="BO5" s="1883"/>
      <c r="BP5" s="1883"/>
      <c r="BQ5" s="1883"/>
      <c r="BR5" s="1883"/>
      <c r="BS5" s="1883"/>
      <c r="BT5" s="1883"/>
      <c r="BU5" s="1883"/>
      <c r="BV5" s="1883"/>
      <c r="BW5" s="1883"/>
      <c r="BX5" s="1883"/>
      <c r="BY5" s="1883"/>
      <c r="BZ5" s="1883"/>
      <c r="CA5" s="1883"/>
      <c r="CB5" s="1883"/>
      <c r="CC5" s="1883"/>
      <c r="CD5" s="1883"/>
      <c r="CE5" s="1883"/>
      <c r="CF5" s="1883"/>
      <c r="CG5" s="1883"/>
      <c r="CH5" s="1883"/>
      <c r="CI5" s="1883"/>
      <c r="CJ5" s="1883"/>
      <c r="CK5" s="1883"/>
      <c r="CL5" s="1883"/>
      <c r="CM5" s="1883"/>
      <c r="CN5" s="1883"/>
      <c r="CO5" s="1883"/>
      <c r="CP5" s="1883"/>
      <c r="CQ5" s="1883"/>
      <c r="CR5" s="1883"/>
      <c r="CS5" s="1883"/>
      <c r="CT5" s="1883"/>
      <c r="CU5" s="1883"/>
      <c r="CV5" s="1883"/>
      <c r="CW5" s="1883"/>
      <c r="CX5" s="1883"/>
      <c r="CY5" s="1883"/>
      <c r="CZ5" s="1883"/>
      <c r="DA5" s="1883"/>
      <c r="DB5" s="1883"/>
      <c r="DC5" s="1883"/>
      <c r="DD5" s="1883"/>
      <c r="DE5" s="1883"/>
      <c r="DF5" s="1883"/>
      <c r="DG5" s="1883"/>
      <c r="DH5" s="1883"/>
      <c r="DI5" s="1883"/>
      <c r="DJ5" s="1883"/>
      <c r="DK5" s="1883"/>
      <c r="DL5" s="1883"/>
      <c r="DM5" s="1883"/>
      <c r="DN5" s="1883"/>
      <c r="DO5" s="1883"/>
      <c r="DP5" s="1883"/>
      <c r="DQ5" s="1883"/>
      <c r="DR5" s="1883"/>
      <c r="DS5" s="1883"/>
      <c r="DT5" s="1883"/>
      <c r="DU5" s="1883"/>
      <c r="DV5" s="1883"/>
      <c r="DW5" s="1883"/>
    </row>
    <row r="6" spans="1:127" s="2079" customFormat="1" ht="100.5" customHeight="1">
      <c r="A6" s="1917">
        <v>2</v>
      </c>
      <c r="B6" s="1545" t="s">
        <v>3629</v>
      </c>
      <c r="C6" s="1918">
        <v>23000</v>
      </c>
      <c r="D6" s="1543" t="s">
        <v>4765</v>
      </c>
      <c r="E6" s="1474" t="s">
        <v>3416</v>
      </c>
      <c r="F6" s="1543" t="s">
        <v>4766</v>
      </c>
      <c r="G6" s="1947" t="s">
        <v>1599</v>
      </c>
      <c r="H6" s="1543" t="s">
        <v>19</v>
      </c>
      <c r="I6" s="1543" t="s">
        <v>20</v>
      </c>
      <c r="J6" s="1988" t="s">
        <v>4767</v>
      </c>
      <c r="K6" s="1988"/>
      <c r="L6" s="2078"/>
      <c r="M6" s="1867"/>
      <c r="N6" s="1945"/>
      <c r="O6" s="1945"/>
      <c r="P6" s="1945"/>
      <c r="Q6" s="1945"/>
      <c r="R6" s="1945"/>
      <c r="S6" s="1945"/>
      <c r="T6" s="1945"/>
      <c r="U6" s="1945"/>
      <c r="V6" s="1945"/>
      <c r="W6" s="1945"/>
      <c r="X6" s="1945"/>
      <c r="Y6" s="1945"/>
      <c r="Z6" s="1945"/>
      <c r="AA6" s="1945"/>
      <c r="AB6" s="1945"/>
      <c r="AC6" s="1945"/>
      <c r="AD6" s="1945"/>
      <c r="AE6" s="1945"/>
      <c r="AF6" s="1945"/>
      <c r="AG6" s="1945"/>
      <c r="AH6" s="1945"/>
      <c r="AI6" s="1945"/>
      <c r="AJ6" s="1945"/>
      <c r="AK6" s="1945"/>
      <c r="AL6" s="1945"/>
      <c r="AM6" s="1945"/>
      <c r="AN6" s="1945"/>
      <c r="AO6" s="1945"/>
      <c r="AP6" s="1945"/>
      <c r="AQ6" s="1945"/>
      <c r="AR6" s="1945"/>
      <c r="AS6" s="1945"/>
      <c r="AT6" s="1945"/>
      <c r="AU6" s="1945"/>
      <c r="AV6" s="1945"/>
      <c r="AW6" s="1945"/>
      <c r="AX6" s="1945"/>
      <c r="AY6" s="1945"/>
      <c r="AZ6" s="1945"/>
      <c r="BA6" s="1945"/>
      <c r="BB6" s="1945"/>
      <c r="BC6" s="1945"/>
      <c r="BD6" s="1945"/>
      <c r="BE6" s="1945"/>
      <c r="BF6" s="1945"/>
      <c r="BG6" s="1945"/>
      <c r="BH6" s="1945"/>
      <c r="BI6" s="1945"/>
      <c r="BJ6" s="1945"/>
      <c r="BK6" s="1945"/>
      <c r="BL6" s="1945"/>
      <c r="BM6" s="1945"/>
      <c r="BN6" s="1945"/>
      <c r="BO6" s="1945"/>
      <c r="BP6" s="1945"/>
      <c r="BQ6" s="1945"/>
      <c r="BR6" s="1945"/>
      <c r="BS6" s="1945"/>
      <c r="BT6" s="1945"/>
      <c r="BU6" s="1945"/>
      <c r="BV6" s="1945"/>
      <c r="BW6" s="1945"/>
      <c r="BX6" s="1945"/>
      <c r="BY6" s="1945"/>
      <c r="BZ6" s="1945"/>
      <c r="CA6" s="1945"/>
      <c r="CB6" s="1945"/>
      <c r="CC6" s="1945"/>
      <c r="CD6" s="1945"/>
      <c r="CE6" s="1945"/>
      <c r="CF6" s="1945"/>
      <c r="CG6" s="1945"/>
      <c r="CH6" s="1945"/>
      <c r="CI6" s="1945"/>
      <c r="CJ6" s="1945"/>
      <c r="CK6" s="1945"/>
      <c r="CL6" s="1945"/>
      <c r="CM6" s="1945"/>
      <c r="CN6" s="1945"/>
      <c r="CO6" s="1945"/>
      <c r="CP6" s="1945"/>
      <c r="CQ6" s="1945"/>
      <c r="CR6" s="1945"/>
      <c r="CS6" s="1945"/>
      <c r="CT6" s="1945"/>
      <c r="CU6" s="1945"/>
      <c r="CV6" s="1945"/>
      <c r="CW6" s="1945"/>
      <c r="CX6" s="1945"/>
      <c r="CY6" s="1945"/>
      <c r="CZ6" s="1945"/>
      <c r="DA6" s="1945"/>
      <c r="DB6" s="1945"/>
      <c r="DC6" s="1945"/>
      <c r="DD6" s="1945"/>
      <c r="DE6" s="1945"/>
      <c r="DF6" s="1945"/>
      <c r="DG6" s="1945"/>
      <c r="DH6" s="1945"/>
      <c r="DI6" s="1945"/>
      <c r="DJ6" s="1945"/>
      <c r="DK6" s="1945"/>
      <c r="DL6" s="1945"/>
      <c r="DM6" s="1945"/>
      <c r="DN6" s="1945"/>
      <c r="DO6" s="1945"/>
      <c r="DP6" s="1945"/>
      <c r="DQ6" s="1945"/>
      <c r="DR6" s="1945"/>
      <c r="DS6" s="1945"/>
      <c r="DT6" s="1945"/>
      <c r="DU6" s="1945"/>
      <c r="DV6" s="1945"/>
      <c r="DW6" s="1945"/>
    </row>
    <row r="7" spans="1:127" s="1916" customFormat="1" ht="135.75" customHeight="1">
      <c r="A7" s="1542">
        <v>3</v>
      </c>
      <c r="B7" s="1495" t="s">
        <v>3924</v>
      </c>
      <c r="C7" s="1901">
        <v>7200</v>
      </c>
      <c r="D7" s="1495" t="s">
        <v>4768</v>
      </c>
      <c r="E7" s="1493" t="s">
        <v>3401</v>
      </c>
      <c r="F7" s="1495" t="s">
        <v>4769</v>
      </c>
      <c r="G7" s="1947" t="s">
        <v>1599</v>
      </c>
      <c r="H7" s="1495" t="s">
        <v>19</v>
      </c>
      <c r="I7" s="1495" t="s">
        <v>1138</v>
      </c>
      <c r="J7" s="1598" t="s">
        <v>4770</v>
      </c>
      <c r="K7" s="1600"/>
      <c r="L7" s="1493"/>
      <c r="M7" s="1790"/>
      <c r="N7" s="1548"/>
      <c r="O7" s="1548"/>
      <c r="P7" s="1548"/>
      <c r="Q7" s="1548"/>
      <c r="R7" s="1548"/>
      <c r="S7" s="1548"/>
      <c r="T7" s="1548"/>
      <c r="U7" s="1548"/>
      <c r="V7" s="1548"/>
      <c r="W7" s="1548"/>
      <c r="X7" s="1548"/>
      <c r="Y7" s="1548"/>
      <c r="Z7" s="1548"/>
      <c r="AA7" s="1548"/>
      <c r="AB7" s="1548"/>
      <c r="AC7" s="1548"/>
      <c r="AD7" s="1548"/>
      <c r="AE7" s="1548"/>
      <c r="AF7" s="1548"/>
      <c r="AG7" s="1548"/>
      <c r="AH7" s="1548"/>
      <c r="AI7" s="1548"/>
      <c r="AJ7" s="1548"/>
      <c r="AK7" s="1548"/>
      <c r="AL7" s="1548"/>
      <c r="AM7" s="1548"/>
      <c r="AN7" s="1548"/>
      <c r="AO7" s="1548"/>
      <c r="AP7" s="1548"/>
      <c r="AQ7" s="1548"/>
      <c r="AR7" s="1548"/>
      <c r="AS7" s="1548"/>
      <c r="AT7" s="1548"/>
      <c r="AU7" s="1548"/>
      <c r="AV7" s="1548"/>
      <c r="AW7" s="1548"/>
      <c r="AX7" s="1548"/>
      <c r="AY7" s="1548"/>
      <c r="AZ7" s="1548"/>
      <c r="BA7" s="1548"/>
      <c r="BB7" s="1548"/>
      <c r="BC7" s="1548"/>
      <c r="BD7" s="1548"/>
      <c r="BE7" s="1548"/>
      <c r="BF7" s="1548"/>
      <c r="BG7" s="1548"/>
      <c r="BH7" s="1548"/>
      <c r="BI7" s="1548"/>
      <c r="BJ7" s="1548"/>
      <c r="BK7" s="1548"/>
      <c r="BL7" s="1548"/>
      <c r="BM7" s="1548"/>
      <c r="BN7" s="1548"/>
      <c r="BO7" s="1548"/>
      <c r="BP7" s="1548"/>
      <c r="BQ7" s="1548"/>
      <c r="BR7" s="1548"/>
      <c r="BS7" s="1548"/>
      <c r="BT7" s="1548"/>
      <c r="BU7" s="1548"/>
      <c r="BV7" s="1548"/>
      <c r="BW7" s="1548"/>
      <c r="BX7" s="1548"/>
      <c r="BY7" s="1548"/>
      <c r="BZ7" s="1548"/>
      <c r="CA7" s="1548"/>
      <c r="CB7" s="1548"/>
      <c r="CC7" s="1548"/>
      <c r="CD7" s="1548"/>
      <c r="CE7" s="1548"/>
      <c r="CF7" s="1548"/>
      <c r="CG7" s="1548"/>
      <c r="CH7" s="1548"/>
      <c r="CI7" s="1548"/>
      <c r="CJ7" s="1548"/>
      <c r="CK7" s="1548"/>
      <c r="CL7" s="1548"/>
      <c r="CM7" s="1548"/>
      <c r="CN7" s="1548"/>
      <c r="CO7" s="1548"/>
      <c r="CP7" s="1548"/>
      <c r="CQ7" s="1548"/>
      <c r="CR7" s="1548"/>
      <c r="CS7" s="1548"/>
      <c r="CT7" s="1548"/>
      <c r="CU7" s="1548"/>
      <c r="CV7" s="1548"/>
      <c r="CW7" s="1548"/>
      <c r="CX7" s="1548"/>
      <c r="CY7" s="1548"/>
      <c r="CZ7" s="1548"/>
      <c r="DA7" s="1548"/>
      <c r="DB7" s="1548"/>
      <c r="DC7" s="1548"/>
      <c r="DD7" s="1548"/>
      <c r="DE7" s="1548"/>
      <c r="DF7" s="1548"/>
      <c r="DG7" s="1548"/>
      <c r="DH7" s="1548"/>
      <c r="DI7" s="1548"/>
      <c r="DJ7" s="1548"/>
      <c r="DK7" s="1548"/>
      <c r="DL7" s="1548"/>
      <c r="DM7" s="1548"/>
      <c r="DN7" s="1548"/>
      <c r="DO7" s="1548"/>
      <c r="DP7" s="1548"/>
      <c r="DQ7" s="1548"/>
      <c r="DR7" s="1548"/>
      <c r="DS7" s="1548"/>
      <c r="DT7" s="1548"/>
      <c r="DU7" s="1548"/>
      <c r="DV7" s="1548"/>
      <c r="DW7" s="1548"/>
    </row>
    <row r="8" spans="1:127" s="1916" customFormat="1" ht="77.25" customHeight="1">
      <c r="A8" s="1542">
        <v>4</v>
      </c>
      <c r="B8" s="1495" t="s">
        <v>52</v>
      </c>
      <c r="C8" s="1901">
        <v>4600</v>
      </c>
      <c r="D8" s="1495" t="s">
        <v>4771</v>
      </c>
      <c r="E8" s="1493" t="s">
        <v>16</v>
      </c>
      <c r="F8" s="1495"/>
      <c r="G8" s="1947" t="s">
        <v>1599</v>
      </c>
      <c r="H8" s="1495" t="s">
        <v>19</v>
      </c>
      <c r="I8" s="1495" t="s">
        <v>199</v>
      </c>
      <c r="J8" s="1496" t="s">
        <v>4772</v>
      </c>
      <c r="K8" s="1600"/>
      <c r="L8" s="1493"/>
      <c r="M8" s="1790"/>
      <c r="N8" s="1548"/>
      <c r="O8" s="1548"/>
      <c r="P8" s="1548"/>
      <c r="Q8" s="1548"/>
      <c r="R8" s="1548"/>
      <c r="S8" s="1548"/>
      <c r="T8" s="1548"/>
      <c r="U8" s="1548"/>
      <c r="V8" s="1548"/>
      <c r="W8" s="1548"/>
      <c r="X8" s="1548"/>
      <c r="Y8" s="1548"/>
      <c r="Z8" s="1548"/>
      <c r="AA8" s="1548"/>
      <c r="AB8" s="1548"/>
      <c r="AC8" s="1548"/>
      <c r="AD8" s="1548"/>
      <c r="AE8" s="1548"/>
      <c r="AF8" s="1548"/>
      <c r="AG8" s="1548"/>
      <c r="AH8" s="1548"/>
      <c r="AI8" s="1548"/>
      <c r="AJ8" s="1548"/>
      <c r="AK8" s="1548"/>
      <c r="AL8" s="1548"/>
      <c r="AM8" s="1548"/>
      <c r="AN8" s="1548"/>
      <c r="AO8" s="1548"/>
      <c r="AP8" s="1548"/>
      <c r="AQ8" s="1548"/>
      <c r="AR8" s="1548"/>
      <c r="AS8" s="1548"/>
      <c r="AT8" s="1548"/>
      <c r="AU8" s="1548"/>
      <c r="AV8" s="1548"/>
      <c r="AW8" s="1548"/>
      <c r="AX8" s="1548"/>
      <c r="AY8" s="1548"/>
      <c r="AZ8" s="1548"/>
      <c r="BA8" s="1548"/>
      <c r="BB8" s="1548"/>
      <c r="BC8" s="1548"/>
      <c r="BD8" s="1548"/>
      <c r="BE8" s="1548"/>
      <c r="BF8" s="1548"/>
      <c r="BG8" s="1548"/>
      <c r="BH8" s="1548"/>
      <c r="BI8" s="1548"/>
      <c r="BJ8" s="1548"/>
      <c r="BK8" s="1548"/>
      <c r="BL8" s="1548"/>
      <c r="BM8" s="1548"/>
      <c r="BN8" s="1548"/>
      <c r="BO8" s="1548"/>
      <c r="BP8" s="1548"/>
      <c r="BQ8" s="1548"/>
      <c r="BR8" s="1548"/>
      <c r="BS8" s="1548"/>
      <c r="BT8" s="1548"/>
      <c r="BU8" s="1548"/>
      <c r="BV8" s="1548"/>
      <c r="BW8" s="1548"/>
      <c r="BX8" s="1548"/>
      <c r="BY8" s="1548"/>
      <c r="BZ8" s="1548"/>
      <c r="CA8" s="1548"/>
      <c r="CB8" s="1548"/>
      <c r="CC8" s="1548"/>
      <c r="CD8" s="1548"/>
      <c r="CE8" s="1548"/>
      <c r="CF8" s="1548"/>
      <c r="CG8" s="1548"/>
      <c r="CH8" s="1548"/>
      <c r="CI8" s="1548"/>
      <c r="CJ8" s="1548"/>
      <c r="CK8" s="1548"/>
      <c r="CL8" s="1548"/>
      <c r="CM8" s="1548"/>
      <c r="CN8" s="1548"/>
      <c r="CO8" s="1548"/>
      <c r="CP8" s="1548"/>
      <c r="CQ8" s="1548"/>
      <c r="CR8" s="1548"/>
      <c r="CS8" s="1548"/>
      <c r="CT8" s="1548"/>
      <c r="CU8" s="1548"/>
      <c r="CV8" s="1548"/>
      <c r="CW8" s="1548"/>
      <c r="CX8" s="1548"/>
      <c r="CY8" s="1548"/>
      <c r="CZ8" s="1548"/>
      <c r="DA8" s="1548"/>
      <c r="DB8" s="1548"/>
      <c r="DC8" s="1548"/>
      <c r="DD8" s="1548"/>
      <c r="DE8" s="1548"/>
      <c r="DF8" s="1548"/>
      <c r="DG8" s="1548"/>
      <c r="DH8" s="1548"/>
      <c r="DI8" s="1548"/>
      <c r="DJ8" s="1548"/>
      <c r="DK8" s="1548"/>
      <c r="DL8" s="1548"/>
      <c r="DM8" s="1548"/>
      <c r="DN8" s="1548"/>
      <c r="DO8" s="1548"/>
      <c r="DP8" s="1548"/>
      <c r="DQ8" s="1548"/>
      <c r="DR8" s="1548"/>
      <c r="DS8" s="1548"/>
      <c r="DT8" s="1548"/>
      <c r="DU8" s="1548"/>
      <c r="DV8" s="1548"/>
      <c r="DW8" s="1548"/>
    </row>
    <row r="9" spans="1:127" s="2033" customFormat="1" ht="108.75" customHeight="1">
      <c r="A9" s="1850">
        <v>5</v>
      </c>
      <c r="B9" s="1851" t="s">
        <v>71</v>
      </c>
      <c r="C9" s="1915">
        <v>3720</v>
      </c>
      <c r="D9" s="1851" t="s">
        <v>4771</v>
      </c>
      <c r="E9" s="1935" t="s">
        <v>84</v>
      </c>
      <c r="F9" s="1851" t="s">
        <v>4773</v>
      </c>
      <c r="G9" s="1947"/>
      <c r="H9" s="1851" t="s">
        <v>19</v>
      </c>
      <c r="I9" s="1851" t="s">
        <v>959</v>
      </c>
      <c r="J9" s="1628" t="s">
        <v>4774</v>
      </c>
      <c r="K9" s="1628"/>
      <c r="L9" s="1630"/>
      <c r="M9" s="1882"/>
      <c r="N9" s="1883"/>
      <c r="O9" s="1883"/>
      <c r="P9" s="1883"/>
      <c r="Q9" s="1883"/>
      <c r="R9" s="1883"/>
      <c r="S9" s="1883"/>
      <c r="T9" s="1883"/>
      <c r="U9" s="1883"/>
      <c r="V9" s="1883"/>
      <c r="W9" s="1883"/>
      <c r="X9" s="1883"/>
      <c r="Y9" s="1883"/>
      <c r="Z9" s="1883"/>
      <c r="AA9" s="1883"/>
      <c r="AB9" s="1883"/>
      <c r="AC9" s="1883"/>
      <c r="AD9" s="1883"/>
      <c r="AE9" s="1883"/>
      <c r="AF9" s="1883"/>
      <c r="AG9" s="1883"/>
      <c r="AH9" s="1883"/>
      <c r="AI9" s="1883"/>
      <c r="AJ9" s="1883"/>
      <c r="AK9" s="1883"/>
      <c r="AL9" s="1883"/>
      <c r="AM9" s="1883"/>
      <c r="AN9" s="1883"/>
      <c r="AO9" s="1883"/>
      <c r="AP9" s="1883"/>
      <c r="AQ9" s="1883"/>
      <c r="AR9" s="1883"/>
      <c r="AS9" s="1883"/>
      <c r="AT9" s="1883"/>
      <c r="AU9" s="1883"/>
      <c r="AV9" s="1883"/>
      <c r="AW9" s="1883"/>
      <c r="AX9" s="1883"/>
      <c r="AY9" s="1883"/>
      <c r="AZ9" s="1883"/>
      <c r="BA9" s="1883"/>
      <c r="BB9" s="1883"/>
      <c r="BC9" s="1883"/>
      <c r="BD9" s="1883"/>
      <c r="BE9" s="1883"/>
      <c r="BF9" s="1883"/>
      <c r="BG9" s="1883"/>
      <c r="BH9" s="1883"/>
      <c r="BI9" s="1883"/>
      <c r="BJ9" s="1883"/>
      <c r="BK9" s="1883"/>
      <c r="BL9" s="1883"/>
      <c r="BM9" s="1883"/>
      <c r="BN9" s="1883"/>
      <c r="BO9" s="1883"/>
      <c r="BP9" s="1883"/>
      <c r="BQ9" s="1883"/>
      <c r="BR9" s="1883"/>
      <c r="BS9" s="1883"/>
      <c r="BT9" s="1883"/>
      <c r="BU9" s="1883"/>
      <c r="BV9" s="1883"/>
      <c r="BW9" s="1883"/>
      <c r="BX9" s="1883"/>
      <c r="BY9" s="1883"/>
      <c r="BZ9" s="1883"/>
      <c r="CA9" s="1883"/>
      <c r="CB9" s="1883"/>
      <c r="CC9" s="1883"/>
      <c r="CD9" s="1883"/>
      <c r="CE9" s="1883"/>
      <c r="CF9" s="1883"/>
      <c r="CG9" s="1883"/>
      <c r="CH9" s="1883"/>
      <c r="CI9" s="1883"/>
      <c r="CJ9" s="1883"/>
      <c r="CK9" s="1883"/>
      <c r="CL9" s="1883"/>
      <c r="CM9" s="1883"/>
      <c r="CN9" s="1883"/>
      <c r="CO9" s="1883"/>
      <c r="CP9" s="1883"/>
      <c r="CQ9" s="1883"/>
      <c r="CR9" s="1883"/>
      <c r="CS9" s="1883"/>
      <c r="CT9" s="1883"/>
      <c r="CU9" s="1883"/>
      <c r="CV9" s="1883"/>
      <c r="CW9" s="1883"/>
      <c r="CX9" s="1883"/>
      <c r="CY9" s="1883"/>
      <c r="CZ9" s="1883"/>
      <c r="DA9" s="1883"/>
      <c r="DB9" s="1883"/>
      <c r="DC9" s="1883"/>
      <c r="DD9" s="1883"/>
      <c r="DE9" s="1883"/>
      <c r="DF9" s="1883"/>
      <c r="DG9" s="1883"/>
      <c r="DH9" s="1883"/>
      <c r="DI9" s="1883"/>
      <c r="DJ9" s="1883"/>
      <c r="DK9" s="1883"/>
      <c r="DL9" s="1883"/>
      <c r="DM9" s="1883"/>
      <c r="DN9" s="1883"/>
      <c r="DO9" s="1883"/>
      <c r="DP9" s="1883"/>
      <c r="DQ9" s="1883"/>
      <c r="DR9" s="1883"/>
      <c r="DS9" s="1883"/>
      <c r="DT9" s="1883"/>
      <c r="DU9" s="1883"/>
      <c r="DV9" s="1883"/>
      <c r="DW9" s="1883"/>
    </row>
    <row r="10" spans="1:127" s="2000" customFormat="1" ht="98.25" customHeight="1">
      <c r="A10" s="2081">
        <v>6</v>
      </c>
      <c r="B10" s="1953" t="s">
        <v>42</v>
      </c>
      <c r="C10" s="2082">
        <v>5950</v>
      </c>
      <c r="D10" s="1953" t="s">
        <v>4775</v>
      </c>
      <c r="E10" s="2083" t="s">
        <v>3401</v>
      </c>
      <c r="F10" s="427" t="s">
        <v>4776</v>
      </c>
      <c r="G10" s="2084"/>
      <c r="H10" s="1953" t="s">
        <v>19</v>
      </c>
      <c r="I10" s="1953" t="s">
        <v>1138</v>
      </c>
      <c r="J10" s="2145" t="s">
        <v>4777</v>
      </c>
      <c r="K10" s="2145" t="s">
        <v>4778</v>
      </c>
      <c r="L10" s="426"/>
      <c r="M10" s="2085"/>
      <c r="N10" s="2012"/>
      <c r="O10" s="2012"/>
      <c r="P10" s="2012"/>
      <c r="Q10" s="2012"/>
      <c r="R10" s="2012"/>
      <c r="S10" s="2012"/>
      <c r="T10" s="2012"/>
      <c r="U10" s="2012"/>
      <c r="V10" s="2012"/>
      <c r="W10" s="2012"/>
      <c r="X10" s="2012"/>
      <c r="Y10" s="2012"/>
      <c r="Z10" s="2012"/>
      <c r="AA10" s="2012"/>
      <c r="AB10" s="2012"/>
      <c r="AC10" s="2012"/>
      <c r="AD10" s="2012"/>
      <c r="AE10" s="2012"/>
      <c r="AF10" s="2012"/>
      <c r="AG10" s="2012"/>
      <c r="AH10" s="2012"/>
      <c r="AI10" s="2012"/>
      <c r="AJ10" s="2012"/>
      <c r="AK10" s="2012"/>
      <c r="AL10" s="2012"/>
      <c r="AM10" s="2012"/>
      <c r="AN10" s="2012"/>
      <c r="AO10" s="2012"/>
      <c r="AP10" s="2012"/>
      <c r="AQ10" s="2012"/>
      <c r="AR10" s="2012"/>
      <c r="AS10" s="2012"/>
      <c r="AT10" s="2012"/>
      <c r="AU10" s="2012"/>
      <c r="AV10" s="2012"/>
      <c r="AW10" s="2012"/>
      <c r="AX10" s="2012"/>
      <c r="AY10" s="2012"/>
      <c r="AZ10" s="2012"/>
      <c r="BA10" s="2012"/>
      <c r="BB10" s="2012"/>
      <c r="BC10" s="2012"/>
      <c r="BD10" s="2012"/>
      <c r="BE10" s="2012"/>
      <c r="BF10" s="2012"/>
      <c r="BG10" s="2012"/>
      <c r="BH10" s="2012"/>
      <c r="BI10" s="2012"/>
      <c r="BJ10" s="2012"/>
      <c r="BK10" s="2012"/>
      <c r="BL10" s="2012"/>
      <c r="BM10" s="2012"/>
      <c r="BN10" s="2012"/>
      <c r="BO10" s="2012"/>
      <c r="BP10" s="2012"/>
      <c r="BQ10" s="2012"/>
      <c r="BR10" s="2012"/>
      <c r="BS10" s="2012"/>
      <c r="BT10" s="2012"/>
      <c r="BU10" s="2012"/>
      <c r="BV10" s="2012"/>
      <c r="BW10" s="2012"/>
      <c r="BX10" s="2012"/>
      <c r="BY10" s="2012"/>
      <c r="BZ10" s="2012"/>
      <c r="CA10" s="2012"/>
      <c r="CB10" s="2012"/>
      <c r="CC10" s="2012"/>
      <c r="CD10" s="2012"/>
      <c r="CE10" s="2012"/>
      <c r="CF10" s="2012"/>
      <c r="CG10" s="2012"/>
      <c r="CH10" s="2012"/>
      <c r="CI10" s="2012"/>
      <c r="CJ10" s="2012"/>
      <c r="CK10" s="2012"/>
      <c r="CL10" s="2012"/>
      <c r="CM10" s="2012"/>
      <c r="CN10" s="2012"/>
      <c r="CO10" s="2012"/>
      <c r="CP10" s="2012"/>
      <c r="CQ10" s="2012"/>
      <c r="CR10" s="2012"/>
      <c r="CS10" s="2012"/>
      <c r="CT10" s="2012"/>
      <c r="CU10" s="2012"/>
      <c r="CV10" s="2012"/>
      <c r="CW10" s="2012"/>
      <c r="CX10" s="2012"/>
      <c r="CY10" s="2012"/>
      <c r="CZ10" s="2012"/>
      <c r="DA10" s="2012"/>
      <c r="DB10" s="2012"/>
      <c r="DC10" s="2012"/>
      <c r="DD10" s="2012"/>
      <c r="DE10" s="2012"/>
      <c r="DF10" s="2012"/>
      <c r="DG10" s="2012"/>
      <c r="DH10" s="2012"/>
      <c r="DI10" s="2012"/>
      <c r="DJ10" s="2012"/>
      <c r="DK10" s="2012"/>
      <c r="DL10" s="2012"/>
      <c r="DM10" s="2012"/>
      <c r="DN10" s="2012"/>
      <c r="DO10" s="2012"/>
      <c r="DP10" s="2012"/>
      <c r="DQ10" s="2012"/>
      <c r="DR10" s="2012"/>
      <c r="DS10" s="2012"/>
      <c r="DT10" s="2012"/>
      <c r="DU10" s="2012"/>
      <c r="DV10" s="2012"/>
      <c r="DW10" s="2012"/>
    </row>
    <row r="11" spans="1:127" s="2077" customFormat="1" ht="77.25" customHeight="1">
      <c r="A11" s="874">
        <v>7</v>
      </c>
      <c r="B11" s="735" t="s">
        <v>211</v>
      </c>
      <c r="C11" s="1925">
        <v>3950</v>
      </c>
      <c r="D11" s="735" t="s">
        <v>4779</v>
      </c>
      <c r="E11" s="875" t="s">
        <v>61</v>
      </c>
      <c r="F11" s="109" t="s">
        <v>4780</v>
      </c>
      <c r="G11" s="2001"/>
      <c r="H11" s="735" t="s">
        <v>19</v>
      </c>
      <c r="I11" s="735" t="s">
        <v>517</v>
      </c>
      <c r="J11" s="2139" t="s">
        <v>4781</v>
      </c>
      <c r="K11" s="2139"/>
      <c r="L11" s="112"/>
      <c r="M11" s="1879"/>
      <c r="N11" s="1880"/>
      <c r="O11" s="1880"/>
      <c r="P11" s="1880"/>
      <c r="Q11" s="1880"/>
      <c r="R11" s="1880"/>
      <c r="S11" s="1880"/>
      <c r="T11" s="1880"/>
      <c r="U11" s="1880"/>
      <c r="V11" s="1880"/>
      <c r="W11" s="1880"/>
      <c r="X11" s="1880"/>
      <c r="Y11" s="1880"/>
      <c r="Z11" s="1880"/>
      <c r="AA11" s="1880"/>
      <c r="AB11" s="1880"/>
      <c r="AC11" s="1880"/>
      <c r="AD11" s="1880"/>
      <c r="AE11" s="1880"/>
      <c r="AF11" s="1880"/>
      <c r="AG11" s="1880"/>
      <c r="AH11" s="1880"/>
      <c r="AI11" s="1880"/>
      <c r="AJ11" s="1880"/>
      <c r="AK11" s="1880"/>
      <c r="AL11" s="1880"/>
      <c r="AM11" s="1880"/>
      <c r="AN11" s="1880"/>
      <c r="AO11" s="1880"/>
      <c r="AP11" s="1880"/>
      <c r="AQ11" s="1880"/>
      <c r="AR11" s="1880"/>
      <c r="AS11" s="1880"/>
      <c r="AT11" s="1880"/>
      <c r="AU11" s="1880"/>
      <c r="AV11" s="1880"/>
      <c r="AW11" s="1880"/>
      <c r="AX11" s="1880"/>
      <c r="AY11" s="1880"/>
      <c r="AZ11" s="1880"/>
      <c r="BA11" s="1880"/>
      <c r="BB11" s="1880"/>
      <c r="BC11" s="1880"/>
      <c r="BD11" s="1880"/>
      <c r="BE11" s="1880"/>
      <c r="BF11" s="1880"/>
      <c r="BG11" s="1880"/>
      <c r="BH11" s="1880"/>
      <c r="BI11" s="1880"/>
      <c r="BJ11" s="1880"/>
      <c r="BK11" s="1880"/>
      <c r="BL11" s="1880"/>
      <c r="BM11" s="1880"/>
      <c r="BN11" s="1880"/>
      <c r="BO11" s="1880"/>
      <c r="BP11" s="1880"/>
      <c r="BQ11" s="1880"/>
      <c r="BR11" s="1880"/>
      <c r="BS11" s="1880"/>
      <c r="BT11" s="1880"/>
      <c r="BU11" s="1880"/>
      <c r="BV11" s="1880"/>
      <c r="BW11" s="1880"/>
      <c r="BX11" s="1880"/>
      <c r="BY11" s="1880"/>
      <c r="BZ11" s="1880"/>
      <c r="CA11" s="1880"/>
      <c r="CB11" s="1880"/>
      <c r="CC11" s="1880"/>
      <c r="CD11" s="1880"/>
      <c r="CE11" s="1880"/>
      <c r="CF11" s="1880"/>
      <c r="CG11" s="1880"/>
      <c r="CH11" s="1880"/>
      <c r="CI11" s="1880"/>
      <c r="CJ11" s="1880"/>
      <c r="CK11" s="1880"/>
      <c r="CL11" s="1880"/>
      <c r="CM11" s="1880"/>
      <c r="CN11" s="1880"/>
      <c r="CO11" s="1880"/>
      <c r="CP11" s="1880"/>
      <c r="CQ11" s="1880"/>
      <c r="CR11" s="1880"/>
      <c r="CS11" s="1880"/>
      <c r="CT11" s="1880"/>
      <c r="CU11" s="1880"/>
      <c r="CV11" s="1880"/>
      <c r="CW11" s="1880"/>
      <c r="CX11" s="1880"/>
      <c r="CY11" s="1880"/>
      <c r="CZ11" s="1880"/>
      <c r="DA11" s="1880"/>
      <c r="DB11" s="1880"/>
      <c r="DC11" s="1880"/>
      <c r="DD11" s="1880"/>
      <c r="DE11" s="1880"/>
      <c r="DF11" s="1880"/>
      <c r="DG11" s="1880"/>
      <c r="DH11" s="1880"/>
      <c r="DI11" s="1880"/>
      <c r="DJ11" s="1880"/>
      <c r="DK11" s="1880"/>
      <c r="DL11" s="1880"/>
      <c r="DM11" s="1880"/>
      <c r="DN11" s="1880"/>
      <c r="DO11" s="1880"/>
      <c r="DP11" s="1880"/>
      <c r="DQ11" s="1880"/>
      <c r="DR11" s="1880"/>
      <c r="DS11" s="1880"/>
      <c r="DT11" s="1880"/>
      <c r="DU11" s="1880"/>
      <c r="DV11" s="1880"/>
      <c r="DW11" s="1880"/>
    </row>
    <row r="12" spans="1:127" s="2077" customFormat="1" ht="125.25" customHeight="1">
      <c r="A12" s="874">
        <v>8</v>
      </c>
      <c r="B12" s="735" t="s">
        <v>3464</v>
      </c>
      <c r="C12" s="1925">
        <v>2355</v>
      </c>
      <c r="D12" s="735" t="s">
        <v>4782</v>
      </c>
      <c r="E12" s="875" t="s">
        <v>84</v>
      </c>
      <c r="F12" s="109" t="s">
        <v>4783</v>
      </c>
      <c r="G12" s="2001"/>
      <c r="H12" s="735" t="s">
        <v>19</v>
      </c>
      <c r="I12" s="735" t="s">
        <v>517</v>
      </c>
      <c r="J12" s="2139" t="s">
        <v>4784</v>
      </c>
      <c r="K12" s="2146" t="s">
        <v>4785</v>
      </c>
      <c r="L12" s="112"/>
      <c r="M12" s="1879"/>
      <c r="N12" s="1880"/>
      <c r="O12" s="1880"/>
      <c r="P12" s="1880"/>
      <c r="Q12" s="1880"/>
      <c r="R12" s="1880"/>
      <c r="S12" s="1880"/>
      <c r="T12" s="1880"/>
      <c r="U12" s="1880"/>
      <c r="V12" s="1880"/>
      <c r="W12" s="1880"/>
      <c r="X12" s="1880"/>
      <c r="Y12" s="1880"/>
      <c r="Z12" s="1880"/>
      <c r="AA12" s="1880"/>
      <c r="AB12" s="1880"/>
      <c r="AC12" s="1880"/>
      <c r="AD12" s="1880"/>
      <c r="AE12" s="1880"/>
      <c r="AF12" s="1880"/>
      <c r="AG12" s="1880"/>
      <c r="AH12" s="1880"/>
      <c r="AI12" s="1880"/>
      <c r="AJ12" s="1880"/>
      <c r="AK12" s="1880"/>
      <c r="AL12" s="1880"/>
      <c r="AM12" s="1880"/>
      <c r="AN12" s="1880"/>
      <c r="AO12" s="1880"/>
      <c r="AP12" s="1880"/>
      <c r="AQ12" s="1880"/>
      <c r="AR12" s="1880"/>
      <c r="AS12" s="1880"/>
      <c r="AT12" s="1880"/>
      <c r="AU12" s="1880"/>
      <c r="AV12" s="1880"/>
      <c r="AW12" s="1880"/>
      <c r="AX12" s="1880"/>
      <c r="AY12" s="1880"/>
      <c r="AZ12" s="1880"/>
      <c r="BA12" s="1880"/>
      <c r="BB12" s="1880"/>
      <c r="BC12" s="1880"/>
      <c r="BD12" s="1880"/>
      <c r="BE12" s="1880"/>
      <c r="BF12" s="1880"/>
      <c r="BG12" s="1880"/>
      <c r="BH12" s="1880"/>
      <c r="BI12" s="1880"/>
      <c r="BJ12" s="1880"/>
      <c r="BK12" s="1880"/>
      <c r="BL12" s="1880"/>
      <c r="BM12" s="1880"/>
      <c r="BN12" s="1880"/>
      <c r="BO12" s="1880"/>
      <c r="BP12" s="1880"/>
      <c r="BQ12" s="1880"/>
      <c r="BR12" s="1880"/>
      <c r="BS12" s="1880"/>
      <c r="BT12" s="1880"/>
      <c r="BU12" s="1880"/>
      <c r="BV12" s="1880"/>
      <c r="BW12" s="1880"/>
      <c r="BX12" s="1880"/>
      <c r="BY12" s="1880"/>
      <c r="BZ12" s="1880"/>
      <c r="CA12" s="1880"/>
      <c r="CB12" s="1880"/>
      <c r="CC12" s="1880"/>
      <c r="CD12" s="1880"/>
      <c r="CE12" s="1880"/>
      <c r="CF12" s="1880"/>
      <c r="CG12" s="1880"/>
      <c r="CH12" s="1880"/>
      <c r="CI12" s="1880"/>
      <c r="CJ12" s="1880"/>
      <c r="CK12" s="1880"/>
      <c r="CL12" s="1880"/>
      <c r="CM12" s="1880"/>
      <c r="CN12" s="1880"/>
      <c r="CO12" s="1880"/>
      <c r="CP12" s="1880"/>
      <c r="CQ12" s="1880"/>
      <c r="CR12" s="1880"/>
      <c r="CS12" s="1880"/>
      <c r="CT12" s="1880"/>
      <c r="CU12" s="1880"/>
      <c r="CV12" s="1880"/>
      <c r="CW12" s="1880"/>
      <c r="CX12" s="1880"/>
      <c r="CY12" s="1880"/>
      <c r="CZ12" s="1880"/>
      <c r="DA12" s="1880"/>
      <c r="DB12" s="1880"/>
      <c r="DC12" s="1880"/>
      <c r="DD12" s="1880"/>
      <c r="DE12" s="1880"/>
      <c r="DF12" s="1880"/>
      <c r="DG12" s="1880"/>
      <c r="DH12" s="1880"/>
      <c r="DI12" s="1880"/>
      <c r="DJ12" s="1880"/>
      <c r="DK12" s="1880"/>
      <c r="DL12" s="1880"/>
      <c r="DM12" s="1880"/>
      <c r="DN12" s="1880"/>
      <c r="DO12" s="1880"/>
      <c r="DP12" s="1880"/>
      <c r="DQ12" s="1880"/>
      <c r="DR12" s="1880"/>
      <c r="DS12" s="1880"/>
      <c r="DT12" s="1880"/>
      <c r="DU12" s="1880"/>
      <c r="DV12" s="1880"/>
      <c r="DW12" s="1880"/>
    </row>
    <row r="13" spans="1:127" s="2077" customFormat="1" ht="225">
      <c r="A13" s="874">
        <v>9</v>
      </c>
      <c r="B13" s="735" t="s">
        <v>4786</v>
      </c>
      <c r="C13" s="1925">
        <v>5800</v>
      </c>
      <c r="D13" s="735" t="s">
        <v>4782</v>
      </c>
      <c r="E13" s="875" t="s">
        <v>16</v>
      </c>
      <c r="F13" s="109" t="s">
        <v>634</v>
      </c>
      <c r="G13" s="2001"/>
      <c r="H13" s="735" t="s">
        <v>19</v>
      </c>
      <c r="I13" s="735" t="s">
        <v>172</v>
      </c>
      <c r="J13" s="2139" t="s">
        <v>4787</v>
      </c>
      <c r="K13" s="2139"/>
      <c r="L13" s="112"/>
      <c r="M13" s="1879"/>
      <c r="N13" s="1880"/>
      <c r="O13" s="1880"/>
      <c r="P13" s="1880"/>
      <c r="Q13" s="1880"/>
      <c r="R13" s="1880"/>
      <c r="S13" s="1880"/>
      <c r="T13" s="1880"/>
      <c r="U13" s="1880"/>
      <c r="V13" s="1880"/>
      <c r="W13" s="1880"/>
      <c r="X13" s="1880"/>
      <c r="Y13" s="1880"/>
      <c r="Z13" s="1880"/>
      <c r="AA13" s="1880"/>
      <c r="AB13" s="1880"/>
      <c r="AC13" s="1880"/>
      <c r="AD13" s="1880"/>
      <c r="AE13" s="1880"/>
      <c r="AF13" s="1880"/>
      <c r="AG13" s="1880"/>
      <c r="AH13" s="1880"/>
      <c r="AI13" s="1880"/>
      <c r="AJ13" s="1880"/>
      <c r="AK13" s="1880"/>
      <c r="AL13" s="1880"/>
      <c r="AM13" s="1880"/>
      <c r="AN13" s="1880"/>
      <c r="AO13" s="1880"/>
      <c r="AP13" s="1880"/>
      <c r="AQ13" s="1880"/>
      <c r="AR13" s="1880"/>
      <c r="AS13" s="1880"/>
      <c r="AT13" s="1880"/>
      <c r="AU13" s="1880"/>
      <c r="AV13" s="1880"/>
      <c r="AW13" s="1880"/>
      <c r="AX13" s="1880"/>
      <c r="AY13" s="1880"/>
      <c r="AZ13" s="1880"/>
      <c r="BA13" s="1880"/>
      <c r="BB13" s="1880"/>
      <c r="BC13" s="1880"/>
      <c r="BD13" s="1880"/>
      <c r="BE13" s="1880"/>
      <c r="BF13" s="1880"/>
      <c r="BG13" s="1880"/>
      <c r="BH13" s="1880"/>
      <c r="BI13" s="1880"/>
      <c r="BJ13" s="1880"/>
      <c r="BK13" s="1880"/>
      <c r="BL13" s="1880"/>
      <c r="BM13" s="1880"/>
      <c r="BN13" s="1880"/>
      <c r="BO13" s="1880"/>
      <c r="BP13" s="1880"/>
      <c r="BQ13" s="1880"/>
      <c r="BR13" s="1880"/>
      <c r="BS13" s="1880"/>
      <c r="BT13" s="1880"/>
      <c r="BU13" s="1880"/>
      <c r="BV13" s="1880"/>
      <c r="BW13" s="1880"/>
      <c r="BX13" s="1880"/>
      <c r="BY13" s="1880"/>
      <c r="BZ13" s="1880"/>
      <c r="CA13" s="1880"/>
      <c r="CB13" s="1880"/>
      <c r="CC13" s="1880"/>
      <c r="CD13" s="1880"/>
      <c r="CE13" s="1880"/>
      <c r="CF13" s="1880"/>
      <c r="CG13" s="1880"/>
      <c r="CH13" s="1880"/>
      <c r="CI13" s="1880"/>
      <c r="CJ13" s="1880"/>
      <c r="CK13" s="1880"/>
      <c r="CL13" s="1880"/>
      <c r="CM13" s="1880"/>
      <c r="CN13" s="1880"/>
      <c r="CO13" s="1880"/>
      <c r="CP13" s="1880"/>
      <c r="CQ13" s="1880"/>
      <c r="CR13" s="1880"/>
      <c r="CS13" s="1880"/>
      <c r="CT13" s="1880"/>
      <c r="CU13" s="1880"/>
      <c r="CV13" s="1880"/>
      <c r="CW13" s="1880"/>
      <c r="CX13" s="1880"/>
      <c r="CY13" s="1880"/>
      <c r="CZ13" s="1880"/>
      <c r="DA13" s="1880"/>
      <c r="DB13" s="1880"/>
      <c r="DC13" s="1880"/>
      <c r="DD13" s="1880"/>
      <c r="DE13" s="1880"/>
      <c r="DF13" s="1880"/>
      <c r="DG13" s="1880"/>
      <c r="DH13" s="1880"/>
      <c r="DI13" s="1880"/>
      <c r="DJ13" s="1880"/>
      <c r="DK13" s="1880"/>
      <c r="DL13" s="1880"/>
      <c r="DM13" s="1880"/>
      <c r="DN13" s="1880"/>
      <c r="DO13" s="1880"/>
      <c r="DP13" s="1880"/>
      <c r="DQ13" s="1880"/>
      <c r="DR13" s="1880"/>
      <c r="DS13" s="1880"/>
      <c r="DT13" s="1880"/>
      <c r="DU13" s="1880"/>
      <c r="DV13" s="1880"/>
      <c r="DW13" s="1880"/>
    </row>
    <row r="14" spans="1:127" s="2077" customFormat="1" ht="130.5" customHeight="1">
      <c r="A14" s="874">
        <v>10</v>
      </c>
      <c r="B14" s="735" t="s">
        <v>3733</v>
      </c>
      <c r="C14" s="1925">
        <v>8700</v>
      </c>
      <c r="D14" s="735" t="s">
        <v>4788</v>
      </c>
      <c r="E14" s="875" t="s">
        <v>3401</v>
      </c>
      <c r="F14" s="109" t="s">
        <v>4789</v>
      </c>
      <c r="G14" s="2001"/>
      <c r="H14" s="735" t="s">
        <v>19</v>
      </c>
      <c r="I14" s="735" t="s">
        <v>172</v>
      </c>
      <c r="J14" s="2139" t="s">
        <v>4790</v>
      </c>
      <c r="K14" s="2139"/>
      <c r="L14" s="112"/>
      <c r="M14" s="1879"/>
      <c r="N14" s="1880"/>
      <c r="O14" s="1880"/>
      <c r="P14" s="1880"/>
      <c r="Q14" s="1880"/>
      <c r="R14" s="1880"/>
      <c r="S14" s="1880"/>
      <c r="T14" s="1880"/>
      <c r="U14" s="1880"/>
      <c r="V14" s="1880"/>
      <c r="W14" s="1880"/>
      <c r="X14" s="1880"/>
      <c r="Y14" s="1880"/>
      <c r="Z14" s="1880"/>
      <c r="AA14" s="1880"/>
      <c r="AB14" s="1880"/>
      <c r="AC14" s="1880"/>
      <c r="AD14" s="1880"/>
      <c r="AE14" s="1880"/>
      <c r="AF14" s="1880"/>
      <c r="AG14" s="1880"/>
      <c r="AH14" s="1880"/>
      <c r="AI14" s="1880"/>
      <c r="AJ14" s="1880"/>
      <c r="AK14" s="1880"/>
      <c r="AL14" s="1880"/>
      <c r="AM14" s="1880"/>
      <c r="AN14" s="1880"/>
      <c r="AO14" s="1880"/>
      <c r="AP14" s="1880"/>
      <c r="AQ14" s="1880"/>
      <c r="AR14" s="1880"/>
      <c r="AS14" s="1880"/>
      <c r="AT14" s="1880"/>
      <c r="AU14" s="1880"/>
      <c r="AV14" s="1880"/>
      <c r="AW14" s="1880"/>
      <c r="AX14" s="1880"/>
      <c r="AY14" s="1880"/>
      <c r="AZ14" s="1880"/>
      <c r="BA14" s="1880"/>
      <c r="BB14" s="1880"/>
      <c r="BC14" s="1880"/>
      <c r="BD14" s="1880"/>
      <c r="BE14" s="1880"/>
      <c r="BF14" s="1880"/>
      <c r="BG14" s="1880"/>
      <c r="BH14" s="1880"/>
      <c r="BI14" s="1880"/>
      <c r="BJ14" s="1880"/>
      <c r="BK14" s="1880"/>
      <c r="BL14" s="1880"/>
      <c r="BM14" s="1880"/>
      <c r="BN14" s="1880"/>
      <c r="BO14" s="1880"/>
      <c r="BP14" s="1880"/>
      <c r="BQ14" s="1880"/>
      <c r="BR14" s="1880"/>
      <c r="BS14" s="1880"/>
      <c r="BT14" s="1880"/>
      <c r="BU14" s="1880"/>
      <c r="BV14" s="1880"/>
      <c r="BW14" s="1880"/>
      <c r="BX14" s="1880"/>
      <c r="BY14" s="1880"/>
      <c r="BZ14" s="1880"/>
      <c r="CA14" s="1880"/>
      <c r="CB14" s="1880"/>
      <c r="CC14" s="1880"/>
      <c r="CD14" s="1880"/>
      <c r="CE14" s="1880"/>
      <c r="CF14" s="1880"/>
      <c r="CG14" s="1880"/>
      <c r="CH14" s="1880"/>
      <c r="CI14" s="1880"/>
      <c r="CJ14" s="1880"/>
      <c r="CK14" s="1880"/>
      <c r="CL14" s="1880"/>
      <c r="CM14" s="1880"/>
      <c r="CN14" s="1880"/>
      <c r="CO14" s="1880"/>
      <c r="CP14" s="1880"/>
      <c r="CQ14" s="1880"/>
      <c r="CR14" s="1880"/>
      <c r="CS14" s="1880"/>
      <c r="CT14" s="1880"/>
      <c r="CU14" s="1880"/>
      <c r="CV14" s="1880"/>
      <c r="CW14" s="1880"/>
      <c r="CX14" s="1880"/>
      <c r="CY14" s="1880"/>
      <c r="CZ14" s="1880"/>
      <c r="DA14" s="1880"/>
      <c r="DB14" s="1880"/>
      <c r="DC14" s="1880"/>
      <c r="DD14" s="1880"/>
      <c r="DE14" s="1880"/>
      <c r="DF14" s="1880"/>
      <c r="DG14" s="1880"/>
      <c r="DH14" s="1880"/>
      <c r="DI14" s="1880"/>
      <c r="DJ14" s="1880"/>
      <c r="DK14" s="1880"/>
      <c r="DL14" s="1880"/>
      <c r="DM14" s="1880"/>
      <c r="DN14" s="1880"/>
      <c r="DO14" s="1880"/>
      <c r="DP14" s="1880"/>
      <c r="DQ14" s="1880"/>
      <c r="DR14" s="1880"/>
      <c r="DS14" s="1880"/>
      <c r="DT14" s="1880"/>
      <c r="DU14" s="1880"/>
      <c r="DV14" s="1880"/>
      <c r="DW14" s="1880"/>
    </row>
    <row r="15" spans="1:127" s="2077" customFormat="1" ht="130.5" customHeight="1">
      <c r="A15" s="874">
        <v>11</v>
      </c>
      <c r="B15" s="735" t="s">
        <v>4791</v>
      </c>
      <c r="C15" s="1925">
        <v>3000</v>
      </c>
      <c r="D15" s="735" t="s">
        <v>4792</v>
      </c>
      <c r="E15" s="875"/>
      <c r="F15" s="109"/>
      <c r="G15" s="2001"/>
      <c r="H15" s="735" t="s">
        <v>19</v>
      </c>
      <c r="I15" s="735" t="s">
        <v>517</v>
      </c>
      <c r="J15" s="2139" t="s">
        <v>4793</v>
      </c>
      <c r="K15" s="1877"/>
      <c r="L15" s="112"/>
      <c r="M15" s="1879"/>
      <c r="N15" s="1880"/>
      <c r="O15" s="1880"/>
      <c r="P15" s="1880"/>
      <c r="Q15" s="1880"/>
      <c r="R15" s="1880"/>
      <c r="S15" s="1880"/>
      <c r="T15" s="1880"/>
      <c r="U15" s="1880"/>
      <c r="V15" s="1880"/>
      <c r="W15" s="1880"/>
      <c r="X15" s="1880"/>
      <c r="Y15" s="1880"/>
      <c r="Z15" s="1880"/>
      <c r="AA15" s="1880"/>
      <c r="AB15" s="1880"/>
      <c r="AC15" s="1880"/>
      <c r="AD15" s="1880"/>
      <c r="AE15" s="1880"/>
      <c r="AF15" s="1880"/>
      <c r="AG15" s="1880"/>
      <c r="AH15" s="1880"/>
      <c r="AI15" s="1880"/>
      <c r="AJ15" s="1880"/>
      <c r="AK15" s="1880"/>
      <c r="AL15" s="1880"/>
      <c r="AM15" s="1880"/>
      <c r="AN15" s="1880"/>
      <c r="AO15" s="1880"/>
      <c r="AP15" s="1880"/>
      <c r="AQ15" s="1880"/>
      <c r="AR15" s="1880"/>
      <c r="AS15" s="1880"/>
      <c r="AT15" s="1880"/>
      <c r="AU15" s="1880"/>
      <c r="AV15" s="1880"/>
      <c r="AW15" s="1880"/>
      <c r="AX15" s="1880"/>
      <c r="AY15" s="1880"/>
      <c r="AZ15" s="1880"/>
      <c r="BA15" s="1880"/>
      <c r="BB15" s="1880"/>
      <c r="BC15" s="1880"/>
      <c r="BD15" s="1880"/>
      <c r="BE15" s="1880"/>
      <c r="BF15" s="1880"/>
      <c r="BG15" s="1880"/>
      <c r="BH15" s="1880"/>
      <c r="BI15" s="1880"/>
      <c r="BJ15" s="1880"/>
      <c r="BK15" s="1880"/>
      <c r="BL15" s="1880"/>
      <c r="BM15" s="1880"/>
      <c r="BN15" s="1880"/>
      <c r="BO15" s="1880"/>
      <c r="BP15" s="1880"/>
      <c r="BQ15" s="1880"/>
      <c r="BR15" s="1880"/>
      <c r="BS15" s="1880"/>
      <c r="BT15" s="1880"/>
      <c r="BU15" s="1880"/>
      <c r="BV15" s="1880"/>
      <c r="BW15" s="1880"/>
      <c r="BX15" s="1880"/>
      <c r="BY15" s="1880"/>
      <c r="BZ15" s="1880"/>
      <c r="CA15" s="1880"/>
      <c r="CB15" s="1880"/>
      <c r="CC15" s="1880"/>
      <c r="CD15" s="1880"/>
      <c r="CE15" s="1880"/>
      <c r="CF15" s="1880"/>
      <c r="CG15" s="1880"/>
      <c r="CH15" s="1880"/>
      <c r="CI15" s="1880"/>
      <c r="CJ15" s="1880"/>
      <c r="CK15" s="1880"/>
      <c r="CL15" s="1880"/>
      <c r="CM15" s="1880"/>
      <c r="CN15" s="1880"/>
      <c r="CO15" s="1880"/>
      <c r="CP15" s="1880"/>
      <c r="CQ15" s="1880"/>
      <c r="CR15" s="1880"/>
      <c r="CS15" s="1880"/>
      <c r="CT15" s="1880"/>
      <c r="CU15" s="1880"/>
      <c r="CV15" s="1880"/>
      <c r="CW15" s="1880"/>
      <c r="CX15" s="1880"/>
      <c r="CY15" s="1880"/>
      <c r="CZ15" s="1880"/>
      <c r="DA15" s="1880"/>
      <c r="DB15" s="1880"/>
      <c r="DC15" s="1880"/>
      <c r="DD15" s="1880"/>
      <c r="DE15" s="1880"/>
      <c r="DF15" s="1880"/>
      <c r="DG15" s="1880"/>
      <c r="DH15" s="1880"/>
      <c r="DI15" s="1880"/>
      <c r="DJ15" s="1880"/>
      <c r="DK15" s="1880"/>
      <c r="DL15" s="1880"/>
      <c r="DM15" s="1880"/>
      <c r="DN15" s="1880"/>
      <c r="DO15" s="1880"/>
      <c r="DP15" s="1880"/>
      <c r="DQ15" s="1880"/>
      <c r="DR15" s="1880"/>
      <c r="DS15" s="1880"/>
      <c r="DT15" s="1880"/>
      <c r="DU15" s="1880"/>
      <c r="DV15" s="1880"/>
      <c r="DW15" s="1880"/>
    </row>
    <row r="16" spans="1:127" s="2077" customFormat="1" ht="81" customHeight="1">
      <c r="A16" s="874">
        <v>12</v>
      </c>
      <c r="B16" s="735"/>
      <c r="C16" s="1925"/>
      <c r="D16" s="735"/>
      <c r="E16" s="875"/>
      <c r="F16" s="109"/>
      <c r="G16" s="2001"/>
      <c r="H16" s="735" t="s">
        <v>19</v>
      </c>
      <c r="I16" s="735" t="s">
        <v>172</v>
      </c>
      <c r="J16" s="2139" t="s">
        <v>4794</v>
      </c>
      <c r="K16" s="2139" t="s">
        <v>4778</v>
      </c>
      <c r="L16" s="112"/>
      <c r="M16" s="1879"/>
      <c r="N16" s="1880"/>
      <c r="O16" s="1880"/>
      <c r="P16" s="1880"/>
      <c r="Q16" s="1880"/>
      <c r="R16" s="1880"/>
      <c r="S16" s="1880"/>
      <c r="T16" s="1880"/>
      <c r="U16" s="1880"/>
      <c r="V16" s="1880"/>
      <c r="W16" s="1880"/>
      <c r="X16" s="1880"/>
      <c r="Y16" s="1880"/>
      <c r="Z16" s="1880"/>
      <c r="AA16" s="1880"/>
      <c r="AB16" s="1880"/>
      <c r="AC16" s="1880"/>
      <c r="AD16" s="1880"/>
      <c r="AE16" s="1880"/>
      <c r="AF16" s="1880"/>
      <c r="AG16" s="1880"/>
      <c r="AH16" s="1880"/>
      <c r="AI16" s="1880"/>
      <c r="AJ16" s="1880"/>
      <c r="AK16" s="1880"/>
      <c r="AL16" s="1880"/>
      <c r="AM16" s="1880"/>
      <c r="AN16" s="1880"/>
      <c r="AO16" s="1880"/>
      <c r="AP16" s="1880"/>
      <c r="AQ16" s="1880"/>
      <c r="AR16" s="1880"/>
      <c r="AS16" s="1880"/>
      <c r="AT16" s="1880"/>
      <c r="AU16" s="1880"/>
      <c r="AV16" s="1880"/>
      <c r="AW16" s="1880"/>
      <c r="AX16" s="1880"/>
      <c r="AY16" s="1880"/>
      <c r="AZ16" s="1880"/>
      <c r="BA16" s="1880"/>
      <c r="BB16" s="1880"/>
      <c r="BC16" s="1880"/>
      <c r="BD16" s="1880"/>
      <c r="BE16" s="1880"/>
      <c r="BF16" s="1880"/>
      <c r="BG16" s="1880"/>
      <c r="BH16" s="1880"/>
      <c r="BI16" s="1880"/>
      <c r="BJ16" s="1880"/>
      <c r="BK16" s="1880"/>
      <c r="BL16" s="1880"/>
      <c r="BM16" s="1880"/>
      <c r="BN16" s="1880"/>
      <c r="BO16" s="1880"/>
      <c r="BP16" s="1880"/>
      <c r="BQ16" s="1880"/>
      <c r="BR16" s="1880"/>
      <c r="BS16" s="1880"/>
      <c r="BT16" s="1880"/>
      <c r="BU16" s="1880"/>
      <c r="BV16" s="1880"/>
      <c r="BW16" s="1880"/>
      <c r="BX16" s="1880"/>
      <c r="BY16" s="1880"/>
      <c r="BZ16" s="1880"/>
      <c r="CA16" s="1880"/>
      <c r="CB16" s="1880"/>
      <c r="CC16" s="1880"/>
      <c r="CD16" s="1880"/>
      <c r="CE16" s="1880"/>
      <c r="CF16" s="1880"/>
      <c r="CG16" s="1880"/>
      <c r="CH16" s="1880"/>
      <c r="CI16" s="1880"/>
      <c r="CJ16" s="1880"/>
      <c r="CK16" s="1880"/>
      <c r="CL16" s="1880"/>
      <c r="CM16" s="1880"/>
      <c r="CN16" s="1880"/>
      <c r="CO16" s="1880"/>
      <c r="CP16" s="1880"/>
      <c r="CQ16" s="1880"/>
      <c r="CR16" s="1880"/>
      <c r="CS16" s="1880"/>
      <c r="CT16" s="1880"/>
      <c r="CU16" s="1880"/>
      <c r="CV16" s="1880"/>
      <c r="CW16" s="1880"/>
      <c r="CX16" s="1880"/>
      <c r="CY16" s="1880"/>
      <c r="CZ16" s="1880"/>
      <c r="DA16" s="1880"/>
      <c r="DB16" s="1880"/>
      <c r="DC16" s="1880"/>
      <c r="DD16" s="1880"/>
      <c r="DE16" s="1880"/>
      <c r="DF16" s="1880"/>
      <c r="DG16" s="1880"/>
      <c r="DH16" s="1880"/>
      <c r="DI16" s="1880"/>
      <c r="DJ16" s="1880"/>
      <c r="DK16" s="1880"/>
      <c r="DL16" s="1880"/>
      <c r="DM16" s="1880"/>
      <c r="DN16" s="1880"/>
      <c r="DO16" s="1880"/>
      <c r="DP16" s="1880"/>
      <c r="DQ16" s="1880"/>
      <c r="DR16" s="1880"/>
      <c r="DS16" s="1880"/>
      <c r="DT16" s="1880"/>
      <c r="DU16" s="1880"/>
      <c r="DV16" s="1880"/>
      <c r="DW16" s="1880"/>
    </row>
    <row r="17" spans="1:127" s="1880" customFormat="1" ht="283.5" customHeight="1">
      <c r="A17" s="874">
        <v>13</v>
      </c>
      <c r="B17" s="735"/>
      <c r="C17" s="1925">
        <v>19525</v>
      </c>
      <c r="D17" s="735" t="s">
        <v>4795</v>
      </c>
      <c r="E17" s="875" t="s">
        <v>25</v>
      </c>
      <c r="F17" s="109"/>
      <c r="G17" s="2001"/>
      <c r="H17" s="735" t="s">
        <v>19</v>
      </c>
      <c r="I17" s="735" t="s">
        <v>4796</v>
      </c>
      <c r="J17" s="2139" t="s">
        <v>4797</v>
      </c>
      <c r="K17" s="1877" t="s">
        <v>4798</v>
      </c>
      <c r="L17" s="112"/>
      <c r="M17" s="1879"/>
      <c r="DW17" s="1880" t="s">
        <v>4799</v>
      </c>
    </row>
    <row r="18" spans="1:127" s="1777" customFormat="1" ht="75.75" customHeight="1">
      <c r="A18" s="874">
        <v>14</v>
      </c>
      <c r="B18" s="735" t="s">
        <v>4800</v>
      </c>
      <c r="C18" s="1925">
        <v>9000</v>
      </c>
      <c r="D18" s="735" t="s">
        <v>4801</v>
      </c>
      <c r="E18" s="875"/>
      <c r="F18" s="109"/>
      <c r="G18" s="2001"/>
      <c r="H18" s="735" t="s">
        <v>19</v>
      </c>
      <c r="I18" s="735" t="s">
        <v>286</v>
      </c>
      <c r="J18" s="2139" t="s">
        <v>4802</v>
      </c>
      <c r="K18" s="1877"/>
      <c r="L18" s="112"/>
      <c r="M18" s="1879"/>
      <c r="N18" s="1880"/>
      <c r="O18" s="1880"/>
      <c r="P18" s="1880"/>
      <c r="Q18" s="1880"/>
      <c r="R18" s="1880"/>
      <c r="S18" s="1880"/>
      <c r="T18" s="1880"/>
      <c r="U18" s="1880"/>
      <c r="V18" s="1880"/>
      <c r="W18" s="1880"/>
      <c r="X18" s="1880"/>
      <c r="Y18" s="1880"/>
      <c r="Z18" s="1880"/>
      <c r="AA18" s="1880"/>
      <c r="AB18" s="1880"/>
      <c r="AC18" s="1880"/>
      <c r="AD18" s="1880"/>
      <c r="AE18" s="1880"/>
      <c r="AF18" s="1880"/>
      <c r="AG18" s="1880"/>
      <c r="AH18" s="1880"/>
      <c r="AI18" s="1880"/>
      <c r="AJ18" s="1880"/>
      <c r="AK18" s="1880"/>
      <c r="AL18" s="1880"/>
      <c r="AM18" s="1880"/>
      <c r="AN18" s="1880"/>
      <c r="AO18" s="1880"/>
      <c r="AP18" s="1880"/>
      <c r="AQ18" s="1880"/>
      <c r="AR18" s="1880"/>
      <c r="AS18" s="1880"/>
      <c r="AT18" s="1880"/>
      <c r="AU18" s="1880"/>
      <c r="AV18" s="1880"/>
      <c r="AW18" s="1880"/>
      <c r="AX18" s="1880"/>
      <c r="AY18" s="1880"/>
      <c r="AZ18" s="1880"/>
      <c r="BA18" s="1880"/>
      <c r="BB18" s="1880"/>
      <c r="BC18" s="1880"/>
      <c r="BD18" s="1880"/>
      <c r="BE18" s="1880"/>
      <c r="BF18" s="1880"/>
      <c r="BG18" s="1880"/>
      <c r="BH18" s="1880"/>
      <c r="BI18" s="1880"/>
      <c r="BJ18" s="1880"/>
      <c r="BK18" s="1880"/>
      <c r="BL18" s="1880"/>
      <c r="BM18" s="1880"/>
      <c r="BN18" s="1880"/>
      <c r="BO18" s="1880"/>
      <c r="BP18" s="1880"/>
      <c r="BQ18" s="1880"/>
      <c r="BR18" s="1880"/>
      <c r="BS18" s="1880"/>
      <c r="BT18" s="1880"/>
      <c r="BU18" s="1880"/>
      <c r="BV18" s="1880"/>
      <c r="BW18" s="1880"/>
      <c r="BX18" s="1880"/>
      <c r="BY18" s="1880"/>
      <c r="BZ18" s="1880"/>
      <c r="CA18" s="1880"/>
      <c r="CB18" s="1880"/>
      <c r="CC18" s="1880"/>
      <c r="CD18" s="1880"/>
      <c r="CE18" s="1880"/>
      <c r="CF18" s="1880"/>
      <c r="CG18" s="1880"/>
      <c r="CH18" s="1880"/>
      <c r="CI18" s="1880"/>
      <c r="CJ18" s="1880"/>
      <c r="CK18" s="1880"/>
      <c r="CL18" s="1880"/>
      <c r="CM18" s="1880"/>
      <c r="CN18" s="1880"/>
      <c r="CO18" s="1880"/>
      <c r="CP18" s="1880"/>
      <c r="CQ18" s="1880"/>
      <c r="CR18" s="1880"/>
      <c r="CS18" s="1880"/>
      <c r="CT18" s="1880"/>
      <c r="CU18" s="1880"/>
      <c r="CV18" s="1880"/>
      <c r="CW18" s="1880"/>
      <c r="CX18" s="1880"/>
      <c r="CY18" s="1880"/>
      <c r="CZ18" s="1880"/>
      <c r="DA18" s="1880"/>
      <c r="DB18" s="1880"/>
      <c r="DC18" s="1880"/>
      <c r="DD18" s="1880"/>
      <c r="DE18" s="1880"/>
      <c r="DF18" s="1880"/>
      <c r="DG18" s="1880"/>
      <c r="DH18" s="1880"/>
      <c r="DI18" s="1880"/>
      <c r="DJ18" s="1880"/>
      <c r="DK18" s="1880"/>
      <c r="DL18" s="1880"/>
      <c r="DM18" s="1880"/>
      <c r="DN18" s="1880"/>
      <c r="DO18" s="1880"/>
      <c r="DP18" s="1880"/>
      <c r="DQ18" s="1880"/>
      <c r="DR18" s="1880"/>
      <c r="DS18" s="1880"/>
      <c r="DT18" s="1880"/>
      <c r="DU18" s="1880"/>
      <c r="DV18" s="1880"/>
      <c r="DW18" s="1880"/>
    </row>
    <row r="19" spans="1:127" s="1880" customFormat="1" ht="60.75" customHeight="1">
      <c r="A19" s="874">
        <v>15</v>
      </c>
      <c r="B19" s="735" t="s">
        <v>4800</v>
      </c>
      <c r="C19" s="1925">
        <v>10000</v>
      </c>
      <c r="D19" s="735" t="s">
        <v>4803</v>
      </c>
      <c r="E19" s="875"/>
      <c r="F19" s="109"/>
      <c r="G19" s="2001"/>
      <c r="H19" s="735" t="s">
        <v>19</v>
      </c>
      <c r="I19" s="735" t="s">
        <v>286</v>
      </c>
      <c r="J19" s="2139" t="s">
        <v>4804</v>
      </c>
      <c r="K19" s="1877"/>
      <c r="L19" s="112"/>
      <c r="M19" s="1879"/>
    </row>
    <row r="20" spans="1:127" s="1880" customFormat="1" ht="60.75" customHeight="1">
      <c r="A20" s="874">
        <v>16</v>
      </c>
      <c r="B20" s="735" t="s">
        <v>4800</v>
      </c>
      <c r="C20" s="1925">
        <v>2500</v>
      </c>
      <c r="D20" s="735" t="s">
        <v>4805</v>
      </c>
      <c r="E20" s="875"/>
      <c r="F20" s="109"/>
      <c r="G20" s="2001"/>
      <c r="H20" s="735" t="s">
        <v>19</v>
      </c>
      <c r="I20" s="735" t="s">
        <v>286</v>
      </c>
      <c r="J20" s="2139" t="s">
        <v>4806</v>
      </c>
      <c r="K20" s="1877"/>
      <c r="L20" s="112"/>
      <c r="M20" s="1879"/>
    </row>
    <row r="21" spans="1:127" s="1880" customFormat="1" ht="60.75" customHeight="1">
      <c r="A21" s="874">
        <v>17</v>
      </c>
      <c r="B21" s="735" t="s">
        <v>4800</v>
      </c>
      <c r="C21" s="1925">
        <v>5000</v>
      </c>
      <c r="D21" s="735" t="s">
        <v>4805</v>
      </c>
      <c r="E21" s="875"/>
      <c r="F21" s="109"/>
      <c r="G21" s="2001"/>
      <c r="H21" s="735" t="s">
        <v>19</v>
      </c>
      <c r="I21" s="735" t="s">
        <v>4807</v>
      </c>
      <c r="J21" s="2139" t="s">
        <v>4808</v>
      </c>
      <c r="K21" s="1877"/>
      <c r="L21" s="112"/>
      <c r="M21" s="1879"/>
    </row>
    <row r="22" spans="1:127" s="1880" customFormat="1" ht="211.5" customHeight="1">
      <c r="A22" s="874">
        <v>18</v>
      </c>
      <c r="B22" s="735"/>
      <c r="C22" s="1925">
        <v>6000</v>
      </c>
      <c r="D22" s="735" t="s">
        <v>4809</v>
      </c>
      <c r="E22" s="875"/>
      <c r="F22" s="109"/>
      <c r="G22" s="2001"/>
      <c r="H22" s="735" t="s">
        <v>19</v>
      </c>
      <c r="I22" s="735" t="s">
        <v>517</v>
      </c>
      <c r="J22" s="2139" t="s">
        <v>4810</v>
      </c>
      <c r="K22" s="1877"/>
      <c r="L22" s="112"/>
      <c r="M22" s="1879"/>
    </row>
    <row r="23" spans="1:127" s="1880" customFormat="1" ht="105.75" customHeight="1">
      <c r="A23" s="874">
        <v>19</v>
      </c>
      <c r="B23" s="735"/>
      <c r="C23" s="1925"/>
      <c r="D23" s="735"/>
      <c r="E23" s="875"/>
      <c r="F23" s="109"/>
      <c r="G23" s="2001"/>
      <c r="H23" s="735" t="s">
        <v>19</v>
      </c>
      <c r="I23" s="735" t="s">
        <v>172</v>
      </c>
      <c r="J23" s="2139" t="s">
        <v>4811</v>
      </c>
      <c r="K23" s="1877"/>
      <c r="L23" s="112"/>
      <c r="M23" s="1879"/>
    </row>
    <row r="24" spans="1:127" s="1880" customFormat="1" ht="107.25" customHeight="1">
      <c r="A24" s="874">
        <v>20</v>
      </c>
      <c r="B24" s="735"/>
      <c r="C24" s="1925"/>
      <c r="D24" s="735"/>
      <c r="E24" s="875"/>
      <c r="F24" s="109"/>
      <c r="G24" s="2001"/>
      <c r="H24" s="735" t="s">
        <v>19</v>
      </c>
      <c r="I24" s="735" t="s">
        <v>517</v>
      </c>
      <c r="J24" s="2139" t="s">
        <v>4812</v>
      </c>
      <c r="K24" s="1877" t="s">
        <v>4813</v>
      </c>
      <c r="L24" s="112"/>
      <c r="M24" s="1879"/>
    </row>
    <row r="25" spans="1:127" s="1880" customFormat="1" ht="70.5" customHeight="1">
      <c r="A25" s="874">
        <v>21</v>
      </c>
      <c r="B25" s="735"/>
      <c r="C25" s="1925"/>
      <c r="D25" s="735"/>
      <c r="E25" s="112"/>
      <c r="F25" s="1926"/>
      <c r="G25" s="735"/>
      <c r="H25" s="735" t="s">
        <v>19</v>
      </c>
      <c r="I25" s="735" t="s">
        <v>172</v>
      </c>
      <c r="J25" s="2139" t="s">
        <v>4814</v>
      </c>
      <c r="K25" s="1877"/>
      <c r="L25" s="112"/>
      <c r="M25" s="1879"/>
    </row>
    <row r="26" spans="1:127" s="1880" customFormat="1" ht="192.75" customHeight="1">
      <c r="A26" s="1007">
        <v>22</v>
      </c>
      <c r="B26" s="109"/>
      <c r="C26" s="2068"/>
      <c r="D26" s="735"/>
      <c r="E26" s="112"/>
      <c r="F26" s="1926"/>
      <c r="G26" s="735"/>
      <c r="H26" s="735"/>
      <c r="I26" s="735"/>
      <c r="J26" s="2139" t="s">
        <v>4815</v>
      </c>
      <c r="K26" s="2147" t="s">
        <v>4816</v>
      </c>
      <c r="L26" s="112"/>
      <c r="M26" s="1879"/>
    </row>
    <row r="27" spans="1:127" s="1777" customFormat="1" ht="87" customHeight="1">
      <c r="A27" s="738">
        <v>23</v>
      </c>
      <c r="B27" s="112"/>
      <c r="C27" s="2069"/>
      <c r="D27" s="735"/>
      <c r="E27" s="102"/>
      <c r="F27" s="109"/>
      <c r="G27" s="109"/>
      <c r="H27" s="735"/>
      <c r="I27" s="109"/>
      <c r="J27" s="696" t="s">
        <v>4817</v>
      </c>
      <c r="K27" s="2147" t="s">
        <v>4816</v>
      </c>
      <c r="L27" s="102"/>
      <c r="M27" s="1853"/>
    </row>
    <row r="28" spans="1:127" s="1777" customFormat="1" ht="87" customHeight="1">
      <c r="A28" s="738">
        <v>24</v>
      </c>
      <c r="B28" s="102"/>
      <c r="C28" s="1148"/>
      <c r="D28" s="109"/>
      <c r="E28" s="102"/>
      <c r="F28" s="109"/>
      <c r="G28" s="109"/>
      <c r="H28" s="109"/>
      <c r="I28" s="109"/>
      <c r="J28" s="143"/>
      <c r="K28" s="143"/>
      <c r="L28" s="102"/>
      <c r="M28" s="1853"/>
    </row>
    <row r="29" spans="1:127" s="1777" customFormat="1" ht="58.5" customHeight="1">
      <c r="A29" s="738">
        <v>25</v>
      </c>
      <c r="B29" s="102"/>
      <c r="C29" s="1148"/>
      <c r="D29" s="109"/>
      <c r="E29" s="102"/>
      <c r="F29" s="109"/>
      <c r="G29" s="109"/>
      <c r="H29" s="109"/>
      <c r="I29" s="109"/>
      <c r="J29" s="143"/>
      <c r="K29" s="143"/>
      <c r="L29" s="102"/>
      <c r="M29" s="1853"/>
    </row>
    <row r="30" spans="1:127" s="1777" customFormat="1" ht="58.5" customHeight="1">
      <c r="A30" s="738">
        <v>26</v>
      </c>
      <c r="B30" s="102"/>
      <c r="C30" s="1148"/>
      <c r="D30" s="109"/>
      <c r="E30" s="102"/>
      <c r="F30" s="109"/>
      <c r="G30" s="109"/>
      <c r="H30" s="109"/>
      <c r="I30" s="109"/>
      <c r="J30" s="143"/>
      <c r="K30" s="143"/>
      <c r="L30" s="102"/>
      <c r="M30" s="1853"/>
    </row>
    <row r="31" spans="1:127" s="1777" customFormat="1" ht="58.5" customHeight="1">
      <c r="A31" s="738">
        <v>27</v>
      </c>
      <c r="B31" s="102"/>
      <c r="C31" s="1148"/>
      <c r="D31" s="109"/>
      <c r="E31" s="102"/>
      <c r="F31" s="109"/>
      <c r="G31" s="109"/>
      <c r="H31" s="109"/>
      <c r="I31" s="109"/>
      <c r="J31" s="143"/>
      <c r="K31" s="143"/>
      <c r="L31" s="102"/>
      <c r="M31" s="1853"/>
    </row>
    <row r="32" spans="1:127" s="1777" customFormat="1" ht="58.5" customHeight="1">
      <c r="A32" s="738">
        <v>28</v>
      </c>
      <c r="B32" s="102"/>
      <c r="C32" s="1148"/>
      <c r="D32" s="109"/>
      <c r="E32" s="102"/>
      <c r="F32" s="109"/>
      <c r="G32" s="109"/>
      <c r="H32" s="109"/>
      <c r="I32" s="109"/>
      <c r="J32" s="143"/>
      <c r="K32" s="143"/>
      <c r="L32" s="102"/>
      <c r="M32" s="1853"/>
    </row>
    <row r="33" spans="1:13" s="1777" customFormat="1" ht="58.5" customHeight="1">
      <c r="A33" s="738">
        <v>29</v>
      </c>
      <c r="B33" s="102"/>
      <c r="C33" s="1148"/>
      <c r="D33" s="109"/>
      <c r="E33" s="102"/>
      <c r="F33" s="109"/>
      <c r="G33" s="109"/>
      <c r="H33" s="109"/>
      <c r="I33" s="109"/>
      <c r="J33" s="143"/>
      <c r="K33" s="143"/>
      <c r="L33" s="102"/>
      <c r="M33" s="1853"/>
    </row>
    <row r="34" spans="1:13" s="1777" customFormat="1" ht="58.5" customHeight="1">
      <c r="A34" s="738">
        <v>30</v>
      </c>
      <c r="B34" s="102"/>
      <c r="C34" s="1148"/>
      <c r="D34" s="109"/>
      <c r="E34" s="102"/>
      <c r="F34" s="109"/>
      <c r="G34" s="109"/>
      <c r="H34" s="109"/>
      <c r="I34" s="109"/>
      <c r="J34" s="143"/>
      <c r="K34" s="143"/>
      <c r="L34" s="102"/>
      <c r="M34" s="1853"/>
    </row>
    <row r="35" spans="1:13" s="1777" customFormat="1" ht="58.5" customHeight="1">
      <c r="A35" s="738">
        <v>31</v>
      </c>
      <c r="B35" s="102"/>
      <c r="C35" s="1148"/>
      <c r="D35" s="109"/>
      <c r="E35" s="102"/>
      <c r="F35" s="109"/>
      <c r="G35" s="109"/>
      <c r="H35" s="109"/>
      <c r="I35" s="109"/>
      <c r="J35" s="143"/>
      <c r="K35" s="143"/>
      <c r="L35" s="102"/>
      <c r="M35" s="1853"/>
    </row>
    <row r="36" spans="1:13" s="1777" customFormat="1" ht="58.5" customHeight="1">
      <c r="A36" s="738">
        <v>32</v>
      </c>
      <c r="B36" s="102"/>
      <c r="C36" s="1148"/>
      <c r="D36" s="109"/>
      <c r="E36" s="102"/>
      <c r="F36" s="109"/>
      <c r="G36" s="109"/>
      <c r="H36" s="109"/>
      <c r="I36" s="109"/>
      <c r="J36" s="143"/>
      <c r="K36" s="143"/>
      <c r="L36" s="102"/>
      <c r="M36" s="1853"/>
    </row>
    <row r="37" spans="1:13" s="1777" customFormat="1" ht="58.5" customHeight="1">
      <c r="A37" s="738">
        <v>33</v>
      </c>
      <c r="B37" s="102"/>
      <c r="C37" s="1148"/>
      <c r="D37" s="109"/>
      <c r="E37" s="102"/>
      <c r="F37" s="109"/>
      <c r="G37" s="109"/>
      <c r="H37" s="109"/>
      <c r="I37" s="109"/>
      <c r="J37" s="143"/>
      <c r="K37" s="143"/>
      <c r="L37" s="102"/>
      <c r="M37" s="1853"/>
    </row>
    <row r="38" spans="1:13" s="1777" customFormat="1" ht="58.5" customHeight="1">
      <c r="A38" s="738">
        <v>34</v>
      </c>
      <c r="B38" s="102"/>
      <c r="C38" s="1148"/>
      <c r="D38" s="109"/>
      <c r="E38" s="102"/>
      <c r="F38" s="109"/>
      <c r="G38" s="109"/>
      <c r="H38" s="109"/>
      <c r="I38" s="109"/>
      <c r="J38" s="143"/>
      <c r="K38" s="143"/>
      <c r="L38" s="102"/>
      <c r="M38" s="1853"/>
    </row>
    <row r="39" spans="1:13" s="1623" customFormat="1" ht="58.5" customHeight="1">
      <c r="A39" s="1344">
        <v>35</v>
      </c>
      <c r="B39" s="144"/>
      <c r="C39" s="2070"/>
      <c r="D39" s="111"/>
      <c r="E39" s="144"/>
      <c r="F39" s="111"/>
      <c r="G39" s="111"/>
      <c r="H39" s="111"/>
      <c r="I39" s="111"/>
      <c r="J39" s="1622"/>
      <c r="K39" s="1622"/>
      <c r="L39" s="144"/>
      <c r="M39" s="1924"/>
    </row>
    <row r="40" spans="1:13" s="1777" customFormat="1" ht="58.5" customHeight="1">
      <c r="A40" s="738">
        <v>36</v>
      </c>
      <c r="B40" s="102"/>
      <c r="C40" s="1148"/>
      <c r="D40" s="109"/>
      <c r="E40" s="102"/>
      <c r="F40" s="109"/>
      <c r="G40" s="109"/>
      <c r="H40" s="109"/>
      <c r="I40" s="109"/>
      <c r="J40" s="143"/>
      <c r="K40" s="143"/>
      <c r="L40" s="102"/>
      <c r="M40" s="1853"/>
    </row>
    <row r="41" spans="1:13" s="1777" customFormat="1" ht="58.5" customHeight="1">
      <c r="A41" s="738">
        <v>37</v>
      </c>
      <c r="B41" s="102"/>
      <c r="C41" s="1148"/>
      <c r="D41" s="109"/>
      <c r="E41" s="102"/>
      <c r="F41" s="109"/>
      <c r="G41" s="109"/>
      <c r="H41" s="109"/>
      <c r="I41" s="109"/>
      <c r="J41" s="143"/>
      <c r="K41" s="143"/>
      <c r="L41" s="102"/>
      <c r="M41" s="1853"/>
    </row>
    <row r="42" spans="1:13" s="1777" customFormat="1" ht="58.5" customHeight="1">
      <c r="A42" s="738">
        <v>38</v>
      </c>
      <c r="B42" s="102"/>
      <c r="C42" s="1167"/>
      <c r="D42" s="109"/>
      <c r="E42" s="102"/>
      <c r="F42" s="109"/>
      <c r="G42" s="109"/>
      <c r="H42" s="109"/>
      <c r="I42" s="109"/>
      <c r="J42" s="143"/>
      <c r="K42" s="143"/>
      <c r="L42" s="102"/>
      <c r="M42" s="1853"/>
    </row>
    <row r="43" spans="1:13" s="1777" customFormat="1" ht="58.5" customHeight="1">
      <c r="A43" s="738">
        <v>39</v>
      </c>
      <c r="B43" s="102"/>
      <c r="C43" s="1167"/>
      <c r="D43" s="109"/>
      <c r="E43" s="102"/>
      <c r="F43" s="109"/>
      <c r="G43" s="109"/>
      <c r="H43" s="109"/>
      <c r="I43" s="109"/>
      <c r="J43" s="143"/>
      <c r="K43" s="143"/>
      <c r="L43" s="102"/>
      <c r="M43" s="1853"/>
    </row>
    <row r="44" spans="1:13" s="1777" customFormat="1" ht="58.5" customHeight="1">
      <c r="A44" s="738">
        <v>40</v>
      </c>
      <c r="B44" s="102"/>
      <c r="C44" s="1167"/>
      <c r="D44" s="109"/>
      <c r="E44" s="102"/>
      <c r="F44" s="109"/>
      <c r="G44" s="109"/>
      <c r="H44" s="109"/>
      <c r="I44" s="109"/>
      <c r="J44" s="143"/>
      <c r="K44" s="143"/>
      <c r="L44" s="102"/>
      <c r="M44" s="1853"/>
    </row>
    <row r="45" spans="1:13" s="1777" customFormat="1" ht="58.5" customHeight="1">
      <c r="A45" s="738">
        <v>41</v>
      </c>
      <c r="B45" s="102"/>
      <c r="C45" s="1167"/>
      <c r="D45" s="109"/>
      <c r="E45" s="102"/>
      <c r="F45" s="109"/>
      <c r="G45" s="109"/>
      <c r="H45" s="109"/>
      <c r="I45" s="109"/>
      <c r="J45" s="143"/>
      <c r="K45" s="143"/>
      <c r="L45" s="102"/>
      <c r="M45" s="1853"/>
    </row>
    <row r="46" spans="1:13" s="1777" customFormat="1" ht="58.5" customHeight="1">
      <c r="A46" s="738">
        <v>42</v>
      </c>
      <c r="B46" s="102"/>
      <c r="C46" s="1167"/>
      <c r="D46" s="109"/>
      <c r="E46" s="102"/>
      <c r="F46" s="109"/>
      <c r="G46" s="109"/>
      <c r="H46" s="109"/>
      <c r="I46" s="109"/>
      <c r="J46" s="143"/>
      <c r="K46" s="143"/>
      <c r="L46" s="102"/>
      <c r="M46" s="1853"/>
    </row>
    <row r="47" spans="1:13" s="1777" customFormat="1" ht="58.5" customHeight="1">
      <c r="A47" s="738">
        <v>43</v>
      </c>
      <c r="B47" s="102"/>
      <c r="C47" s="1167"/>
      <c r="D47" s="109"/>
      <c r="E47" s="102"/>
      <c r="F47" s="109"/>
      <c r="G47" s="109"/>
      <c r="H47" s="109"/>
      <c r="I47" s="109"/>
      <c r="J47" s="143"/>
      <c r="K47" s="143"/>
      <c r="L47" s="102"/>
      <c r="M47" s="1853"/>
    </row>
    <row r="48" spans="1:13" s="1777" customFormat="1" ht="58.5" customHeight="1">
      <c r="A48" s="738">
        <v>44</v>
      </c>
      <c r="B48" s="102"/>
      <c r="C48" s="1167"/>
      <c r="D48" s="109"/>
      <c r="E48" s="102"/>
      <c r="F48" s="109"/>
      <c r="G48" s="109"/>
      <c r="H48" s="109"/>
      <c r="I48" s="109"/>
      <c r="J48" s="143"/>
      <c r="K48" s="143"/>
      <c r="L48" s="102"/>
      <c r="M48" s="1853"/>
    </row>
    <row r="49" spans="1:13" s="1777" customFormat="1" ht="58.5" customHeight="1">
      <c r="A49" s="738">
        <v>45</v>
      </c>
      <c r="B49" s="102"/>
      <c r="C49" s="1167"/>
      <c r="D49" s="109"/>
      <c r="E49" s="102"/>
      <c r="F49" s="109"/>
      <c r="G49" s="109"/>
      <c r="H49" s="109"/>
      <c r="I49" s="109"/>
      <c r="J49" s="143"/>
      <c r="K49" s="143"/>
      <c r="L49" s="102"/>
      <c r="M49" s="1853"/>
    </row>
    <row r="50" spans="1:13" s="1777" customFormat="1" ht="58.5" customHeight="1">
      <c r="A50" s="738">
        <v>46</v>
      </c>
      <c r="B50" s="102"/>
      <c r="C50" s="1167"/>
      <c r="D50" s="109"/>
      <c r="E50" s="102"/>
      <c r="F50" s="109"/>
      <c r="G50" s="109"/>
      <c r="H50" s="109"/>
      <c r="I50" s="109"/>
      <c r="J50" s="143"/>
      <c r="K50" s="143"/>
      <c r="L50" s="102"/>
      <c r="M50" s="1853"/>
    </row>
    <row r="51" spans="1:13" s="1777" customFormat="1" ht="58.5" customHeight="1">
      <c r="A51" s="738">
        <v>47</v>
      </c>
      <c r="B51" s="102"/>
      <c r="C51" s="1167"/>
      <c r="D51" s="109"/>
      <c r="E51" s="102"/>
      <c r="F51" s="109"/>
      <c r="G51" s="109"/>
      <c r="H51" s="109"/>
      <c r="I51" s="109"/>
      <c r="J51" s="143"/>
      <c r="K51" s="143"/>
      <c r="L51" s="102"/>
      <c r="M51" s="1853"/>
    </row>
    <row r="52" spans="1:13" s="1777" customFormat="1" ht="58.5" customHeight="1">
      <c r="A52" s="738">
        <v>48</v>
      </c>
      <c r="B52" s="102"/>
      <c r="C52" s="1167"/>
      <c r="D52" s="109"/>
      <c r="E52" s="102"/>
      <c r="F52" s="109"/>
      <c r="G52" s="109"/>
      <c r="H52" s="109"/>
      <c r="I52" s="109"/>
      <c r="J52" s="143"/>
      <c r="K52" s="143"/>
      <c r="L52" s="102"/>
      <c r="M52" s="1853"/>
    </row>
    <row r="53" spans="1:13" s="1777" customFormat="1" ht="58.5" customHeight="1">
      <c r="A53" s="738">
        <v>49</v>
      </c>
      <c r="B53" s="102"/>
      <c r="C53" s="1167"/>
      <c r="D53" s="109"/>
      <c r="E53" s="102"/>
      <c r="F53" s="109"/>
      <c r="G53" s="109"/>
      <c r="H53" s="109"/>
      <c r="I53" s="109"/>
      <c r="J53" s="143"/>
      <c r="K53" s="143"/>
      <c r="L53" s="102"/>
      <c r="M53" s="1853"/>
    </row>
    <row r="54" spans="1:13" s="1777" customFormat="1" ht="58.5" customHeight="1">
      <c r="A54" s="738">
        <v>50</v>
      </c>
      <c r="B54" s="102"/>
      <c r="C54" s="1167"/>
      <c r="D54" s="109"/>
      <c r="E54" s="102"/>
      <c r="F54" s="109"/>
      <c r="G54" s="109"/>
      <c r="H54" s="109"/>
      <c r="I54" s="109"/>
      <c r="J54" s="143"/>
      <c r="K54" s="143"/>
      <c r="L54" s="102"/>
      <c r="M54" s="1853"/>
    </row>
    <row r="55" spans="1:13" s="1777" customFormat="1" ht="58.5" customHeight="1">
      <c r="A55" s="738"/>
      <c r="B55" s="102"/>
      <c r="C55" s="1167"/>
      <c r="D55" s="109"/>
      <c r="E55" s="102"/>
      <c r="F55" s="109"/>
      <c r="G55" s="109"/>
      <c r="H55" s="109"/>
      <c r="I55" s="109"/>
      <c r="J55" s="143"/>
      <c r="K55" s="143"/>
      <c r="L55" s="102"/>
      <c r="M55" s="1853"/>
    </row>
    <row r="56" spans="1:13" s="1777" customFormat="1" ht="58.5" customHeight="1">
      <c r="A56" s="738"/>
      <c r="B56" s="102"/>
      <c r="C56" s="1167"/>
      <c r="D56" s="109"/>
      <c r="E56" s="102"/>
      <c r="F56" s="109"/>
      <c r="G56" s="109"/>
      <c r="H56" s="109"/>
      <c r="I56" s="109"/>
      <c r="J56" s="143"/>
      <c r="K56" s="143"/>
      <c r="L56" s="102"/>
      <c r="M56" s="1853"/>
    </row>
    <row r="57" spans="1:13" s="1777" customFormat="1" ht="58.5" customHeight="1">
      <c r="A57" s="738"/>
      <c r="B57" s="102"/>
      <c r="C57" s="1167"/>
      <c r="D57" s="109"/>
      <c r="E57" s="102"/>
      <c r="F57" s="109"/>
      <c r="G57" s="109"/>
      <c r="H57" s="109"/>
      <c r="I57" s="109"/>
      <c r="J57" s="143"/>
      <c r="K57" s="143"/>
      <c r="L57" s="102"/>
      <c r="M57" s="1853"/>
    </row>
    <row r="58" spans="1:13" s="1777" customFormat="1" ht="58.5" customHeight="1">
      <c r="A58" s="738"/>
      <c r="B58" s="102"/>
      <c r="C58" s="1167"/>
      <c r="D58" s="109"/>
      <c r="E58" s="102"/>
      <c r="F58" s="109"/>
      <c r="G58" s="109"/>
      <c r="H58" s="109"/>
      <c r="I58" s="109"/>
      <c r="J58" s="143"/>
      <c r="K58" s="143"/>
      <c r="L58" s="102"/>
      <c r="M58" s="1853"/>
    </row>
    <row r="59" spans="1:13" s="1777" customFormat="1" ht="58.5" customHeight="1">
      <c r="A59" s="738"/>
      <c r="B59" s="102"/>
      <c r="C59" s="1167"/>
      <c r="D59" s="109"/>
      <c r="E59" s="102"/>
      <c r="F59" s="109"/>
      <c r="G59" s="109"/>
      <c r="H59" s="109"/>
      <c r="I59" s="109"/>
      <c r="J59" s="143"/>
      <c r="K59" s="143"/>
      <c r="L59" s="102"/>
      <c r="M59" s="1853"/>
    </row>
    <row r="60" spans="1:13" s="1777" customFormat="1" ht="58.5" customHeight="1">
      <c r="A60" s="738"/>
      <c r="B60" s="102"/>
      <c r="C60" s="1167"/>
      <c r="D60" s="109"/>
      <c r="E60" s="102"/>
      <c r="F60" s="109"/>
      <c r="G60" s="109"/>
      <c r="H60" s="109"/>
      <c r="I60" s="109"/>
      <c r="J60" s="143"/>
      <c r="K60" s="143"/>
      <c r="L60" s="102"/>
      <c r="M60" s="1853"/>
    </row>
  </sheetData>
  <autoFilter ref="A4:P31" xr:uid="{00000000-0009-0000-0000-000001000000}"/>
  <mergeCells count="3">
    <mergeCell ref="C1:K1"/>
    <mergeCell ref="A2:K2"/>
    <mergeCell ref="A3:B3"/>
  </mergeCells>
  <conditionalFormatting sqref="A1:A3">
    <cfRule type="duplicateValues" dxfId="395" priority="5"/>
  </conditionalFormatting>
  <conditionalFormatting sqref="A4">
    <cfRule type="duplicateValues" dxfId="394" priority="1"/>
  </conditionalFormatting>
  <conditionalFormatting sqref="B4">
    <cfRule type="duplicateValues" dxfId="393" priority="2"/>
    <cfRule type="duplicateValues" dxfId="392" priority="3"/>
    <cfRule type="duplicateValues" dxfId="391" priority="4"/>
  </conditionalFormatting>
  <pageMargins left="0.7" right="0.7" top="0.75" bottom="0.75" header="0.3" footer="0.3"/>
  <pageSetup paperSize="9" scale="40" orientation="landscape"/>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DCCDC9-E55C-4022-8EA3-2B314FD2DA31}">
  <sheetPr>
    <tabColor theme="6" tint="0.39997558519241921"/>
    <pageSetUpPr fitToPage="1"/>
  </sheetPr>
  <dimension ref="A1:DE60"/>
  <sheetViews>
    <sheetView topLeftCell="A2" zoomScale="70" zoomScaleNormal="70" workbookViewId="0">
      <pane xSplit="3" ySplit="3" topLeftCell="D27" activePane="bottomRight" state="frozen"/>
      <selection pane="topRight" activeCell="E39" sqref="E39"/>
      <selection pane="bottomLeft" activeCell="E39" sqref="E39"/>
      <selection pane="bottomRight" activeCell="E39" sqref="E39"/>
    </sheetView>
  </sheetViews>
  <sheetFormatPr defaultColWidth="32.140625" defaultRowHeight="58.5" customHeight="1"/>
  <cols>
    <col min="1" max="1" width="7.42578125" style="359" customWidth="1"/>
    <col min="2" max="2" width="32.140625" style="1" customWidth="1"/>
    <col min="3" max="3" width="17.28515625" style="1138" customWidth="1"/>
    <col min="4" max="4" width="24.42578125" style="271" customWidth="1"/>
    <col min="5" max="5" width="24" style="1" customWidth="1"/>
    <col min="6" max="6" width="22.28515625" style="271" customWidth="1"/>
    <col min="7" max="7" width="28.5703125" style="271" customWidth="1"/>
    <col min="8" max="8" width="20.85546875" style="271" customWidth="1"/>
    <col min="9" max="9" width="26.7109375" style="271" customWidth="1"/>
    <col min="10" max="10" width="114.42578125" style="9" customWidth="1"/>
    <col min="11" max="11" width="52.7109375" style="9" customWidth="1"/>
    <col min="12" max="12" width="22.28515625" style="1" customWidth="1"/>
    <col min="13" max="13" width="18.7109375" style="763" customWidth="1"/>
    <col min="14" max="14" width="35.42578125" style="3" customWidth="1"/>
    <col min="15" max="16384" width="32.140625" style="3"/>
  </cols>
  <sheetData>
    <row r="1" spans="1:14" ht="58.5" customHeight="1">
      <c r="B1" s="10"/>
      <c r="C1" s="3624"/>
      <c r="D1" s="3624"/>
      <c r="E1" s="3624"/>
      <c r="F1" s="3624"/>
      <c r="G1" s="3624"/>
      <c r="H1" s="3624"/>
      <c r="I1" s="3624"/>
      <c r="J1" s="3624"/>
      <c r="K1" s="3624"/>
      <c r="M1" s="1848"/>
    </row>
    <row r="2" spans="1:14" ht="63" customHeight="1">
      <c r="A2" s="3717" t="s">
        <v>4818</v>
      </c>
      <c r="B2" s="3718"/>
      <c r="C2" s="3718"/>
      <c r="D2" s="3718"/>
      <c r="E2" s="3718"/>
      <c r="F2" s="3718"/>
      <c r="G2" s="3718"/>
      <c r="H2" s="3718"/>
      <c r="I2" s="3718"/>
      <c r="J2" s="3718"/>
      <c r="K2" s="3719"/>
      <c r="L2" s="1905"/>
      <c r="M2" s="1905"/>
      <c r="N2" s="287"/>
    </row>
    <row r="3" spans="1:14" ht="37.5" customHeight="1">
      <c r="A3" s="3707" t="s">
        <v>3388</v>
      </c>
      <c r="B3" s="3707"/>
      <c r="C3" s="1950">
        <f>SUBTOTAL(9,C5:C557)</f>
        <v>196656</v>
      </c>
      <c r="D3" s="1932"/>
      <c r="E3" s="1951"/>
      <c r="F3" s="1932"/>
      <c r="G3" s="1932"/>
      <c r="H3" s="1932"/>
      <c r="I3" s="1932"/>
      <c r="J3" s="1934">
        <f ca="1">TODAY()</f>
        <v>45960</v>
      </c>
      <c r="K3" s="1622"/>
      <c r="L3" s="1952"/>
      <c r="M3" s="1951"/>
      <c r="N3" s="287"/>
    </row>
    <row r="4" spans="1:14" s="1149" customFormat="1" ht="53.25" customHeight="1">
      <c r="A4" s="1978" t="s">
        <v>1</v>
      </c>
      <c r="B4" s="1818" t="s">
        <v>2</v>
      </c>
      <c r="C4" s="1948" t="s">
        <v>3</v>
      </c>
      <c r="D4" s="1818" t="s">
        <v>3389</v>
      </c>
      <c r="E4" s="1818" t="s">
        <v>5</v>
      </c>
      <c r="F4" s="1818" t="s">
        <v>3390</v>
      </c>
      <c r="G4" s="1818" t="s">
        <v>7</v>
      </c>
      <c r="H4" s="1970" t="s">
        <v>8</v>
      </c>
      <c r="I4" s="1818" t="s">
        <v>9</v>
      </c>
      <c r="J4" s="1818"/>
      <c r="K4" s="1818" t="s">
        <v>11</v>
      </c>
      <c r="L4" s="1818" t="s">
        <v>12</v>
      </c>
      <c r="M4" s="1949" t="s">
        <v>13</v>
      </c>
      <c r="N4" s="1820" t="e">
        <f>SUM(#REF!)</f>
        <v>#REF!</v>
      </c>
    </row>
    <row r="5" spans="1:14" s="1548" customFormat="1" ht="104.25" customHeight="1">
      <c r="A5" s="1542" cm="1">
        <f t="array" ref="A5:A54">_xlfn.SEQUENCE(50,1,1,)</f>
        <v>1</v>
      </c>
      <c r="B5" s="1495" t="s">
        <v>52</v>
      </c>
      <c r="C5" s="2056">
        <v>4620</v>
      </c>
      <c r="D5" s="1495" t="s">
        <v>4819</v>
      </c>
      <c r="E5" s="1626" t="s">
        <v>16</v>
      </c>
      <c r="F5" s="1495" t="s">
        <v>4820</v>
      </c>
      <c r="G5" s="1773"/>
      <c r="H5" s="1495" t="s">
        <v>19</v>
      </c>
      <c r="I5" s="1495" t="s">
        <v>172</v>
      </c>
      <c r="J5" s="2155" t="s">
        <v>4821</v>
      </c>
      <c r="K5" s="1770" t="s">
        <v>4822</v>
      </c>
      <c r="L5" s="1495"/>
      <c r="M5" s="1790"/>
    </row>
    <row r="6" spans="1:14" s="1945" customFormat="1" ht="117.75" customHeight="1">
      <c r="A6" s="1667">
        <v>2</v>
      </c>
      <c r="B6" s="1495" t="s">
        <v>82</v>
      </c>
      <c r="C6" s="1901">
        <v>4230</v>
      </c>
      <c r="D6" s="1495" t="s">
        <v>4823</v>
      </c>
      <c r="E6" s="1493" t="s">
        <v>84</v>
      </c>
      <c r="F6" s="1900" t="s">
        <v>4824</v>
      </c>
      <c r="G6" s="2055"/>
      <c r="H6" s="1568" t="s">
        <v>19</v>
      </c>
      <c r="I6" s="1495" t="s">
        <v>517</v>
      </c>
      <c r="J6" s="1496" t="s">
        <v>4825</v>
      </c>
      <c r="K6" s="2156" t="s">
        <v>4826</v>
      </c>
      <c r="L6" s="1493"/>
      <c r="M6" s="1790"/>
      <c r="N6" s="1548"/>
    </row>
    <row r="7" spans="1:14" s="1548" customFormat="1" ht="72" customHeight="1">
      <c r="A7" s="1542">
        <v>3</v>
      </c>
      <c r="B7" s="1495" t="s">
        <v>3715</v>
      </c>
      <c r="C7" s="1901">
        <v>4450</v>
      </c>
      <c r="D7" s="1495" t="s">
        <v>4827</v>
      </c>
      <c r="E7" s="1493" t="s">
        <v>84</v>
      </c>
      <c r="F7" s="1495" t="s">
        <v>4828</v>
      </c>
      <c r="G7" s="1748"/>
      <c r="H7" s="1495" t="s">
        <v>19</v>
      </c>
      <c r="I7" s="1495" t="s">
        <v>517</v>
      </c>
      <c r="J7" s="1600" t="s">
        <v>4829</v>
      </c>
      <c r="K7" s="2039" t="s">
        <v>4830</v>
      </c>
      <c r="L7" s="1493"/>
      <c r="M7" s="1790"/>
    </row>
    <row r="8" spans="1:14" s="1945" customFormat="1" ht="72" customHeight="1">
      <c r="A8" s="1917">
        <v>4</v>
      </c>
      <c r="B8" s="1875" t="s">
        <v>4831</v>
      </c>
      <c r="C8" s="1918">
        <v>4300</v>
      </c>
      <c r="D8" s="1875" t="s">
        <v>4832</v>
      </c>
      <c r="E8" s="1869" t="s">
        <v>89</v>
      </c>
      <c r="F8" s="1875" t="s">
        <v>4833</v>
      </c>
      <c r="G8" s="2057"/>
      <c r="H8" s="1875" t="s">
        <v>19</v>
      </c>
      <c r="I8" s="1875" t="s">
        <v>517</v>
      </c>
      <c r="J8" s="2037" t="s">
        <v>4834</v>
      </c>
      <c r="K8" s="2058" t="s">
        <v>4835</v>
      </c>
      <c r="L8" s="1869"/>
      <c r="M8" s="1867"/>
    </row>
    <row r="9" spans="1:14" s="1559" customFormat="1" ht="408.75" customHeight="1">
      <c r="A9" s="1553">
        <v>5</v>
      </c>
      <c r="B9" s="1543" t="s">
        <v>3109</v>
      </c>
      <c r="C9" s="1913">
        <v>18500</v>
      </c>
      <c r="D9" s="1543" t="s">
        <v>4836</v>
      </c>
      <c r="E9" s="1545" t="s">
        <v>3401</v>
      </c>
      <c r="F9" s="1543" t="s">
        <v>4837</v>
      </c>
      <c r="G9" s="2051"/>
      <c r="H9" s="1543" t="s">
        <v>19</v>
      </c>
      <c r="I9" s="1543" t="s">
        <v>517</v>
      </c>
      <c r="J9" s="1605" t="s">
        <v>4838</v>
      </c>
      <c r="K9" s="2059" t="s">
        <v>4839</v>
      </c>
      <c r="L9" s="1605"/>
      <c r="M9" s="1852"/>
    </row>
    <row r="10" spans="1:14" s="1548" customFormat="1" ht="93.75" customHeight="1">
      <c r="A10" s="1542">
        <v>6</v>
      </c>
      <c r="B10" s="1495" t="s">
        <v>71</v>
      </c>
      <c r="C10" s="1901">
        <v>3720</v>
      </c>
      <c r="D10" s="1495" t="s">
        <v>4836</v>
      </c>
      <c r="E10" s="1493" t="s">
        <v>84</v>
      </c>
      <c r="F10" s="1495" t="s">
        <v>4840</v>
      </c>
      <c r="G10" s="1748"/>
      <c r="H10" s="1495" t="s">
        <v>19</v>
      </c>
      <c r="I10" s="1495" t="s">
        <v>517</v>
      </c>
      <c r="J10" s="1496" t="s">
        <v>4841</v>
      </c>
      <c r="K10" s="2060" t="s">
        <v>4830</v>
      </c>
      <c r="L10" s="1493"/>
      <c r="M10" s="1790"/>
    </row>
    <row r="11" spans="1:14" s="1559" customFormat="1" ht="93.75" customHeight="1">
      <c r="A11" s="1542">
        <v>7</v>
      </c>
      <c r="B11" s="1495" t="s">
        <v>3460</v>
      </c>
      <c r="C11" s="1901">
        <v>4000</v>
      </c>
      <c r="D11" s="1495" t="s">
        <v>4842</v>
      </c>
      <c r="E11" s="1493" t="s">
        <v>61</v>
      </c>
      <c r="F11" s="1495" t="s">
        <v>4843</v>
      </c>
      <c r="G11" s="1748"/>
      <c r="H11" s="1495" t="s">
        <v>19</v>
      </c>
      <c r="I11" s="1851" t="s">
        <v>517</v>
      </c>
      <c r="J11" s="1600" t="s">
        <v>4844</v>
      </c>
      <c r="K11" s="1600" t="s">
        <v>4845</v>
      </c>
      <c r="L11" s="1493"/>
      <c r="M11" s="1790"/>
      <c r="N11" s="1548"/>
    </row>
    <row r="12" spans="1:14" s="1559" customFormat="1" ht="257.25" customHeight="1">
      <c r="A12" s="1553">
        <v>8</v>
      </c>
      <c r="B12" s="1543" t="s">
        <v>3629</v>
      </c>
      <c r="C12" s="1913">
        <v>24000</v>
      </c>
      <c r="D12" s="1543" t="s">
        <v>4846</v>
      </c>
      <c r="E12" s="1545" t="s">
        <v>3416</v>
      </c>
      <c r="F12" s="1543" t="s">
        <v>4847</v>
      </c>
      <c r="G12" s="2051"/>
      <c r="H12" s="1543" t="s">
        <v>19</v>
      </c>
      <c r="I12" s="1543" t="s">
        <v>114</v>
      </c>
      <c r="J12" s="1605" t="s">
        <v>4848</v>
      </c>
      <c r="K12" s="1605"/>
      <c r="L12" s="1545"/>
      <c r="M12" s="1852"/>
    </row>
    <row r="13" spans="1:14" s="1559" customFormat="1" ht="78" customHeight="1">
      <c r="A13" s="1553">
        <v>9</v>
      </c>
      <c r="B13" s="1543" t="s">
        <v>193</v>
      </c>
      <c r="C13" s="1913">
        <v>8000</v>
      </c>
      <c r="D13" s="1543" t="s">
        <v>4849</v>
      </c>
      <c r="E13" s="1545" t="s">
        <v>3401</v>
      </c>
      <c r="F13" s="1543" t="s">
        <v>4850</v>
      </c>
      <c r="G13" s="2051"/>
      <c r="H13" s="1543" t="s">
        <v>19</v>
      </c>
      <c r="I13" s="1543" t="s">
        <v>253</v>
      </c>
      <c r="J13" s="1605" t="s">
        <v>4851</v>
      </c>
      <c r="K13" s="2062" t="s">
        <v>4852</v>
      </c>
      <c r="L13" s="1545"/>
      <c r="M13" s="1852"/>
    </row>
    <row r="14" spans="1:14" s="1548" customFormat="1" ht="143.25" customHeight="1">
      <c r="A14" s="1542">
        <v>10</v>
      </c>
      <c r="B14" s="1495" t="s">
        <v>3856</v>
      </c>
      <c r="C14" s="1901">
        <v>3950</v>
      </c>
      <c r="D14" s="1495" t="s">
        <v>4853</v>
      </c>
      <c r="E14" s="1493" t="s">
        <v>54</v>
      </c>
      <c r="F14" s="1495" t="s">
        <v>4854</v>
      </c>
      <c r="G14" s="1748"/>
      <c r="H14" s="1495" t="s">
        <v>19</v>
      </c>
      <c r="I14" s="1495" t="s">
        <v>172</v>
      </c>
      <c r="J14" s="1600" t="s">
        <v>4855</v>
      </c>
      <c r="K14" s="2060" t="s">
        <v>4830</v>
      </c>
      <c r="L14" s="1493"/>
      <c r="M14" s="1790"/>
    </row>
    <row r="15" spans="1:14" s="2035" customFormat="1" ht="125.25" customHeight="1">
      <c r="A15" s="1917">
        <v>11</v>
      </c>
      <c r="B15" s="1875" t="s">
        <v>3699</v>
      </c>
      <c r="C15" s="1918">
        <v>4370</v>
      </c>
      <c r="D15" s="1875" t="s">
        <v>4856</v>
      </c>
      <c r="E15" s="1869" t="s">
        <v>61</v>
      </c>
      <c r="F15" s="1875" t="s">
        <v>4857</v>
      </c>
      <c r="G15" s="2036"/>
      <c r="H15" s="1872" t="s">
        <v>19</v>
      </c>
      <c r="I15" s="1851" t="s">
        <v>517</v>
      </c>
      <c r="J15" s="2037" t="s">
        <v>4858</v>
      </c>
      <c r="K15" s="2061" t="s">
        <v>4830</v>
      </c>
      <c r="L15" s="1869"/>
      <c r="M15" s="1867"/>
      <c r="N15" s="1945"/>
    </row>
    <row r="16" spans="1:14" s="1958" customFormat="1" ht="168" customHeight="1">
      <c r="A16" s="1542">
        <v>12</v>
      </c>
      <c r="B16" s="1495" t="s">
        <v>4859</v>
      </c>
      <c r="C16" s="1901">
        <v>25000</v>
      </c>
      <c r="D16" s="1495" t="s">
        <v>4860</v>
      </c>
      <c r="E16" s="1493" t="s">
        <v>3401</v>
      </c>
      <c r="F16" s="1495" t="s">
        <v>4861</v>
      </c>
      <c r="G16" s="1780" t="s">
        <v>4862</v>
      </c>
      <c r="H16" s="1568" t="s">
        <v>19</v>
      </c>
      <c r="I16" s="1495" t="s">
        <v>172</v>
      </c>
      <c r="J16" s="1598" t="s">
        <v>4863</v>
      </c>
      <c r="K16" s="2157"/>
      <c r="L16" s="1493"/>
      <c r="M16" s="1790"/>
      <c r="N16" s="1548"/>
    </row>
    <row r="17" spans="1:109" s="1883" customFormat="1" ht="103.5" customHeight="1">
      <c r="A17" s="1542">
        <v>13</v>
      </c>
      <c r="B17" s="1495" t="s">
        <v>52</v>
      </c>
      <c r="C17" s="1901">
        <v>4620</v>
      </c>
      <c r="D17" s="1495" t="s">
        <v>4864</v>
      </c>
      <c r="E17" s="1493" t="s">
        <v>16</v>
      </c>
      <c r="F17" s="1495" t="s">
        <v>4865</v>
      </c>
      <c r="G17" s="1780"/>
      <c r="H17" s="1568" t="s">
        <v>19</v>
      </c>
      <c r="I17" s="1495" t="s">
        <v>517</v>
      </c>
      <c r="J17" s="1598" t="s">
        <v>4866</v>
      </c>
      <c r="K17" s="2157" t="s">
        <v>4830</v>
      </c>
      <c r="L17" s="1493"/>
      <c r="M17" s="1790"/>
      <c r="N17" s="1548"/>
    </row>
    <row r="18" spans="1:109" s="1945" customFormat="1" ht="74.25" customHeight="1">
      <c r="A18" s="1542">
        <v>14</v>
      </c>
      <c r="B18" s="1495" t="s">
        <v>2915</v>
      </c>
      <c r="C18" s="1901">
        <v>3300</v>
      </c>
      <c r="D18" s="1495" t="s">
        <v>4867</v>
      </c>
      <c r="E18" s="1493" t="s">
        <v>89</v>
      </c>
      <c r="F18" s="1495" t="s">
        <v>4868</v>
      </c>
      <c r="G18" s="1780"/>
      <c r="H18" s="1568" t="s">
        <v>19</v>
      </c>
      <c r="I18" s="1495" t="s">
        <v>172</v>
      </c>
      <c r="J18" s="1598" t="s">
        <v>4869</v>
      </c>
      <c r="K18" s="2157" t="s">
        <v>4870</v>
      </c>
      <c r="L18" s="1493"/>
      <c r="M18" s="1790"/>
      <c r="N18" s="1548"/>
    </row>
    <row r="19" spans="1:109" s="2035" customFormat="1" ht="74.25" customHeight="1">
      <c r="A19" s="1542">
        <v>15</v>
      </c>
      <c r="B19" s="1543" t="s">
        <v>2906</v>
      </c>
      <c r="C19" s="1901">
        <v>3500</v>
      </c>
      <c r="D19" s="1495" t="s">
        <v>4871</v>
      </c>
      <c r="E19" s="1493" t="s">
        <v>61</v>
      </c>
      <c r="F19" s="1495" t="s">
        <v>4872</v>
      </c>
      <c r="G19" s="1780"/>
      <c r="H19" s="1568" t="s">
        <v>19</v>
      </c>
      <c r="I19" s="1495" t="s">
        <v>20</v>
      </c>
      <c r="J19" s="1598" t="s">
        <v>4873</v>
      </c>
      <c r="K19" s="2157"/>
      <c r="L19" s="1493"/>
      <c r="M19" s="1790"/>
      <c r="N19" s="1548"/>
    </row>
    <row r="20" spans="1:109" s="2012" customFormat="1" ht="300" customHeight="1">
      <c r="A20" s="1542">
        <v>16</v>
      </c>
      <c r="B20" s="1543" t="s">
        <v>3109</v>
      </c>
      <c r="C20" s="1901">
        <v>18500</v>
      </c>
      <c r="D20" s="1495" t="s">
        <v>4874</v>
      </c>
      <c r="E20" s="1493" t="s">
        <v>3401</v>
      </c>
      <c r="F20" s="1495" t="s">
        <v>4875</v>
      </c>
      <c r="G20" s="1780" t="s">
        <v>4876</v>
      </c>
      <c r="H20" s="1568" t="s">
        <v>19</v>
      </c>
      <c r="I20" s="1495" t="s">
        <v>517</v>
      </c>
      <c r="J20" s="1598" t="s">
        <v>4877</v>
      </c>
      <c r="K20" s="2157" t="s">
        <v>4878</v>
      </c>
      <c r="L20" s="1493"/>
      <c r="M20" s="1790"/>
      <c r="N20" s="1548"/>
    </row>
    <row r="21" spans="1:109" s="1777" customFormat="1" ht="199.5" customHeight="1">
      <c r="A21" s="1542">
        <v>17</v>
      </c>
      <c r="B21" s="1543" t="s">
        <v>3507</v>
      </c>
      <c r="C21" s="1901">
        <v>4400</v>
      </c>
      <c r="D21" s="1495" t="s">
        <v>4879</v>
      </c>
      <c r="E21" s="1493" t="s">
        <v>61</v>
      </c>
      <c r="F21" s="1495" t="s">
        <v>4880</v>
      </c>
      <c r="G21" s="1780" t="s">
        <v>4881</v>
      </c>
      <c r="H21" s="1568" t="s">
        <v>19</v>
      </c>
      <c r="I21" s="1495" t="s">
        <v>172</v>
      </c>
      <c r="J21" s="1598" t="s">
        <v>4882</v>
      </c>
      <c r="K21" s="2157" t="s">
        <v>4883</v>
      </c>
      <c r="L21" s="1493"/>
      <c r="M21" s="1790"/>
      <c r="N21" s="1548"/>
    </row>
    <row r="22" spans="1:109" s="1998" customFormat="1" ht="127.5" customHeight="1">
      <c r="A22" s="1542">
        <v>18</v>
      </c>
      <c r="B22" s="1543" t="s">
        <v>71</v>
      </c>
      <c r="C22" s="1901">
        <v>3720</v>
      </c>
      <c r="D22" s="1495" t="s">
        <v>4879</v>
      </c>
      <c r="E22" s="1493" t="s">
        <v>84</v>
      </c>
      <c r="F22" s="1495" t="s">
        <v>4884</v>
      </c>
      <c r="G22" s="1780" t="s">
        <v>4881</v>
      </c>
      <c r="H22" s="1568" t="s">
        <v>19</v>
      </c>
      <c r="I22" s="1495" t="s">
        <v>517</v>
      </c>
      <c r="J22" s="1598" t="s">
        <v>4885</v>
      </c>
      <c r="K22" s="2157" t="s">
        <v>4886</v>
      </c>
      <c r="L22" s="1493"/>
      <c r="M22" s="1790"/>
      <c r="N22" s="1548"/>
    </row>
    <row r="23" spans="1:109" s="1880" customFormat="1" ht="101.25" customHeight="1">
      <c r="A23" s="1542">
        <v>19</v>
      </c>
      <c r="B23" s="1543" t="s">
        <v>3425</v>
      </c>
      <c r="C23" s="1901">
        <v>3726</v>
      </c>
      <c r="D23" s="1495" t="s">
        <v>4879</v>
      </c>
      <c r="E23" s="1493" t="s">
        <v>61</v>
      </c>
      <c r="F23" s="1495" t="s">
        <v>4887</v>
      </c>
      <c r="G23" s="1780" t="s">
        <v>4881</v>
      </c>
      <c r="H23" s="1568" t="s">
        <v>19</v>
      </c>
      <c r="I23" s="1495" t="s">
        <v>517</v>
      </c>
      <c r="J23" s="1598" t="s">
        <v>4888</v>
      </c>
      <c r="K23" s="2157" t="s">
        <v>4889</v>
      </c>
      <c r="L23" s="1493"/>
      <c r="M23" s="1790"/>
      <c r="N23" s="1548"/>
    </row>
    <row r="24" spans="1:109" s="1880" customFormat="1" ht="100.5" customHeight="1">
      <c r="A24" s="1667">
        <v>20</v>
      </c>
      <c r="B24" s="1495" t="s">
        <v>3469</v>
      </c>
      <c r="C24" s="2066">
        <v>4000</v>
      </c>
      <c r="D24" s="1495" t="s">
        <v>4890</v>
      </c>
      <c r="E24" s="1493" t="s">
        <v>84</v>
      </c>
      <c r="F24" s="1495" t="s">
        <v>4891</v>
      </c>
      <c r="G24" s="1780"/>
      <c r="H24" s="1568" t="s">
        <v>19</v>
      </c>
      <c r="I24" s="1495" t="s">
        <v>517</v>
      </c>
      <c r="J24" s="1598" t="s">
        <v>4892</v>
      </c>
      <c r="K24" s="2157" t="s">
        <v>4893</v>
      </c>
      <c r="L24" s="1493"/>
      <c r="M24" s="1790"/>
      <c r="N24" s="1548"/>
    </row>
    <row r="25" spans="1:109" s="2012" customFormat="1" ht="100.5" customHeight="1">
      <c r="A25" s="1667">
        <v>21</v>
      </c>
      <c r="B25" s="1495" t="s">
        <v>193</v>
      </c>
      <c r="C25" s="2066">
        <v>11500</v>
      </c>
      <c r="D25" s="1495" t="s">
        <v>4894</v>
      </c>
      <c r="E25" s="1493" t="s">
        <v>3401</v>
      </c>
      <c r="F25" s="1495" t="s">
        <v>4895</v>
      </c>
      <c r="G25" s="1780"/>
      <c r="H25" s="1568" t="s">
        <v>19</v>
      </c>
      <c r="I25" s="1495" t="s">
        <v>20</v>
      </c>
      <c r="J25" s="1598" t="s">
        <v>4896</v>
      </c>
      <c r="K25" s="2157" t="s">
        <v>4897</v>
      </c>
      <c r="L25" s="1493"/>
      <c r="M25" s="1790"/>
      <c r="N25" s="1548"/>
    </row>
    <row r="26" spans="1:109" s="1880" customFormat="1" ht="99" customHeight="1">
      <c r="A26" s="1667">
        <v>22</v>
      </c>
      <c r="B26" s="1495" t="s">
        <v>4898</v>
      </c>
      <c r="C26" s="2066">
        <v>3600</v>
      </c>
      <c r="D26" s="1495" t="s">
        <v>4899</v>
      </c>
      <c r="E26" s="1493" t="s">
        <v>89</v>
      </c>
      <c r="F26" s="1495" t="s">
        <v>4900</v>
      </c>
      <c r="G26" s="1780"/>
      <c r="H26" s="1568" t="s">
        <v>19</v>
      </c>
      <c r="I26" s="1495" t="s">
        <v>172</v>
      </c>
      <c r="J26" s="1598" t="s">
        <v>4901</v>
      </c>
      <c r="K26" s="2157" t="s">
        <v>4870</v>
      </c>
      <c r="L26" s="1493"/>
      <c r="M26" s="1790"/>
      <c r="N26" s="1548"/>
    </row>
    <row r="27" spans="1:109" s="1883" customFormat="1" ht="151.5" customHeight="1">
      <c r="A27" s="1850">
        <v>23</v>
      </c>
      <c r="B27" s="1851" t="s">
        <v>3957</v>
      </c>
      <c r="C27" s="1915">
        <v>12900</v>
      </c>
      <c r="D27" s="1851" t="s">
        <v>4902</v>
      </c>
      <c r="E27" s="1630" t="s">
        <v>3401</v>
      </c>
      <c r="F27" s="1851" t="s">
        <v>4903</v>
      </c>
      <c r="G27" s="2030"/>
      <c r="H27" s="1947" t="s">
        <v>19</v>
      </c>
      <c r="I27" s="1851" t="s">
        <v>172</v>
      </c>
      <c r="J27" s="1628" t="s">
        <v>4904</v>
      </c>
      <c r="K27" s="2067" t="s">
        <v>4905</v>
      </c>
      <c r="L27" s="1497"/>
      <c r="M27" s="1882"/>
    </row>
    <row r="28" spans="1:109" s="1883" customFormat="1" ht="96.75" customHeight="1">
      <c r="A28" s="1850">
        <v>24</v>
      </c>
      <c r="B28" s="1630" t="s">
        <v>219</v>
      </c>
      <c r="C28" s="1915">
        <v>3750</v>
      </c>
      <c r="D28" s="1851" t="s">
        <v>4906</v>
      </c>
      <c r="E28" s="1630" t="s">
        <v>61</v>
      </c>
      <c r="F28" s="1947" t="s">
        <v>4907</v>
      </c>
      <c r="G28" s="2030"/>
      <c r="H28" s="1851" t="s">
        <v>19</v>
      </c>
      <c r="I28" s="1851" t="s">
        <v>517</v>
      </c>
      <c r="J28" s="1628" t="s">
        <v>4908</v>
      </c>
      <c r="K28" s="2067" t="s">
        <v>4909</v>
      </c>
      <c r="L28" s="1630"/>
      <c r="M28" s="1882"/>
    </row>
    <row r="29" spans="1:109" s="1883" customFormat="1" ht="83.25" customHeight="1">
      <c r="A29" s="1850">
        <v>25</v>
      </c>
      <c r="B29" s="1851" t="s">
        <v>42</v>
      </c>
      <c r="C29" s="1915">
        <v>6000</v>
      </c>
      <c r="D29" s="1851" t="s">
        <v>4910</v>
      </c>
      <c r="E29" s="1630" t="s">
        <v>16</v>
      </c>
      <c r="F29" s="1851" t="s">
        <v>4911</v>
      </c>
      <c r="G29" s="2030"/>
      <c r="H29" s="1851" t="s">
        <v>19</v>
      </c>
      <c r="I29" s="1851" t="s">
        <v>172</v>
      </c>
      <c r="J29" s="1628" t="s">
        <v>4912</v>
      </c>
      <c r="K29" s="2067" t="s">
        <v>4870</v>
      </c>
      <c r="L29" s="1497"/>
      <c r="M29" s="1882"/>
    </row>
    <row r="30" spans="1:109" s="1883" customFormat="1" ht="123" customHeight="1">
      <c r="A30" s="1542">
        <v>26</v>
      </c>
      <c r="B30" s="1495" t="s">
        <v>3460</v>
      </c>
      <c r="C30" s="1901">
        <v>4000</v>
      </c>
      <c r="D30" s="1495" t="s">
        <v>4913</v>
      </c>
      <c r="E30" s="1493" t="s">
        <v>61</v>
      </c>
      <c r="F30" s="1495" t="s">
        <v>153</v>
      </c>
      <c r="G30" s="1495"/>
      <c r="H30" s="1495" t="s">
        <v>19</v>
      </c>
      <c r="I30" s="1495" t="s">
        <v>517</v>
      </c>
      <c r="J30" s="1598" t="s">
        <v>4914</v>
      </c>
      <c r="K30" s="2039" t="s">
        <v>4915</v>
      </c>
      <c r="L30" s="1493"/>
      <c r="M30" s="1790"/>
      <c r="N30" s="1548"/>
    </row>
    <row r="31" spans="1:109" s="1880" customFormat="1" ht="127.5" customHeight="1">
      <c r="A31" s="874">
        <v>27</v>
      </c>
      <c r="B31" s="735"/>
      <c r="C31" s="1925"/>
      <c r="D31" s="735"/>
      <c r="E31" s="112"/>
      <c r="F31" s="1926"/>
      <c r="G31" s="735"/>
      <c r="H31" s="109"/>
      <c r="I31" s="109"/>
      <c r="J31" s="2139"/>
      <c r="K31" s="2158"/>
      <c r="L31" s="1877"/>
      <c r="M31" s="1879"/>
      <c r="DE31" s="1880" t="s">
        <v>4916</v>
      </c>
    </row>
    <row r="32" spans="1:109" s="1880" customFormat="1" ht="81" customHeight="1">
      <c r="A32" s="874">
        <v>28</v>
      </c>
      <c r="B32" s="735"/>
      <c r="C32" s="1925"/>
      <c r="D32" s="2063"/>
      <c r="E32" s="112"/>
      <c r="F32" s="735"/>
      <c r="G32" s="735"/>
      <c r="H32" s="735"/>
      <c r="I32" s="735"/>
      <c r="J32" s="2139"/>
      <c r="K32" s="2065"/>
      <c r="L32" s="112"/>
      <c r="M32" s="1879"/>
    </row>
    <row r="33" spans="1:13" s="1777" customFormat="1" ht="84" customHeight="1">
      <c r="A33" s="738">
        <v>29</v>
      </c>
      <c r="B33" s="102"/>
      <c r="C33" s="1167"/>
      <c r="D33" s="109"/>
      <c r="E33" s="102"/>
      <c r="F33" s="109"/>
      <c r="G33" s="109"/>
      <c r="H33" s="735"/>
      <c r="I33" s="109"/>
      <c r="J33" s="696"/>
      <c r="K33" s="143"/>
      <c r="L33" s="102"/>
      <c r="M33" s="1853"/>
    </row>
    <row r="34" spans="1:13" s="1777" customFormat="1" ht="66" customHeight="1">
      <c r="A34" s="738">
        <v>30</v>
      </c>
      <c r="B34" s="102"/>
      <c r="C34" s="1167"/>
      <c r="D34" s="109"/>
      <c r="E34" s="102"/>
      <c r="F34" s="109"/>
      <c r="G34" s="109"/>
      <c r="H34" s="109"/>
      <c r="I34" s="109"/>
      <c r="J34" s="696"/>
      <c r="K34" s="696"/>
      <c r="L34" s="102"/>
      <c r="M34" s="1853"/>
    </row>
    <row r="35" spans="1:13" s="1777" customFormat="1" ht="58.5" customHeight="1">
      <c r="A35" s="738">
        <v>31</v>
      </c>
      <c r="B35" s="102"/>
      <c r="C35" s="1167"/>
      <c r="D35" s="109"/>
      <c r="E35" s="102"/>
      <c r="F35" s="109"/>
      <c r="G35" s="109"/>
      <c r="H35" s="109"/>
      <c r="I35" s="109"/>
      <c r="J35" s="696"/>
      <c r="K35" s="143"/>
      <c r="L35" s="102"/>
      <c r="M35" s="1853"/>
    </row>
    <row r="36" spans="1:13" s="1777" customFormat="1" ht="69" customHeight="1">
      <c r="A36" s="738">
        <v>32</v>
      </c>
      <c r="B36" s="102"/>
      <c r="C36" s="1167"/>
      <c r="D36" s="109"/>
      <c r="E36" s="102"/>
      <c r="F36" s="109"/>
      <c r="G36" s="109"/>
      <c r="H36" s="109"/>
      <c r="I36" s="109"/>
      <c r="J36" s="696"/>
      <c r="K36" s="143"/>
      <c r="L36" s="102"/>
      <c r="M36" s="1853"/>
    </row>
    <row r="37" spans="1:13" s="1777" customFormat="1" ht="58.5" customHeight="1">
      <c r="A37" s="738">
        <v>33</v>
      </c>
      <c r="B37" s="102"/>
      <c r="C37" s="1167"/>
      <c r="D37" s="109"/>
      <c r="E37" s="102"/>
      <c r="F37" s="109"/>
      <c r="G37" s="109"/>
      <c r="H37" s="109"/>
      <c r="I37" s="109"/>
      <c r="J37" s="143"/>
      <c r="K37" s="143"/>
      <c r="L37" s="102"/>
      <c r="M37" s="1853"/>
    </row>
    <row r="38" spans="1:13" s="1777" customFormat="1" ht="58.5" customHeight="1">
      <c r="A38" s="738">
        <v>34</v>
      </c>
      <c r="B38" s="102"/>
      <c r="C38" s="1167"/>
      <c r="D38" s="109"/>
      <c r="E38" s="102"/>
      <c r="F38" s="109"/>
      <c r="G38" s="109"/>
      <c r="H38" s="109"/>
      <c r="I38" s="109"/>
      <c r="J38" s="143"/>
      <c r="K38" s="143"/>
      <c r="L38" s="102"/>
      <c r="M38" s="1853"/>
    </row>
    <row r="39" spans="1:13" s="1777" customFormat="1" ht="58.5" customHeight="1">
      <c r="A39" s="738">
        <v>35</v>
      </c>
      <c r="B39" s="102"/>
      <c r="C39" s="1167"/>
      <c r="D39" s="109"/>
      <c r="E39" s="102"/>
      <c r="F39" s="109"/>
      <c r="G39" s="109"/>
      <c r="H39" s="109"/>
      <c r="I39" s="109"/>
      <c r="J39" s="143"/>
      <c r="K39" s="143"/>
      <c r="L39" s="102"/>
      <c r="M39" s="1853"/>
    </row>
    <row r="40" spans="1:13" s="1777" customFormat="1" ht="58.5" customHeight="1">
      <c r="A40" s="738">
        <v>36</v>
      </c>
      <c r="B40" s="102"/>
      <c r="C40" s="1167"/>
      <c r="D40" s="109"/>
      <c r="E40" s="102"/>
      <c r="F40" s="109"/>
      <c r="G40" s="109"/>
      <c r="H40" s="109"/>
      <c r="I40" s="109"/>
      <c r="J40" s="143"/>
      <c r="K40" s="143"/>
      <c r="L40" s="102"/>
      <c r="M40" s="1853"/>
    </row>
    <row r="41" spans="1:13" s="1777" customFormat="1" ht="58.5" customHeight="1">
      <c r="A41" s="738">
        <v>37</v>
      </c>
      <c r="B41" s="102"/>
      <c r="C41" s="1167"/>
      <c r="D41" s="109"/>
      <c r="E41" s="102"/>
      <c r="F41" s="109"/>
      <c r="G41" s="109"/>
      <c r="H41" s="109"/>
      <c r="I41" s="109"/>
      <c r="J41" s="143"/>
      <c r="K41" s="143"/>
      <c r="L41" s="102"/>
      <c r="M41" s="1853"/>
    </row>
    <row r="42" spans="1:13" s="1777" customFormat="1" ht="58.5" customHeight="1">
      <c r="A42" s="738">
        <v>38</v>
      </c>
      <c r="B42" s="102"/>
      <c r="C42" s="1167"/>
      <c r="D42" s="109"/>
      <c r="E42" s="102"/>
      <c r="F42" s="109"/>
      <c r="G42" s="109"/>
      <c r="H42" s="109"/>
      <c r="I42" s="109"/>
      <c r="J42" s="143"/>
      <c r="K42" s="143"/>
      <c r="L42" s="102"/>
      <c r="M42" s="1853"/>
    </row>
    <row r="43" spans="1:13" s="1777" customFormat="1" ht="58.5" customHeight="1">
      <c r="A43" s="738">
        <v>39</v>
      </c>
      <c r="B43" s="102"/>
      <c r="C43" s="1167"/>
      <c r="D43" s="109"/>
      <c r="E43" s="102"/>
      <c r="F43" s="109"/>
      <c r="G43" s="109"/>
      <c r="H43" s="109"/>
      <c r="I43" s="109"/>
      <c r="J43" s="143"/>
      <c r="K43" s="143"/>
      <c r="L43" s="102"/>
      <c r="M43" s="1853"/>
    </row>
    <row r="44" spans="1:13" s="1777" customFormat="1" ht="58.5" customHeight="1">
      <c r="A44" s="738">
        <v>40</v>
      </c>
      <c r="B44" s="102"/>
      <c r="C44" s="1167"/>
      <c r="D44" s="109"/>
      <c r="E44" s="102"/>
      <c r="F44" s="109"/>
      <c r="G44" s="109"/>
      <c r="H44" s="109"/>
      <c r="I44" s="109"/>
      <c r="J44" s="143"/>
      <c r="K44" s="143"/>
      <c r="L44" s="102"/>
      <c r="M44" s="1853"/>
    </row>
    <row r="45" spans="1:13" s="1777" customFormat="1" ht="58.5" customHeight="1">
      <c r="A45" s="738">
        <v>41</v>
      </c>
      <c r="B45" s="102"/>
      <c r="C45" s="1167"/>
      <c r="D45" s="109"/>
      <c r="E45" s="102"/>
      <c r="F45" s="109"/>
      <c r="G45" s="109"/>
      <c r="H45" s="109"/>
      <c r="I45" s="109"/>
      <c r="J45" s="143"/>
      <c r="K45" s="143"/>
      <c r="L45" s="102"/>
      <c r="M45" s="1853"/>
    </row>
    <row r="46" spans="1:13" s="1777" customFormat="1" ht="58.5" customHeight="1">
      <c r="A46" s="738">
        <v>42</v>
      </c>
      <c r="B46" s="102"/>
      <c r="C46" s="1167"/>
      <c r="D46" s="109"/>
      <c r="E46" s="102"/>
      <c r="F46" s="109"/>
      <c r="G46" s="109"/>
      <c r="H46" s="109"/>
      <c r="I46" s="109"/>
      <c r="J46" s="143"/>
      <c r="K46" s="143"/>
      <c r="L46" s="102"/>
      <c r="M46" s="1853"/>
    </row>
    <row r="47" spans="1:13" s="1777" customFormat="1" ht="58.5" customHeight="1">
      <c r="A47" s="738">
        <v>43</v>
      </c>
      <c r="B47" s="102"/>
      <c r="C47" s="1167"/>
      <c r="D47" s="109"/>
      <c r="E47" s="102"/>
      <c r="F47" s="109"/>
      <c r="G47" s="109"/>
      <c r="H47" s="109"/>
      <c r="I47" s="109"/>
      <c r="J47" s="143"/>
      <c r="K47" s="143"/>
      <c r="L47" s="102"/>
      <c r="M47" s="1853"/>
    </row>
    <row r="48" spans="1:13" s="1777" customFormat="1" ht="58.5" customHeight="1">
      <c r="A48" s="738">
        <v>44</v>
      </c>
      <c r="B48" s="102"/>
      <c r="C48" s="1167"/>
      <c r="D48" s="109"/>
      <c r="E48" s="102"/>
      <c r="F48" s="109"/>
      <c r="G48" s="109"/>
      <c r="H48" s="109"/>
      <c r="I48" s="109"/>
      <c r="J48" s="143"/>
      <c r="K48" s="143"/>
      <c r="L48" s="102"/>
      <c r="M48" s="1853"/>
    </row>
    <row r="49" spans="1:13" s="1777" customFormat="1" ht="58.5" customHeight="1">
      <c r="A49" s="738">
        <v>45</v>
      </c>
      <c r="B49" s="102"/>
      <c r="C49" s="1167"/>
      <c r="D49" s="109"/>
      <c r="E49" s="102"/>
      <c r="F49" s="109"/>
      <c r="G49" s="109"/>
      <c r="H49" s="109"/>
      <c r="I49" s="109"/>
      <c r="J49" s="143"/>
      <c r="K49" s="143"/>
      <c r="L49" s="102"/>
      <c r="M49" s="1853"/>
    </row>
    <row r="50" spans="1:13" s="1777" customFormat="1" ht="58.5" customHeight="1">
      <c r="A50" s="738">
        <v>46</v>
      </c>
      <c r="B50" s="102"/>
      <c r="C50" s="1167"/>
      <c r="D50" s="109"/>
      <c r="E50" s="102"/>
      <c r="F50" s="109"/>
      <c r="G50" s="109"/>
      <c r="H50" s="109"/>
      <c r="I50" s="109"/>
      <c r="J50" s="143"/>
      <c r="K50" s="143"/>
      <c r="L50" s="102"/>
      <c r="M50" s="1853"/>
    </row>
    <row r="51" spans="1:13" s="1777" customFormat="1" ht="58.5" customHeight="1">
      <c r="A51" s="738">
        <v>47</v>
      </c>
      <c r="B51" s="102"/>
      <c r="C51" s="1167"/>
      <c r="D51" s="109"/>
      <c r="E51" s="102"/>
      <c r="F51" s="109"/>
      <c r="G51" s="109"/>
      <c r="H51" s="109"/>
      <c r="I51" s="109"/>
      <c r="J51" s="143"/>
      <c r="K51" s="143"/>
      <c r="L51" s="102"/>
      <c r="M51" s="1853"/>
    </row>
    <row r="52" spans="1:13" s="1777" customFormat="1" ht="58.5" customHeight="1">
      <c r="A52" s="738">
        <v>48</v>
      </c>
      <c r="B52" s="102"/>
      <c r="C52" s="1167"/>
      <c r="D52" s="109"/>
      <c r="E52" s="102"/>
      <c r="F52" s="109"/>
      <c r="G52" s="109"/>
      <c r="H52" s="109"/>
      <c r="I52" s="109"/>
      <c r="J52" s="143"/>
      <c r="K52" s="143"/>
      <c r="L52" s="102"/>
      <c r="M52" s="1853"/>
    </row>
    <row r="53" spans="1:13" s="1777" customFormat="1" ht="58.5" customHeight="1">
      <c r="A53" s="738">
        <v>49</v>
      </c>
      <c r="B53" s="102"/>
      <c r="C53" s="1167"/>
      <c r="D53" s="109"/>
      <c r="E53" s="102"/>
      <c r="F53" s="109"/>
      <c r="G53" s="109"/>
      <c r="H53" s="109"/>
      <c r="I53" s="109"/>
      <c r="J53" s="143"/>
      <c r="K53" s="143"/>
      <c r="L53" s="102"/>
      <c r="M53" s="1853"/>
    </row>
    <row r="54" spans="1:13" s="1777" customFormat="1" ht="58.5" customHeight="1">
      <c r="A54" s="738">
        <v>50</v>
      </c>
      <c r="B54" s="102"/>
      <c r="C54" s="1167"/>
      <c r="D54" s="109"/>
      <c r="E54" s="102"/>
      <c r="F54" s="109"/>
      <c r="G54" s="109"/>
      <c r="H54" s="109"/>
      <c r="I54" s="109"/>
      <c r="J54" s="143"/>
      <c r="K54" s="143"/>
      <c r="L54" s="102"/>
      <c r="M54" s="1853"/>
    </row>
    <row r="55" spans="1:13" s="1777" customFormat="1" ht="58.5" customHeight="1">
      <c r="A55" s="738"/>
      <c r="B55" s="102"/>
      <c r="C55" s="1167"/>
      <c r="D55" s="109"/>
      <c r="E55" s="102"/>
      <c r="F55" s="109"/>
      <c r="G55" s="109"/>
      <c r="H55" s="109"/>
      <c r="I55" s="109"/>
      <c r="J55" s="143"/>
      <c r="K55" s="143"/>
      <c r="L55" s="102"/>
      <c r="M55" s="1853"/>
    </row>
    <row r="56" spans="1:13" s="1777" customFormat="1" ht="58.5" customHeight="1">
      <c r="A56" s="738"/>
      <c r="B56" s="102"/>
      <c r="C56" s="1167"/>
      <c r="D56" s="109"/>
      <c r="E56" s="102"/>
      <c r="F56" s="109"/>
      <c r="G56" s="109"/>
      <c r="H56" s="109"/>
      <c r="I56" s="109"/>
      <c r="J56" s="143"/>
      <c r="K56" s="143"/>
      <c r="L56" s="102"/>
      <c r="M56" s="1853"/>
    </row>
    <row r="57" spans="1:13" s="1777" customFormat="1" ht="58.5" customHeight="1">
      <c r="A57" s="738"/>
      <c r="B57" s="102"/>
      <c r="C57" s="1167"/>
      <c r="D57" s="109"/>
      <c r="E57" s="102"/>
      <c r="F57" s="109"/>
      <c r="G57" s="109"/>
      <c r="H57" s="109"/>
      <c r="I57" s="109"/>
      <c r="J57" s="143"/>
      <c r="K57" s="143"/>
      <c r="L57" s="102"/>
      <c r="M57" s="1853"/>
    </row>
    <row r="58" spans="1:13" s="1777" customFormat="1" ht="58.5" customHeight="1">
      <c r="A58" s="738"/>
      <c r="B58" s="102"/>
      <c r="C58" s="1167"/>
      <c r="D58" s="109"/>
      <c r="E58" s="102"/>
      <c r="F58" s="109"/>
      <c r="G58" s="109"/>
      <c r="H58" s="109"/>
      <c r="I58" s="109"/>
      <c r="J58" s="143"/>
      <c r="K58" s="143"/>
      <c r="L58" s="102"/>
      <c r="M58" s="1853"/>
    </row>
    <row r="59" spans="1:13" s="1777" customFormat="1" ht="58.5" customHeight="1">
      <c r="A59" s="738"/>
      <c r="B59" s="102"/>
      <c r="C59" s="1167"/>
      <c r="D59" s="109"/>
      <c r="E59" s="102"/>
      <c r="F59" s="109"/>
      <c r="G59" s="109"/>
      <c r="H59" s="109"/>
      <c r="I59" s="109"/>
      <c r="J59" s="143"/>
      <c r="K59" s="143"/>
      <c r="L59" s="102"/>
      <c r="M59" s="1853"/>
    </row>
    <row r="60" spans="1:13" s="1777" customFormat="1" ht="58.5" customHeight="1">
      <c r="A60" s="738"/>
      <c r="B60" s="102"/>
      <c r="C60" s="1167"/>
      <c r="D60" s="109"/>
      <c r="E60" s="102"/>
      <c r="F60" s="109"/>
      <c r="G60" s="109"/>
      <c r="H60" s="109"/>
      <c r="I60" s="109"/>
      <c r="J60" s="143"/>
      <c r="K60" s="143"/>
      <c r="L60" s="102"/>
      <c r="M60" s="1853"/>
    </row>
  </sheetData>
  <autoFilter ref="A4:P52" xr:uid="{00000000-0009-0000-0000-000001000000}"/>
  <mergeCells count="3">
    <mergeCell ref="C1:K1"/>
    <mergeCell ref="A2:K2"/>
    <mergeCell ref="A3:B3"/>
  </mergeCells>
  <conditionalFormatting sqref="A1:A3">
    <cfRule type="duplicateValues" dxfId="390" priority="1076"/>
  </conditionalFormatting>
  <conditionalFormatting sqref="A4">
    <cfRule type="duplicateValues" dxfId="389" priority="2"/>
  </conditionalFormatting>
  <conditionalFormatting sqref="B4">
    <cfRule type="duplicateValues" dxfId="388" priority="3"/>
    <cfRule type="duplicateValues" dxfId="387" priority="4"/>
    <cfRule type="duplicateValues" dxfId="386" priority="5"/>
  </conditionalFormatting>
  <pageMargins left="0.7" right="0.7" top="0.75" bottom="0.75" header="0.3" footer="0.3"/>
  <pageSetup paperSize="9" scale="40" orientation="landscape"/>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6548C6-CB37-41CA-A63E-F58E5F8A098F}">
  <sheetPr>
    <tabColor theme="2"/>
    <pageSetUpPr fitToPage="1"/>
  </sheetPr>
  <dimension ref="A1:N45"/>
  <sheetViews>
    <sheetView topLeftCell="A2" zoomScale="70" zoomScaleNormal="70" workbookViewId="0">
      <pane xSplit="3" ySplit="4" topLeftCell="D6" activePane="bottomRight" state="frozen"/>
      <selection pane="topRight"/>
      <selection pane="bottomLeft"/>
      <selection pane="bottomRight"/>
    </sheetView>
  </sheetViews>
  <sheetFormatPr defaultColWidth="25.5703125" defaultRowHeight="58.5" customHeight="1"/>
  <cols>
    <col min="1" max="1" width="8.42578125" style="359" customWidth="1"/>
    <col min="2" max="2" width="33.7109375" style="1" customWidth="1"/>
    <col min="3" max="3" width="15.85546875" style="1138" customWidth="1"/>
    <col min="4" max="4" width="22.28515625" style="271" customWidth="1"/>
    <col min="5" max="5" width="21.42578125" style="1" customWidth="1"/>
    <col min="6" max="6" width="22.28515625" style="271" customWidth="1"/>
    <col min="7" max="7" width="20.7109375" style="271" customWidth="1"/>
    <col min="8" max="8" width="16.42578125" style="1" customWidth="1"/>
    <col min="9" max="9" width="29.42578125" style="1" customWidth="1"/>
    <col min="10" max="10" width="118.140625" style="9" customWidth="1"/>
    <col min="11" max="11" width="85.42578125" style="9" customWidth="1"/>
    <col min="12" max="12" width="25.85546875" style="1" customWidth="1"/>
    <col min="13" max="13" width="18.85546875" style="9" customWidth="1"/>
    <col min="14" max="14" width="12.42578125" style="3" hidden="1" customWidth="1"/>
    <col min="15" max="15" width="34.5703125" style="3" customWidth="1"/>
    <col min="16" max="16384" width="25.5703125" style="3"/>
  </cols>
  <sheetData>
    <row r="1" spans="1:14" ht="58.5" customHeight="1">
      <c r="B1" s="10"/>
      <c r="C1" s="3624"/>
      <c r="D1" s="3624"/>
      <c r="E1" s="3624"/>
      <c r="F1" s="3624"/>
      <c r="G1" s="3624"/>
      <c r="H1" s="3624"/>
      <c r="I1" s="3624"/>
      <c r="J1" s="3624"/>
      <c r="K1" s="3624"/>
      <c r="M1" s="1487"/>
    </row>
    <row r="2" spans="1:14" ht="59.25" customHeight="1">
      <c r="A2" s="3625" t="s">
        <v>4917</v>
      </c>
      <c r="B2" s="3625"/>
      <c r="C2" s="3625"/>
      <c r="D2" s="3625"/>
      <c r="E2" s="3625"/>
      <c r="F2" s="3625"/>
      <c r="G2" s="3625"/>
      <c r="H2" s="3625"/>
      <c r="I2" s="3625"/>
      <c r="J2" s="3625"/>
      <c r="K2" s="3625"/>
      <c r="L2" s="3625"/>
      <c r="M2" s="3625"/>
      <c r="N2" s="287"/>
    </row>
    <row r="3" spans="1:14" s="1725" customFormat="1" ht="52.5" customHeight="1">
      <c r="A3" s="1813"/>
      <c r="B3" s="3702"/>
      <c r="C3" s="3703"/>
      <c r="D3" s="3703"/>
      <c r="E3" s="3703"/>
      <c r="F3" s="3703"/>
      <c r="G3" s="3703"/>
      <c r="H3" s="3703"/>
      <c r="I3" s="3703"/>
      <c r="J3" s="3703"/>
      <c r="K3" s="3703"/>
      <c r="L3" s="3703"/>
      <c r="M3" s="3704"/>
      <c r="N3" s="1724"/>
    </row>
    <row r="4" spans="1:14" ht="30" customHeight="1">
      <c r="A4" s="3720"/>
      <c r="B4" s="3720"/>
      <c r="C4" s="1814">
        <f>SUM(C6:C35)</f>
        <v>280180</v>
      </c>
      <c r="D4" s="1815"/>
      <c r="E4" s="1816"/>
      <c r="F4" s="1815"/>
      <c r="G4" s="1815"/>
      <c r="H4" s="1815"/>
      <c r="I4" s="1815"/>
      <c r="J4" s="1816">
        <f ca="1">TODAY()</f>
        <v>45960</v>
      </c>
      <c r="K4" s="143"/>
      <c r="L4" s="1816"/>
      <c r="M4" s="1816"/>
      <c r="N4" s="218"/>
    </row>
    <row r="5" spans="1:14" s="1535" customFormat="1" ht="46.5" customHeight="1">
      <c r="A5" s="1817" t="s">
        <v>1</v>
      </c>
      <c r="B5" s="1818" t="s">
        <v>2</v>
      </c>
      <c r="C5" s="1819" t="s">
        <v>3</v>
      </c>
      <c r="D5" s="1818" t="s">
        <v>4</v>
      </c>
      <c r="E5" s="1818" t="s">
        <v>5</v>
      </c>
      <c r="F5" s="1818" t="s">
        <v>6</v>
      </c>
      <c r="G5" s="1818" t="s">
        <v>221</v>
      </c>
      <c r="H5" s="1818" t="s">
        <v>8</v>
      </c>
      <c r="I5" s="1818" t="s">
        <v>9</v>
      </c>
      <c r="J5" s="1818" t="s">
        <v>10</v>
      </c>
      <c r="K5" s="1818" t="s">
        <v>11</v>
      </c>
      <c r="L5" s="1818" t="s">
        <v>12</v>
      </c>
      <c r="M5" s="1818" t="s">
        <v>13</v>
      </c>
      <c r="N5" s="1820" t="e">
        <f>SUM(#REF!)</f>
        <v>#REF!</v>
      </c>
    </row>
    <row r="6" spans="1:14" s="1467" customFormat="1" ht="71.25" customHeight="1">
      <c r="A6" s="1542" cm="1">
        <f t="array" ref="A6:A45">_xlfn.SEQUENCE(40,1,1)</f>
        <v>1</v>
      </c>
      <c r="B6" s="1493" t="s">
        <v>4622</v>
      </c>
      <c r="C6" s="1494">
        <v>13000</v>
      </c>
      <c r="D6" s="1766" t="s">
        <v>4918</v>
      </c>
      <c r="E6" s="1493" t="s">
        <v>43</v>
      </c>
      <c r="F6" s="1780" t="s">
        <v>4919</v>
      </c>
      <c r="G6" s="1495" t="s">
        <v>18</v>
      </c>
      <c r="H6" s="1493" t="s">
        <v>19</v>
      </c>
      <c r="I6" s="1493" t="s">
        <v>20</v>
      </c>
      <c r="J6" s="1600" t="s">
        <v>4920</v>
      </c>
      <c r="K6" s="1547"/>
      <c r="L6" s="1493"/>
      <c r="M6" s="1547"/>
      <c r="N6" s="1548"/>
    </row>
    <row r="7" spans="1:14" s="1467" customFormat="1" ht="58.5" customHeight="1">
      <c r="A7" s="1542">
        <v>2</v>
      </c>
      <c r="B7" s="1493" t="s">
        <v>2915</v>
      </c>
      <c r="C7" s="1494">
        <v>3100</v>
      </c>
      <c r="D7" s="1766" t="s">
        <v>4921</v>
      </c>
      <c r="E7" s="1493" t="s">
        <v>89</v>
      </c>
      <c r="F7" s="1780" t="s">
        <v>4922</v>
      </c>
      <c r="G7" s="1495" t="s">
        <v>18</v>
      </c>
      <c r="H7" s="1493" t="s">
        <v>19</v>
      </c>
      <c r="I7" s="1493" t="s">
        <v>20</v>
      </c>
      <c r="J7" s="1600" t="s">
        <v>4923</v>
      </c>
      <c r="K7" s="1547"/>
      <c r="L7" s="1493"/>
      <c r="M7" s="1547"/>
      <c r="N7" s="1548"/>
    </row>
    <row r="8" spans="1:14" s="1467" customFormat="1" ht="85.5" customHeight="1">
      <c r="A8" s="1542">
        <v>3</v>
      </c>
      <c r="B8" s="1493" t="s">
        <v>2921</v>
      </c>
      <c r="C8" s="1494">
        <v>6000</v>
      </c>
      <c r="D8" s="1766" t="s">
        <v>4921</v>
      </c>
      <c r="E8" s="1493" t="s">
        <v>43</v>
      </c>
      <c r="F8" s="1780" t="s">
        <v>4924</v>
      </c>
      <c r="G8" s="1495" t="s">
        <v>18</v>
      </c>
      <c r="H8" s="1493" t="s">
        <v>19</v>
      </c>
      <c r="I8" s="1493" t="s">
        <v>172</v>
      </c>
      <c r="J8" s="1600" t="s">
        <v>4925</v>
      </c>
      <c r="K8" s="1547"/>
      <c r="L8" s="1493"/>
      <c r="M8" s="1547"/>
      <c r="N8" s="1548"/>
    </row>
    <row r="9" spans="1:14" s="1474" customFormat="1" ht="83.25" customHeight="1">
      <c r="A9" s="1493">
        <v>4</v>
      </c>
      <c r="B9" s="1493" t="s">
        <v>71</v>
      </c>
      <c r="C9" s="1494">
        <v>3720</v>
      </c>
      <c r="D9" s="1766" t="s">
        <v>2951</v>
      </c>
      <c r="E9" s="1493" t="s">
        <v>54</v>
      </c>
      <c r="F9" s="1493" t="s">
        <v>4926</v>
      </c>
      <c r="G9" s="1493" t="s">
        <v>18</v>
      </c>
      <c r="H9" s="1493" t="s">
        <v>19</v>
      </c>
      <c r="I9" s="1493" t="s">
        <v>101</v>
      </c>
      <c r="J9" s="1600" t="s">
        <v>4927</v>
      </c>
      <c r="K9" s="1493"/>
      <c r="L9" s="1493"/>
      <c r="M9" s="1493"/>
      <c r="N9" s="1493"/>
    </row>
    <row r="10" spans="1:14" s="1467" customFormat="1" ht="91.5" customHeight="1">
      <c r="A10" s="1542">
        <v>5</v>
      </c>
      <c r="B10" s="1493" t="s">
        <v>2912</v>
      </c>
      <c r="C10" s="1494">
        <v>4000</v>
      </c>
      <c r="D10" s="1766" t="s">
        <v>2951</v>
      </c>
      <c r="E10" s="1493" t="s">
        <v>16</v>
      </c>
      <c r="F10" s="1780" t="s">
        <v>4928</v>
      </c>
      <c r="G10" s="1495" t="s">
        <v>4929</v>
      </c>
      <c r="H10" s="1493" t="s">
        <v>19</v>
      </c>
      <c r="I10" s="1493" t="s">
        <v>33</v>
      </c>
      <c r="J10" s="1496" t="s">
        <v>4930</v>
      </c>
      <c r="K10" s="1547"/>
      <c r="L10" s="1493"/>
      <c r="M10" s="1547"/>
      <c r="N10" s="1548"/>
    </row>
    <row r="11" spans="1:14" s="1785" customFormat="1" ht="58.5" customHeight="1">
      <c r="A11" s="1781">
        <v>6</v>
      </c>
      <c r="B11" s="1782" t="s">
        <v>4931</v>
      </c>
      <c r="C11" s="1783">
        <v>35000</v>
      </c>
      <c r="D11" s="1780" t="s">
        <v>4932</v>
      </c>
      <c r="E11" s="1782" t="s">
        <v>2260</v>
      </c>
      <c r="F11" s="1780" t="s">
        <v>4933</v>
      </c>
      <c r="G11" s="1780" t="s">
        <v>18</v>
      </c>
      <c r="H11" s="1782" t="s">
        <v>19</v>
      </c>
      <c r="I11" s="1780" t="s">
        <v>3364</v>
      </c>
      <c r="J11" s="1496" t="s">
        <v>4934</v>
      </c>
      <c r="K11" s="1784" t="s">
        <v>4935</v>
      </c>
      <c r="L11" s="1782"/>
      <c r="M11" s="1784"/>
      <c r="N11" s="1821"/>
    </row>
    <row r="12" spans="1:14" s="1467" customFormat="1" ht="105.75" customHeight="1">
      <c r="A12" s="1542">
        <v>7</v>
      </c>
      <c r="B12" s="1493" t="s">
        <v>3349</v>
      </c>
      <c r="C12" s="1494">
        <v>10000</v>
      </c>
      <c r="D12" s="1495" t="s">
        <v>4936</v>
      </c>
      <c r="E12" s="1493" t="s">
        <v>4937</v>
      </c>
      <c r="F12" s="1786" t="s">
        <v>4938</v>
      </c>
      <c r="G12" s="1495" t="s">
        <v>4929</v>
      </c>
      <c r="H12" s="1493" t="s">
        <v>19</v>
      </c>
      <c r="I12" s="1493" t="s">
        <v>3351</v>
      </c>
      <c r="J12" s="1600" t="s">
        <v>4939</v>
      </c>
      <c r="K12" s="1547" t="s">
        <v>4940</v>
      </c>
      <c r="L12" s="1493"/>
      <c r="M12" s="1547"/>
      <c r="N12" s="1548"/>
    </row>
    <row r="13" spans="1:14" s="1467" customFormat="1" ht="100.5" customHeight="1">
      <c r="A13" s="1542">
        <v>8</v>
      </c>
      <c r="B13" s="1787" t="s">
        <v>59</v>
      </c>
      <c r="C13" s="1494">
        <v>3000</v>
      </c>
      <c r="D13" s="1787" t="s">
        <v>2951</v>
      </c>
      <c r="E13" s="1787" t="s">
        <v>84</v>
      </c>
      <c r="F13" s="1787" t="s">
        <v>4941</v>
      </c>
      <c r="G13" s="1495" t="s">
        <v>18</v>
      </c>
      <c r="H13" s="1787" t="s">
        <v>19</v>
      </c>
      <c r="I13" s="1787" t="s">
        <v>123</v>
      </c>
      <c r="J13" s="1788" t="s">
        <v>4942</v>
      </c>
      <c r="K13" s="1547"/>
      <c r="L13" s="1493"/>
      <c r="M13" s="1547"/>
      <c r="N13" s="1548"/>
    </row>
    <row r="14" spans="1:14" s="1493" customFormat="1" ht="72.75" customHeight="1">
      <c r="A14" s="1493">
        <v>9</v>
      </c>
      <c r="B14" s="1493" t="s">
        <v>4943</v>
      </c>
      <c r="C14" s="1494">
        <v>7000</v>
      </c>
      <c r="D14" s="1789">
        <v>45116</v>
      </c>
      <c r="E14" s="1493" t="s">
        <v>4944</v>
      </c>
      <c r="F14" s="1493" t="s">
        <v>4945</v>
      </c>
      <c r="G14" s="1493" t="s">
        <v>18</v>
      </c>
      <c r="H14" s="1493" t="s">
        <v>19</v>
      </c>
      <c r="I14" s="1493" t="s">
        <v>3844</v>
      </c>
      <c r="J14" s="1600" t="s">
        <v>4946</v>
      </c>
      <c r="K14" s="1790" t="s">
        <v>4947</v>
      </c>
    </row>
    <row r="15" spans="1:14" s="1467" customFormat="1" ht="116.25" customHeight="1">
      <c r="A15" s="1542">
        <v>10</v>
      </c>
      <c r="B15" s="1493" t="s">
        <v>2921</v>
      </c>
      <c r="C15" s="1494">
        <v>6000</v>
      </c>
      <c r="D15" s="1766" t="s">
        <v>4948</v>
      </c>
      <c r="E15" s="1493" t="s">
        <v>43</v>
      </c>
      <c r="F15" s="1495" t="s">
        <v>4949</v>
      </c>
      <c r="G15" s="1495" t="s">
        <v>18</v>
      </c>
      <c r="H15" s="1493" t="s">
        <v>19</v>
      </c>
      <c r="I15" s="1493" t="s">
        <v>172</v>
      </c>
      <c r="J15" s="1600" t="s">
        <v>4950</v>
      </c>
      <c r="K15" s="1547"/>
      <c r="L15" s="1493"/>
      <c r="M15" s="1547"/>
      <c r="N15" s="1548"/>
    </row>
    <row r="16" spans="1:14" s="1777" customFormat="1" ht="84" customHeight="1">
      <c r="A16" s="1493">
        <v>11</v>
      </c>
      <c r="B16" s="1808" t="s">
        <v>117</v>
      </c>
      <c r="C16" s="1766">
        <v>3950</v>
      </c>
      <c r="D16" s="1493" t="s">
        <v>4951</v>
      </c>
      <c r="E16" s="1495" t="s">
        <v>84</v>
      </c>
      <c r="F16" s="1495" t="s">
        <v>4952</v>
      </c>
      <c r="G16" s="1493" t="s">
        <v>4953</v>
      </c>
      <c r="H16" s="1494" t="s">
        <v>19</v>
      </c>
      <c r="I16" s="1766" t="s">
        <v>172</v>
      </c>
      <c r="J16" s="1600" t="s">
        <v>4954</v>
      </c>
      <c r="K16" s="1495"/>
      <c r="L16" s="1495"/>
      <c r="M16" s="1493"/>
      <c r="N16" s="1494"/>
    </row>
    <row r="17" spans="1:14" s="1467" customFormat="1" ht="108" customHeight="1">
      <c r="A17" s="1542">
        <v>12</v>
      </c>
      <c r="B17" s="1493" t="s">
        <v>2915</v>
      </c>
      <c r="C17" s="1494">
        <v>3300</v>
      </c>
      <c r="D17" s="1766" t="s">
        <v>4955</v>
      </c>
      <c r="E17" s="1493" t="s">
        <v>61</v>
      </c>
      <c r="F17" s="1495" t="s">
        <v>4956</v>
      </c>
      <c r="G17" s="1495" t="s">
        <v>18</v>
      </c>
      <c r="H17" s="1493" t="s">
        <v>19</v>
      </c>
      <c r="I17" s="1493" t="s">
        <v>123</v>
      </c>
      <c r="J17" s="1600" t="s">
        <v>4957</v>
      </c>
      <c r="K17" s="1547"/>
      <c r="L17" s="1493"/>
      <c r="M17" s="1547"/>
      <c r="N17" s="1548"/>
    </row>
    <row r="18" spans="1:14" s="1548" customFormat="1" ht="84" customHeight="1">
      <c r="A18" s="1542">
        <v>13</v>
      </c>
      <c r="B18" s="1493" t="s">
        <v>87</v>
      </c>
      <c r="C18" s="1494">
        <v>3080</v>
      </c>
      <c r="D18" s="1766" t="s">
        <v>4958</v>
      </c>
      <c r="E18" s="1493" t="s">
        <v>89</v>
      </c>
      <c r="F18" s="1495" t="s">
        <v>4959</v>
      </c>
      <c r="G18" s="1495" t="s">
        <v>18</v>
      </c>
      <c r="H18" s="1493" t="s">
        <v>19</v>
      </c>
      <c r="I18" s="1493" t="s">
        <v>172</v>
      </c>
      <c r="J18" s="1496" t="s">
        <v>4960</v>
      </c>
      <c r="K18" s="1547"/>
      <c r="L18" s="1493"/>
      <c r="M18" s="1547"/>
    </row>
    <row r="19" spans="1:14" s="1467" customFormat="1" ht="138" customHeight="1">
      <c r="A19" s="1542">
        <v>14</v>
      </c>
      <c r="B19" s="1495" t="s">
        <v>4961</v>
      </c>
      <c r="C19" s="1494">
        <v>10000</v>
      </c>
      <c r="D19" s="1495" t="s">
        <v>4962</v>
      </c>
      <c r="E19" s="1493" t="s">
        <v>25</v>
      </c>
      <c r="F19" s="1786" t="s">
        <v>4963</v>
      </c>
      <c r="G19" s="1495" t="s">
        <v>18</v>
      </c>
      <c r="H19" s="1493" t="s">
        <v>19</v>
      </c>
      <c r="I19" s="1495" t="s">
        <v>3364</v>
      </c>
      <c r="J19" s="1600" t="s">
        <v>4964</v>
      </c>
      <c r="K19" s="1547" t="s">
        <v>4965</v>
      </c>
      <c r="L19" s="1493"/>
      <c r="M19" s="1547"/>
      <c r="N19" s="1548"/>
    </row>
    <row r="20" spans="1:14" s="1467" customFormat="1" ht="287.25" customHeight="1">
      <c r="A20" s="1542">
        <v>15</v>
      </c>
      <c r="B20" s="1493" t="s">
        <v>4966</v>
      </c>
      <c r="C20" s="1494">
        <f>7450+1500</f>
        <v>8950</v>
      </c>
      <c r="D20" s="1495" t="s">
        <v>4967</v>
      </c>
      <c r="E20" s="1493" t="s">
        <v>2260</v>
      </c>
      <c r="F20" s="1786" t="s">
        <v>4968</v>
      </c>
      <c r="G20" s="1495" t="s">
        <v>18</v>
      </c>
      <c r="H20" s="1493" t="s">
        <v>19</v>
      </c>
      <c r="I20" s="1495" t="s">
        <v>4969</v>
      </c>
      <c r="J20" s="1600" t="s">
        <v>4970</v>
      </c>
      <c r="K20" s="1547" t="s">
        <v>4971</v>
      </c>
      <c r="L20" s="1493"/>
      <c r="M20" s="1547"/>
      <c r="N20" s="1548"/>
    </row>
    <row r="21" spans="1:14" s="1467" customFormat="1" ht="108" customHeight="1">
      <c r="A21" s="1542">
        <v>16</v>
      </c>
      <c r="B21" s="1493" t="s">
        <v>4972</v>
      </c>
      <c r="C21" s="1494">
        <v>20000</v>
      </c>
      <c r="D21" s="1624">
        <v>45206</v>
      </c>
      <c r="E21" s="1493" t="s">
        <v>4944</v>
      </c>
      <c r="F21" s="1495" t="s">
        <v>4973</v>
      </c>
      <c r="G21" s="1495" t="s">
        <v>4974</v>
      </c>
      <c r="H21" s="1493" t="s">
        <v>19</v>
      </c>
      <c r="I21" s="1493" t="s">
        <v>3844</v>
      </c>
      <c r="J21" s="1600" t="s">
        <v>4975</v>
      </c>
      <c r="K21" s="1809" t="s">
        <v>4976</v>
      </c>
      <c r="L21" s="1493"/>
      <c r="M21" s="1547"/>
      <c r="N21" s="1548"/>
    </row>
    <row r="22" spans="1:14" s="1467" customFormat="1" ht="72.75" customHeight="1">
      <c r="A22" s="1542">
        <v>17</v>
      </c>
      <c r="B22" s="1493" t="s">
        <v>4977</v>
      </c>
      <c r="C22" s="1494">
        <v>12000</v>
      </c>
      <c r="D22" s="1787">
        <v>45121</v>
      </c>
      <c r="E22" s="1493" t="s">
        <v>25</v>
      </c>
      <c r="F22" s="1786" t="s">
        <v>4978</v>
      </c>
      <c r="G22" s="1495" t="s">
        <v>4974</v>
      </c>
      <c r="H22" s="1493" t="s">
        <v>19</v>
      </c>
      <c r="I22" s="1493" t="s">
        <v>3844</v>
      </c>
      <c r="J22" s="1600" t="s">
        <v>4979</v>
      </c>
      <c r="K22" s="1748" t="s">
        <v>4980</v>
      </c>
      <c r="L22" s="1493"/>
      <c r="M22" s="1547"/>
      <c r="N22" s="1548"/>
    </row>
    <row r="23" spans="1:14" s="1548" customFormat="1" ht="103.5" customHeight="1">
      <c r="A23" s="1542">
        <v>18</v>
      </c>
      <c r="B23" s="1493" t="s">
        <v>112</v>
      </c>
      <c r="C23" s="1494">
        <v>11600</v>
      </c>
      <c r="D23" s="1766" t="s">
        <v>4981</v>
      </c>
      <c r="E23" s="1493" t="s">
        <v>89</v>
      </c>
      <c r="F23" s="1493" t="s">
        <v>4982</v>
      </c>
      <c r="G23" s="1495" t="s">
        <v>2945</v>
      </c>
      <c r="H23" s="1493" t="s">
        <v>19</v>
      </c>
      <c r="I23" s="1548" t="s">
        <v>33</v>
      </c>
      <c r="J23" s="1600" t="s">
        <v>4983</v>
      </c>
      <c r="K23" s="1547" t="s">
        <v>125</v>
      </c>
      <c r="L23" s="1493"/>
      <c r="M23" s="1547"/>
    </row>
    <row r="24" spans="1:14" s="1548" customFormat="1" ht="159.75" customHeight="1">
      <c r="A24" s="1542">
        <v>19</v>
      </c>
      <c r="B24" s="1493" t="s">
        <v>93</v>
      </c>
      <c r="C24" s="1494">
        <v>2950</v>
      </c>
      <c r="D24" s="1766" t="s">
        <v>4984</v>
      </c>
      <c r="E24" s="1493" t="s">
        <v>84</v>
      </c>
      <c r="F24" s="1495" t="s">
        <v>4985</v>
      </c>
      <c r="G24" s="1493" t="s">
        <v>18</v>
      </c>
      <c r="H24" s="1493" t="s">
        <v>19</v>
      </c>
      <c r="I24" s="1493" t="s">
        <v>172</v>
      </c>
      <c r="J24" s="1496" t="s">
        <v>4986</v>
      </c>
      <c r="K24" s="1547"/>
      <c r="L24" s="1493"/>
      <c r="M24" s="1547"/>
    </row>
    <row r="25" spans="1:14" s="1548" customFormat="1" ht="93" customHeight="1">
      <c r="A25" s="1542">
        <v>20</v>
      </c>
      <c r="B25" s="1493" t="s">
        <v>82</v>
      </c>
      <c r="C25" s="1494">
        <v>4250</v>
      </c>
      <c r="D25" s="1766" t="s">
        <v>4987</v>
      </c>
      <c r="E25" s="1493" t="s">
        <v>84</v>
      </c>
      <c r="F25" s="1495" t="s">
        <v>4988</v>
      </c>
      <c r="G25" s="1493" t="s">
        <v>18</v>
      </c>
      <c r="H25" s="1493" t="s">
        <v>19</v>
      </c>
      <c r="I25" s="1495" t="s">
        <v>50</v>
      </c>
      <c r="J25" s="1600" t="s">
        <v>4989</v>
      </c>
      <c r="K25" s="1547"/>
      <c r="L25" s="1493"/>
      <c r="M25" s="1547"/>
    </row>
    <row r="26" spans="1:14" s="1548" customFormat="1" ht="150" customHeight="1">
      <c r="A26" s="1542">
        <v>21</v>
      </c>
      <c r="B26" s="1493" t="s">
        <v>4990</v>
      </c>
      <c r="C26" s="1494">
        <v>4425</v>
      </c>
      <c r="D26" s="1812" t="s">
        <v>4991</v>
      </c>
      <c r="E26" s="1493" t="s">
        <v>2260</v>
      </c>
      <c r="F26" s="1493" t="s">
        <v>4992</v>
      </c>
      <c r="G26" s="1493" t="s">
        <v>18</v>
      </c>
      <c r="H26" s="1493" t="s">
        <v>19</v>
      </c>
      <c r="I26" s="1495" t="s">
        <v>4993</v>
      </c>
      <c r="J26" s="1844" t="s">
        <v>4994</v>
      </c>
      <c r="K26" s="1547" t="s">
        <v>4995</v>
      </c>
      <c r="L26" s="1493"/>
      <c r="M26" s="1547"/>
    </row>
    <row r="27" spans="1:14" s="1548" customFormat="1" ht="296.25" customHeight="1">
      <c r="A27" s="1542">
        <v>22</v>
      </c>
      <c r="B27" s="1790" t="s">
        <v>3475</v>
      </c>
      <c r="C27" s="1494">
        <v>6405</v>
      </c>
      <c r="D27" s="1812" t="s">
        <v>4996</v>
      </c>
      <c r="E27" s="1493" t="s">
        <v>2260</v>
      </c>
      <c r="F27" s="1495" t="s">
        <v>4997</v>
      </c>
      <c r="G27" s="1493" t="s">
        <v>18</v>
      </c>
      <c r="H27" s="1493" t="s">
        <v>19</v>
      </c>
      <c r="I27" s="1493" t="s">
        <v>3513</v>
      </c>
      <c r="J27" s="1600" t="s">
        <v>4998</v>
      </c>
      <c r="K27" s="1600" t="s">
        <v>4999</v>
      </c>
      <c r="L27" s="1493"/>
      <c r="M27" s="1547"/>
    </row>
    <row r="28" spans="1:14" s="1548" customFormat="1" ht="117" customHeight="1">
      <c r="A28" s="1542">
        <v>23</v>
      </c>
      <c r="B28" s="1493" t="s">
        <v>5000</v>
      </c>
      <c r="C28" s="1494">
        <v>35000</v>
      </c>
      <c r="D28" s="1495" t="s">
        <v>5001</v>
      </c>
      <c r="E28" s="1493" t="s">
        <v>2260</v>
      </c>
      <c r="F28" s="1786" t="s">
        <v>5002</v>
      </c>
      <c r="G28" s="1493" t="s">
        <v>226</v>
      </c>
      <c r="H28" s="1493" t="s">
        <v>19</v>
      </c>
      <c r="I28" s="1495" t="s">
        <v>3364</v>
      </c>
      <c r="J28" s="1600" t="s">
        <v>5003</v>
      </c>
      <c r="K28" s="1600" t="s">
        <v>5004</v>
      </c>
      <c r="L28" s="1493"/>
      <c r="M28" s="1547"/>
    </row>
    <row r="29" spans="1:14" s="1785" customFormat="1" ht="191.25" customHeight="1">
      <c r="A29" s="1781">
        <v>24</v>
      </c>
      <c r="B29" s="1782" t="s">
        <v>5005</v>
      </c>
      <c r="C29" s="1783">
        <v>14000</v>
      </c>
      <c r="D29" s="1780" t="s">
        <v>5006</v>
      </c>
      <c r="E29" s="1782" t="s">
        <v>4937</v>
      </c>
      <c r="F29" s="1824" t="s">
        <v>5007</v>
      </c>
      <c r="G29" s="1780" t="s">
        <v>226</v>
      </c>
      <c r="H29" s="1782" t="s">
        <v>19</v>
      </c>
      <c r="I29" s="1780" t="s">
        <v>5008</v>
      </c>
      <c r="J29" s="1496" t="s">
        <v>5009</v>
      </c>
      <c r="K29" s="1784" t="s">
        <v>5010</v>
      </c>
      <c r="L29" s="1782"/>
      <c r="M29" s="1784"/>
      <c r="N29" s="1821"/>
    </row>
    <row r="30" spans="1:14" s="1548" customFormat="1" ht="99.75" customHeight="1">
      <c r="A30" s="1542">
        <v>25</v>
      </c>
      <c r="B30" s="1493" t="s">
        <v>2912</v>
      </c>
      <c r="C30" s="1494">
        <v>4000</v>
      </c>
      <c r="D30" s="1495" t="s">
        <v>5011</v>
      </c>
      <c r="E30" s="1493" t="s">
        <v>84</v>
      </c>
      <c r="F30" s="1748" t="s">
        <v>5012</v>
      </c>
      <c r="G30" s="1495" t="s">
        <v>5013</v>
      </c>
      <c r="H30" s="1493" t="s">
        <v>19</v>
      </c>
      <c r="I30" s="1493" t="s">
        <v>50</v>
      </c>
      <c r="J30" s="1600" t="s">
        <v>5014</v>
      </c>
      <c r="K30" s="1547"/>
      <c r="L30" s="1493"/>
      <c r="M30" s="1547"/>
    </row>
    <row r="31" spans="1:14" s="1548" customFormat="1" ht="129.75" customHeight="1">
      <c r="A31" s="1542">
        <v>26</v>
      </c>
      <c r="B31" s="1493" t="s">
        <v>3619</v>
      </c>
      <c r="C31" s="1494">
        <v>11000</v>
      </c>
      <c r="D31" s="1495" t="s">
        <v>313</v>
      </c>
      <c r="E31" s="1493" t="s">
        <v>43</v>
      </c>
      <c r="F31" s="1495" t="s">
        <v>5015</v>
      </c>
      <c r="G31" s="1495" t="s">
        <v>5016</v>
      </c>
      <c r="H31" s="1493" t="s">
        <v>19</v>
      </c>
      <c r="I31" s="1493" t="s">
        <v>33</v>
      </c>
      <c r="J31" s="1496" t="s">
        <v>5017</v>
      </c>
      <c r="K31" s="1825" t="s">
        <v>5018</v>
      </c>
      <c r="L31" s="1493"/>
      <c r="M31" s="1547"/>
    </row>
    <row r="32" spans="1:14" s="1548" customFormat="1" ht="69.75" customHeight="1">
      <c r="A32" s="1542">
        <v>27</v>
      </c>
      <c r="B32" s="1493" t="s">
        <v>5019</v>
      </c>
      <c r="C32" s="1494">
        <v>10000</v>
      </c>
      <c r="D32" s="1495" t="s">
        <v>5020</v>
      </c>
      <c r="E32" s="1493" t="s">
        <v>308</v>
      </c>
      <c r="F32" s="1786" t="s">
        <v>5021</v>
      </c>
      <c r="G32" s="1495" t="s">
        <v>251</v>
      </c>
      <c r="H32" s="1493" t="s">
        <v>19</v>
      </c>
      <c r="I32" s="1495" t="s">
        <v>178</v>
      </c>
      <c r="J32" s="1600" t="s">
        <v>5022</v>
      </c>
      <c r="K32" s="1547"/>
      <c r="L32" s="1493"/>
      <c r="M32" s="1547"/>
    </row>
    <row r="33" spans="1:14" s="1548" customFormat="1" ht="177.75" customHeight="1">
      <c r="A33" s="1542">
        <v>28</v>
      </c>
      <c r="B33" s="1495" t="s">
        <v>5023</v>
      </c>
      <c r="C33" s="1494">
        <v>10000</v>
      </c>
      <c r="D33" s="1495" t="s">
        <v>5006</v>
      </c>
      <c r="E33" s="1493" t="s">
        <v>25</v>
      </c>
      <c r="F33" s="1786" t="s">
        <v>5024</v>
      </c>
      <c r="G33" s="1495" t="s">
        <v>353</v>
      </c>
      <c r="H33" s="1493" t="s">
        <v>19</v>
      </c>
      <c r="I33" s="1495" t="s">
        <v>5025</v>
      </c>
      <c r="J33" s="1600" t="s">
        <v>5026</v>
      </c>
      <c r="K33" s="1600" t="s">
        <v>5027</v>
      </c>
      <c r="L33" s="1493"/>
      <c r="M33" s="1547"/>
    </row>
    <row r="34" spans="1:14" s="1821" customFormat="1" ht="87.75" customHeight="1">
      <c r="A34" s="1781">
        <v>29</v>
      </c>
      <c r="B34" s="1782" t="s">
        <v>93</v>
      </c>
      <c r="C34" s="1783">
        <v>2950</v>
      </c>
      <c r="D34" s="1780" t="s">
        <v>5028</v>
      </c>
      <c r="E34" s="1782" t="s">
        <v>61</v>
      </c>
      <c r="F34" s="1780" t="s">
        <v>5029</v>
      </c>
      <c r="G34" s="1780" t="s">
        <v>5016</v>
      </c>
      <c r="H34" s="1782" t="s">
        <v>19</v>
      </c>
      <c r="I34" s="1782" t="s">
        <v>123</v>
      </c>
      <c r="J34" s="1784" t="s">
        <v>5030</v>
      </c>
      <c r="K34" s="1784"/>
      <c r="L34" s="1782"/>
      <c r="M34" s="1784"/>
    </row>
    <row r="35" spans="1:14" s="1548" customFormat="1" ht="143.25" customHeight="1">
      <c r="A35" s="1542">
        <v>30</v>
      </c>
      <c r="B35" s="1493" t="s">
        <v>112</v>
      </c>
      <c r="C35" s="1494">
        <v>11500</v>
      </c>
      <c r="D35" s="1495" t="s">
        <v>313</v>
      </c>
      <c r="E35" s="1493" t="s">
        <v>84</v>
      </c>
      <c r="F35" s="1495" t="s">
        <v>5031</v>
      </c>
      <c r="G35" s="1748" t="s">
        <v>226</v>
      </c>
      <c r="H35" s="1493" t="s">
        <v>19</v>
      </c>
      <c r="I35" s="1493" t="s">
        <v>50</v>
      </c>
      <c r="J35" s="1600" t="s">
        <v>5032</v>
      </c>
      <c r="K35" s="1547" t="s">
        <v>125</v>
      </c>
      <c r="L35" s="1493"/>
      <c r="M35" s="1547"/>
    </row>
    <row r="36" spans="1:14" s="1777" customFormat="1" ht="90" customHeight="1">
      <c r="A36" s="738">
        <v>31</v>
      </c>
      <c r="B36" s="102"/>
      <c r="C36" s="1167"/>
      <c r="D36" s="109"/>
      <c r="E36" s="102"/>
      <c r="F36" s="109"/>
      <c r="G36" s="109"/>
      <c r="H36" s="102"/>
      <c r="I36" s="102"/>
      <c r="J36" s="670"/>
      <c r="K36" s="143"/>
      <c r="L36" s="102"/>
      <c r="M36" s="143"/>
    </row>
    <row r="37" spans="1:14" s="1777" customFormat="1" ht="58.5" customHeight="1">
      <c r="A37" s="738">
        <v>32</v>
      </c>
      <c r="B37" s="102"/>
      <c r="C37" s="1167"/>
      <c r="D37" s="109"/>
      <c r="E37" s="102"/>
      <c r="F37" s="109"/>
      <c r="G37" s="109"/>
      <c r="H37" s="102"/>
      <c r="I37" s="102"/>
      <c r="J37" s="143"/>
      <c r="K37" s="143"/>
      <c r="L37" s="102"/>
      <c r="M37" s="143"/>
    </row>
    <row r="38" spans="1:14" s="1796" customFormat="1" ht="58.5" customHeight="1">
      <c r="A38" s="1791">
        <v>33</v>
      </c>
      <c r="B38" s="1792" t="s">
        <v>4800</v>
      </c>
      <c r="C38" s="1793"/>
      <c r="D38" s="1794" t="s">
        <v>5033</v>
      </c>
      <c r="E38" s="1792" t="s">
        <v>5034</v>
      </c>
      <c r="F38" s="1794"/>
      <c r="G38" s="1794" t="s">
        <v>675</v>
      </c>
      <c r="H38" s="1792" t="s">
        <v>19</v>
      </c>
      <c r="I38" s="1792" t="s">
        <v>5035</v>
      </c>
      <c r="J38" s="1795" t="s">
        <v>5036</v>
      </c>
      <c r="K38" s="1795"/>
      <c r="L38" s="1792"/>
      <c r="M38" s="1795"/>
      <c r="N38" s="1822"/>
    </row>
    <row r="39" spans="1:14" s="1806" customFormat="1" ht="58.5" customHeight="1">
      <c r="A39" s="1797">
        <v>34</v>
      </c>
      <c r="B39" s="1798"/>
      <c r="C39" s="1799"/>
      <c r="D39" s="1800">
        <v>45145</v>
      </c>
      <c r="E39" s="1801" t="s">
        <v>25</v>
      </c>
      <c r="F39" s="1802"/>
      <c r="G39" s="1802" t="s">
        <v>675</v>
      </c>
      <c r="H39" s="1801" t="s">
        <v>19</v>
      </c>
      <c r="I39" s="1801" t="s">
        <v>3844</v>
      </c>
      <c r="J39" s="1803" t="s">
        <v>5037</v>
      </c>
      <c r="K39" s="1804" t="s">
        <v>5038</v>
      </c>
      <c r="L39" s="1801"/>
      <c r="M39" s="1805"/>
      <c r="N39" s="1823"/>
    </row>
    <row r="40" spans="1:14" s="1796" customFormat="1" ht="58.5" customHeight="1">
      <c r="A40" s="1791">
        <v>35</v>
      </c>
      <c r="B40" s="1792" t="s">
        <v>140</v>
      </c>
      <c r="C40" s="1793"/>
      <c r="D40" s="1794"/>
      <c r="E40" s="1792"/>
      <c r="F40" s="1794"/>
      <c r="G40" s="1794" t="s">
        <v>675</v>
      </c>
      <c r="H40" s="1792"/>
      <c r="I40" s="1792"/>
      <c r="J40" s="1795"/>
      <c r="K40" s="1795"/>
      <c r="L40" s="1792"/>
      <c r="M40" s="1795"/>
      <c r="N40" s="1822"/>
    </row>
    <row r="41" spans="1:14" ht="58.5" customHeight="1">
      <c r="A41" s="738">
        <v>36</v>
      </c>
      <c r="B41" s="102"/>
      <c r="C41" s="1167"/>
      <c r="D41" s="109"/>
      <c r="E41" s="102"/>
      <c r="F41" s="109"/>
      <c r="G41" s="109"/>
      <c r="H41" s="102"/>
      <c r="I41" s="102"/>
      <c r="J41" s="143"/>
      <c r="K41" s="143"/>
      <c r="L41" s="102"/>
      <c r="M41" s="143"/>
      <c r="N41" s="1777"/>
    </row>
    <row r="42" spans="1:14" ht="58.5" customHeight="1">
      <c r="A42" s="738">
        <v>37</v>
      </c>
      <c r="B42" s="102"/>
      <c r="C42" s="1167"/>
      <c r="D42" s="109"/>
      <c r="E42" s="102"/>
      <c r="F42" s="109"/>
      <c r="G42" s="109"/>
      <c r="H42" s="102"/>
      <c r="I42" s="102"/>
      <c r="J42" s="143"/>
      <c r="K42" s="143"/>
      <c r="L42" s="102"/>
      <c r="M42" s="143"/>
      <c r="N42" s="1777"/>
    </row>
    <row r="43" spans="1:14" ht="58.5" customHeight="1">
      <c r="A43" s="738">
        <v>38</v>
      </c>
      <c r="B43" s="102"/>
      <c r="C43" s="1167"/>
      <c r="D43" s="109"/>
      <c r="E43" s="102"/>
      <c r="F43" s="109"/>
      <c r="G43" s="109"/>
      <c r="H43" s="102"/>
      <c r="I43" s="102"/>
      <c r="J43" s="143"/>
      <c r="K43" s="143"/>
      <c r="L43" s="102"/>
      <c r="M43" s="143"/>
      <c r="N43" s="1777"/>
    </row>
    <row r="44" spans="1:14" ht="58.5" customHeight="1">
      <c r="A44" s="738">
        <v>39</v>
      </c>
      <c r="B44" s="102"/>
      <c r="C44" s="1167"/>
      <c r="D44" s="109"/>
      <c r="E44" s="102"/>
      <c r="F44" s="109"/>
      <c r="G44" s="109"/>
      <c r="H44" s="102"/>
      <c r="I44" s="102"/>
      <c r="J44" s="143"/>
      <c r="K44" s="143"/>
      <c r="L44" s="102"/>
      <c r="M44" s="143"/>
      <c r="N44" s="1777"/>
    </row>
    <row r="45" spans="1:14" ht="58.5" customHeight="1">
      <c r="A45" s="359">
        <v>40</v>
      </c>
    </row>
  </sheetData>
  <autoFilter ref="A5:P39" xr:uid="{00000000-0009-0000-0000-000001000000}"/>
  <mergeCells count="4">
    <mergeCell ref="C1:K1"/>
    <mergeCell ref="A2:M2"/>
    <mergeCell ref="B3:M3"/>
    <mergeCell ref="A4:B4"/>
  </mergeCells>
  <conditionalFormatting sqref="A1:A4">
    <cfRule type="duplicateValues" dxfId="385" priority="5"/>
  </conditionalFormatting>
  <conditionalFormatting sqref="A5">
    <cfRule type="duplicateValues" dxfId="384" priority="4"/>
  </conditionalFormatting>
  <conditionalFormatting sqref="B5">
    <cfRule type="duplicateValues" dxfId="383" priority="1"/>
    <cfRule type="duplicateValues" dxfId="382" priority="2"/>
    <cfRule type="duplicateValues" dxfId="381" priority="3"/>
  </conditionalFormatting>
  <pageMargins left="0.7" right="0.7" top="0.75" bottom="0.75" header="0.3" footer="0.3"/>
  <pageSetup paperSize="9" scale="40" orientation="landscape" r:id="rId1"/>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20E30A-2E93-4EC9-9CD7-366744B4B863}">
  <sheetPr>
    <tabColor theme="6" tint="0.79998168889431442"/>
    <pageSetUpPr fitToPage="1"/>
  </sheetPr>
  <dimension ref="A1:N66"/>
  <sheetViews>
    <sheetView topLeftCell="A2" zoomScale="70" zoomScaleNormal="70" workbookViewId="0">
      <pane xSplit="3" ySplit="4" topLeftCell="D33" activePane="bottomRight" state="frozen"/>
      <selection pane="topRight" activeCell="E39" sqref="E39"/>
      <selection pane="bottomLeft" activeCell="E39" sqref="E39"/>
      <selection pane="bottomRight" activeCell="E39" sqref="E39"/>
    </sheetView>
  </sheetViews>
  <sheetFormatPr defaultColWidth="32.140625" defaultRowHeight="58.5" customHeight="1"/>
  <cols>
    <col min="1" max="1" width="7.7109375" style="359" customWidth="1"/>
    <col min="2" max="2" width="30.42578125" style="1" customWidth="1"/>
    <col min="3" max="3" width="22.28515625" style="804" customWidth="1"/>
    <col min="4" max="4" width="34.7109375" style="271" customWidth="1"/>
    <col min="5" max="5" width="24" style="1" customWidth="1"/>
    <col min="6" max="6" width="24.7109375" style="271" customWidth="1"/>
    <col min="7" max="7" width="36" style="271" customWidth="1"/>
    <col min="8" max="8" width="22.28515625" style="1" customWidth="1"/>
    <col min="9" max="9" width="27.140625" style="1" customWidth="1"/>
    <col min="10" max="10" width="101" style="9" customWidth="1"/>
    <col min="11" max="11" width="60.42578125" style="9" customWidth="1"/>
    <col min="12" max="12" width="17.28515625" style="1" customWidth="1"/>
    <col min="13" max="13" width="18.7109375" style="763" customWidth="1"/>
    <col min="14" max="16384" width="32.140625" style="3"/>
  </cols>
  <sheetData>
    <row r="1" spans="1:14" ht="58.5" customHeight="1">
      <c r="B1" s="10"/>
      <c r="C1" s="3624"/>
      <c r="D1" s="3624"/>
      <c r="E1" s="3624"/>
      <c r="F1" s="3624"/>
      <c r="G1" s="3624"/>
      <c r="H1" s="3624"/>
      <c r="I1" s="3624"/>
      <c r="J1" s="3624"/>
      <c r="K1" s="3624"/>
      <c r="M1" s="1848"/>
    </row>
    <row r="2" spans="1:14" ht="39.75" customHeight="1">
      <c r="A2" s="3625" t="s">
        <v>5039</v>
      </c>
      <c r="B2" s="3625"/>
      <c r="C2" s="3625"/>
      <c r="D2" s="3625"/>
      <c r="E2" s="3625"/>
      <c r="F2" s="3625"/>
      <c r="G2" s="3625"/>
      <c r="H2" s="3625"/>
      <c r="I2" s="3625"/>
      <c r="J2" s="3625"/>
      <c r="K2" s="3625"/>
      <c r="L2" s="3625"/>
      <c r="M2" s="3625"/>
      <c r="N2" s="287"/>
    </row>
    <row r="3" spans="1:14" s="1725" customFormat="1" ht="45" customHeight="1">
      <c r="A3" s="1723"/>
      <c r="B3" s="3626"/>
      <c r="C3" s="3627"/>
      <c r="D3" s="3627"/>
      <c r="E3" s="3627"/>
      <c r="F3" s="3627"/>
      <c r="G3" s="3627"/>
      <c r="H3" s="3627"/>
      <c r="I3" s="3627"/>
      <c r="J3" s="3627"/>
      <c r="K3" s="3627"/>
      <c r="L3" s="3627"/>
      <c r="M3" s="3628"/>
      <c r="N3" s="1724"/>
    </row>
    <row r="4" spans="1:14" ht="30" customHeight="1">
      <c r="A4" s="3629"/>
      <c r="B4" s="3629"/>
      <c r="C4" s="1810">
        <f>SUBTOTAL(9,C6:C39)</f>
        <v>265750</v>
      </c>
      <c r="D4" s="1503"/>
      <c r="E4" s="1504"/>
      <c r="F4" s="1503"/>
      <c r="G4" s="1503"/>
      <c r="H4" s="1503"/>
      <c r="I4" s="1503"/>
      <c r="J4" s="1504">
        <f ca="1">TODAY()</f>
        <v>45960</v>
      </c>
      <c r="L4" s="1504"/>
      <c r="M4" s="1849"/>
      <c r="N4" s="287"/>
    </row>
    <row r="5" spans="1:14" s="1535" customFormat="1" ht="36" customHeight="1">
      <c r="A5" s="361" t="s">
        <v>1</v>
      </c>
      <c r="B5" s="679" t="s">
        <v>2</v>
      </c>
      <c r="C5" s="1811" t="s">
        <v>3</v>
      </c>
      <c r="D5" s="204" t="s">
        <v>4</v>
      </c>
      <c r="E5" s="204" t="s">
        <v>5</v>
      </c>
      <c r="F5" s="204" t="s">
        <v>6</v>
      </c>
      <c r="G5" s="204" t="s">
        <v>7</v>
      </c>
      <c r="H5" s="204" t="s">
        <v>8</v>
      </c>
      <c r="I5" s="204" t="s">
        <v>9</v>
      </c>
      <c r="J5" s="204" t="s">
        <v>10</v>
      </c>
      <c r="K5" s="204" t="s">
        <v>11</v>
      </c>
      <c r="L5" s="204" t="s">
        <v>12</v>
      </c>
      <c r="M5" s="1858" t="s">
        <v>13</v>
      </c>
      <c r="N5" s="1534" t="e">
        <f>SUM(#REF!)</f>
        <v>#REF!</v>
      </c>
    </row>
    <row r="6" spans="1:14" s="1559" customFormat="1" ht="137.25" customHeight="1">
      <c r="A6" s="1553" cm="1">
        <f t="array" ref="A6:A55">_xlfn.SEQUENCE(50,1,1)</f>
        <v>1</v>
      </c>
      <c r="B6" s="1545" t="s">
        <v>3115</v>
      </c>
      <c r="C6" s="1827">
        <v>10000</v>
      </c>
      <c r="D6" s="1543" t="s">
        <v>5040</v>
      </c>
      <c r="E6" s="1545" t="s">
        <v>43</v>
      </c>
      <c r="F6" s="1543" t="s">
        <v>5041</v>
      </c>
      <c r="G6" s="1543" t="s">
        <v>18</v>
      </c>
      <c r="H6" s="1545" t="s">
        <v>19</v>
      </c>
      <c r="I6" s="1545" t="s">
        <v>172</v>
      </c>
      <c r="J6" s="1605" t="s">
        <v>5042</v>
      </c>
      <c r="K6" s="1828"/>
      <c r="L6" s="1545"/>
      <c r="M6" s="1852" t="s">
        <v>4694</v>
      </c>
    </row>
    <row r="7" spans="1:14" s="1548" customFormat="1" ht="71.25" customHeight="1">
      <c r="A7" s="1667">
        <v>2</v>
      </c>
      <c r="B7" s="1493" t="s">
        <v>5043</v>
      </c>
      <c r="C7" s="1826">
        <f>120+2420+3000</f>
        <v>5540</v>
      </c>
      <c r="D7" s="1495" t="s">
        <v>5044</v>
      </c>
      <c r="E7" s="1493" t="s">
        <v>37</v>
      </c>
      <c r="F7" s="1495" t="s">
        <v>5045</v>
      </c>
      <c r="G7" s="1543" t="s">
        <v>18</v>
      </c>
      <c r="H7" s="1493" t="s">
        <v>19</v>
      </c>
      <c r="I7" s="1493" t="s">
        <v>5046</v>
      </c>
      <c r="J7" s="1600" t="s">
        <v>5047</v>
      </c>
      <c r="K7" s="1771" t="s">
        <v>5048</v>
      </c>
      <c r="L7" s="1493"/>
      <c r="M7" s="1790"/>
    </row>
    <row r="8" spans="1:14" s="1548" customFormat="1" ht="116.25" customHeight="1">
      <c r="A8" s="1542">
        <v>3</v>
      </c>
      <c r="B8" s="1493" t="s">
        <v>59</v>
      </c>
      <c r="C8" s="1870">
        <v>3240</v>
      </c>
      <c r="D8" s="1495" t="s">
        <v>5049</v>
      </c>
      <c r="E8" s="1493" t="s">
        <v>89</v>
      </c>
      <c r="F8" s="1767" t="s">
        <v>5050</v>
      </c>
      <c r="G8" s="1543" t="s">
        <v>18</v>
      </c>
      <c r="H8" s="1493" t="s">
        <v>19</v>
      </c>
      <c r="I8" s="1493" t="s">
        <v>5051</v>
      </c>
      <c r="J8" s="1496" t="s">
        <v>5052</v>
      </c>
      <c r="K8" s="1547"/>
      <c r="L8" s="1493"/>
      <c r="M8" s="1790" t="s">
        <v>4694</v>
      </c>
    </row>
    <row r="9" spans="1:14" s="1548" customFormat="1" ht="168.75">
      <c r="A9" s="1542">
        <v>4</v>
      </c>
      <c r="B9" s="1545" t="s">
        <v>145</v>
      </c>
      <c r="C9" s="1827">
        <v>13000</v>
      </c>
      <c r="D9" s="1543" t="s">
        <v>5053</v>
      </c>
      <c r="E9" s="1545" t="s">
        <v>89</v>
      </c>
      <c r="F9" s="1874" t="s">
        <v>5054</v>
      </c>
      <c r="G9" s="1543" t="s">
        <v>18</v>
      </c>
      <c r="H9" s="1545" t="s">
        <v>19</v>
      </c>
      <c r="I9" s="1545" t="s">
        <v>172</v>
      </c>
      <c r="J9" s="1600" t="s">
        <v>5055</v>
      </c>
      <c r="K9" s="1547" t="s">
        <v>5056</v>
      </c>
      <c r="L9" s="1493"/>
      <c r="M9" s="1790"/>
    </row>
    <row r="10" spans="1:14" s="1548" customFormat="1" ht="131.25">
      <c r="A10" s="1667">
        <v>5</v>
      </c>
      <c r="B10" s="1790" t="s">
        <v>5057</v>
      </c>
      <c r="C10" s="1826">
        <v>11900</v>
      </c>
      <c r="D10" s="1495" t="s">
        <v>5058</v>
      </c>
      <c r="E10" s="1493" t="s">
        <v>25</v>
      </c>
      <c r="F10" s="1495" t="s">
        <v>5059</v>
      </c>
      <c r="G10" s="1495" t="s">
        <v>18</v>
      </c>
      <c r="H10" s="1493" t="s">
        <v>19</v>
      </c>
      <c r="I10" s="1493" t="s">
        <v>2949</v>
      </c>
      <c r="J10" s="1873" t="s">
        <v>5060</v>
      </c>
      <c r="K10" s="1547"/>
      <c r="L10" s="1493"/>
      <c r="M10" s="1790"/>
    </row>
    <row r="11" spans="1:14" s="1548" customFormat="1" ht="63" customHeight="1">
      <c r="A11" s="1542">
        <v>6</v>
      </c>
      <c r="B11" s="1867" t="s">
        <v>3495</v>
      </c>
      <c r="C11" s="1868">
        <v>9000</v>
      </c>
      <c r="D11" s="1851" t="s">
        <v>5061</v>
      </c>
      <c r="E11" s="1869" t="s">
        <v>16</v>
      </c>
      <c r="F11" s="1872" t="s">
        <v>5062</v>
      </c>
      <c r="G11" s="1875" t="s">
        <v>18</v>
      </c>
      <c r="H11" s="1871" t="s">
        <v>19</v>
      </c>
      <c r="I11" s="1630" t="s">
        <v>63</v>
      </c>
      <c r="J11" s="1497" t="s">
        <v>5063</v>
      </c>
      <c r="K11" s="1547"/>
      <c r="L11" s="1493"/>
      <c r="M11" s="1790" t="s">
        <v>4694</v>
      </c>
    </row>
    <row r="12" spans="1:14" s="1548" customFormat="1" ht="63" customHeight="1">
      <c r="A12" s="1542">
        <v>7</v>
      </c>
      <c r="B12" s="1493" t="s">
        <v>157</v>
      </c>
      <c r="C12" s="1870">
        <v>3240</v>
      </c>
      <c r="D12" s="1495" t="s">
        <v>5064</v>
      </c>
      <c r="E12" s="1493" t="s">
        <v>89</v>
      </c>
      <c r="F12" s="1495" t="s">
        <v>5065</v>
      </c>
      <c r="G12" s="1543" t="s">
        <v>18</v>
      </c>
      <c r="H12" s="1493" t="s">
        <v>19</v>
      </c>
      <c r="I12" s="1493" t="s">
        <v>123</v>
      </c>
      <c r="J12" s="1600" t="s">
        <v>5066</v>
      </c>
      <c r="K12" s="1547"/>
      <c r="L12" s="1493"/>
      <c r="M12" s="1790" t="s">
        <v>4694</v>
      </c>
    </row>
    <row r="13" spans="1:14" s="1548" customFormat="1" ht="99.75" customHeight="1">
      <c r="A13" s="1542">
        <v>8</v>
      </c>
      <c r="B13" s="1493" t="s">
        <v>93</v>
      </c>
      <c r="C13" s="1826">
        <v>2950</v>
      </c>
      <c r="D13" s="1495" t="s">
        <v>5067</v>
      </c>
      <c r="E13" s="1493" t="s">
        <v>84</v>
      </c>
      <c r="F13" s="1767" t="s">
        <v>5068</v>
      </c>
      <c r="G13" s="1543" t="s">
        <v>18</v>
      </c>
      <c r="H13" s="1493" t="s">
        <v>19</v>
      </c>
      <c r="I13" s="1493" t="s">
        <v>172</v>
      </c>
      <c r="J13" s="1600" t="s">
        <v>5069</v>
      </c>
      <c r="K13" s="1547"/>
      <c r="L13" s="1493"/>
      <c r="M13" s="1790" t="s">
        <v>4694</v>
      </c>
    </row>
    <row r="14" spans="1:14" s="1548" customFormat="1" ht="81" customHeight="1">
      <c r="A14" s="1542">
        <v>9</v>
      </c>
      <c r="B14" s="1493" t="s">
        <v>71</v>
      </c>
      <c r="C14" s="1826">
        <v>3700</v>
      </c>
      <c r="D14" s="1495" t="s">
        <v>5070</v>
      </c>
      <c r="E14" s="1493" t="s">
        <v>16</v>
      </c>
      <c r="F14" s="1495" t="s">
        <v>5071</v>
      </c>
      <c r="G14" s="1543" t="s">
        <v>18</v>
      </c>
      <c r="H14" s="1493" t="s">
        <v>19</v>
      </c>
      <c r="I14" s="1495" t="s">
        <v>5072</v>
      </c>
      <c r="J14" s="1600" t="s">
        <v>5073</v>
      </c>
      <c r="K14" s="1547" t="s">
        <v>5074</v>
      </c>
      <c r="L14" s="1493"/>
      <c r="M14" s="1790" t="s">
        <v>4694</v>
      </c>
    </row>
    <row r="15" spans="1:14" s="1548" customFormat="1" ht="108.75" customHeight="1">
      <c r="A15" s="1542">
        <v>10</v>
      </c>
      <c r="B15" s="1493" t="s">
        <v>217</v>
      </c>
      <c r="C15" s="1826">
        <v>4200</v>
      </c>
      <c r="D15" s="1495" t="s">
        <v>5075</v>
      </c>
      <c r="E15" s="1493" t="s">
        <v>43</v>
      </c>
      <c r="F15" s="1495" t="s">
        <v>5076</v>
      </c>
      <c r="G15" s="1543" t="s">
        <v>18</v>
      </c>
      <c r="H15" s="1493" t="s">
        <v>19</v>
      </c>
      <c r="I15" s="1493" t="s">
        <v>5077</v>
      </c>
      <c r="J15" s="1600" t="s">
        <v>5078</v>
      </c>
      <c r="K15" s="1547"/>
      <c r="L15" s="1493"/>
      <c r="M15" s="1790" t="s">
        <v>4694</v>
      </c>
    </row>
    <row r="16" spans="1:14" s="1548" customFormat="1" ht="255" customHeight="1">
      <c r="A16" s="1542">
        <v>11</v>
      </c>
      <c r="B16" s="1493" t="s">
        <v>5079</v>
      </c>
      <c r="C16" s="1826">
        <v>5950</v>
      </c>
      <c r="D16" s="1495" t="s">
        <v>5080</v>
      </c>
      <c r="E16" s="1493" t="s">
        <v>77</v>
      </c>
      <c r="F16" s="1495" t="s">
        <v>5081</v>
      </c>
      <c r="G16" s="1543" t="s">
        <v>18</v>
      </c>
      <c r="H16" s="1493" t="s">
        <v>19</v>
      </c>
      <c r="I16" s="1495" t="s">
        <v>5082</v>
      </c>
      <c r="J16" s="1600" t="s">
        <v>5083</v>
      </c>
      <c r="K16" s="1547"/>
      <c r="L16" s="1493"/>
      <c r="M16" s="1790"/>
    </row>
    <row r="17" spans="1:13" s="1548" customFormat="1" ht="96.75" customHeight="1">
      <c r="A17" s="1542">
        <v>12</v>
      </c>
      <c r="B17" s="1493" t="s">
        <v>117</v>
      </c>
      <c r="C17" s="1826">
        <v>4000</v>
      </c>
      <c r="D17" s="1495" t="s">
        <v>5084</v>
      </c>
      <c r="E17" s="1493" t="s">
        <v>84</v>
      </c>
      <c r="F17" s="1495" t="s">
        <v>5085</v>
      </c>
      <c r="G17" s="1543" t="s">
        <v>18</v>
      </c>
      <c r="H17" s="1493" t="s">
        <v>19</v>
      </c>
      <c r="I17" s="1495" t="s">
        <v>4581</v>
      </c>
      <c r="J17" s="1600" t="s">
        <v>5086</v>
      </c>
      <c r="K17" s="1547"/>
      <c r="L17" s="1493"/>
      <c r="M17" s="1790" t="s">
        <v>4694</v>
      </c>
    </row>
    <row r="18" spans="1:13" s="1548" customFormat="1" ht="65.25" customHeight="1">
      <c r="A18" s="1542">
        <v>13</v>
      </c>
      <c r="B18" s="1493" t="s">
        <v>2915</v>
      </c>
      <c r="C18" s="1826">
        <v>3300</v>
      </c>
      <c r="D18" s="1495" t="s">
        <v>5087</v>
      </c>
      <c r="E18" s="1493" t="s">
        <v>84</v>
      </c>
      <c r="F18" s="1495" t="s">
        <v>5088</v>
      </c>
      <c r="G18" s="1543" t="s">
        <v>18</v>
      </c>
      <c r="H18" s="1493" t="s">
        <v>19</v>
      </c>
      <c r="I18" s="1493" t="s">
        <v>172</v>
      </c>
      <c r="J18" s="1600" t="s">
        <v>5089</v>
      </c>
      <c r="K18" s="1547" t="s">
        <v>5090</v>
      </c>
      <c r="L18" s="1493"/>
      <c r="M18" s="1790" t="s">
        <v>4694</v>
      </c>
    </row>
    <row r="19" spans="1:13" s="1548" customFormat="1" ht="104.25" customHeight="1">
      <c r="A19" s="1542">
        <v>14</v>
      </c>
      <c r="B19" s="1493" t="s">
        <v>3856</v>
      </c>
      <c r="C19" s="1826">
        <v>3960</v>
      </c>
      <c r="D19" s="1495" t="s">
        <v>5091</v>
      </c>
      <c r="E19" s="1493" t="s">
        <v>54</v>
      </c>
      <c r="F19" s="1495" t="s">
        <v>5092</v>
      </c>
      <c r="G19" s="1543" t="s">
        <v>18</v>
      </c>
      <c r="H19" s="1493" t="s">
        <v>19</v>
      </c>
      <c r="I19" s="1493" t="s">
        <v>33</v>
      </c>
      <c r="J19" s="1600" t="s">
        <v>5093</v>
      </c>
      <c r="K19" s="1547"/>
      <c r="L19" s="1493"/>
      <c r="M19" s="1790" t="s">
        <v>4694</v>
      </c>
    </row>
    <row r="20" spans="1:13" s="1548" customFormat="1" ht="73.5" customHeight="1">
      <c r="A20" s="1542">
        <v>15</v>
      </c>
      <c r="B20" s="1493" t="s">
        <v>52</v>
      </c>
      <c r="C20" s="1826">
        <v>4700</v>
      </c>
      <c r="D20" s="1495" t="s">
        <v>5094</v>
      </c>
      <c r="E20" s="1493" t="s">
        <v>61</v>
      </c>
      <c r="F20" s="1495"/>
      <c r="G20" s="1543" t="s">
        <v>18</v>
      </c>
      <c r="H20" s="1493" t="s">
        <v>19</v>
      </c>
      <c r="I20" s="1493" t="s">
        <v>172</v>
      </c>
      <c r="J20" s="1600" t="s">
        <v>5095</v>
      </c>
      <c r="K20" s="1547"/>
      <c r="L20" s="1493"/>
      <c r="M20" s="1790" t="s">
        <v>4694</v>
      </c>
    </row>
    <row r="21" spans="1:13" s="1548" customFormat="1" ht="75" customHeight="1">
      <c r="A21" s="1542">
        <v>16</v>
      </c>
      <c r="B21" s="1493" t="s">
        <v>5096</v>
      </c>
      <c r="C21" s="1826">
        <f>22000+5000</f>
        <v>27000</v>
      </c>
      <c r="D21" s="1495" t="s">
        <v>5097</v>
      </c>
      <c r="E21" s="1493" t="s">
        <v>25</v>
      </c>
      <c r="F21" s="1495" t="s">
        <v>5098</v>
      </c>
      <c r="G21" s="1543" t="s">
        <v>18</v>
      </c>
      <c r="H21" s="1493" t="s">
        <v>19</v>
      </c>
      <c r="I21" s="1495" t="s">
        <v>5099</v>
      </c>
      <c r="J21" s="1600" t="s">
        <v>5100</v>
      </c>
      <c r="K21" s="1600" t="s">
        <v>5101</v>
      </c>
      <c r="L21" s="1493"/>
      <c r="M21" s="1790"/>
    </row>
    <row r="22" spans="1:13" s="1548" customFormat="1" ht="88.5" customHeight="1">
      <c r="A22" s="1542">
        <v>17</v>
      </c>
      <c r="B22" s="1493" t="s">
        <v>2921</v>
      </c>
      <c r="C22" s="1826">
        <v>6000</v>
      </c>
      <c r="D22" s="1495" t="s">
        <v>5102</v>
      </c>
      <c r="E22" s="1493" t="s">
        <v>16</v>
      </c>
      <c r="F22" s="1495" t="s">
        <v>5103</v>
      </c>
      <c r="G22" s="1495" t="s">
        <v>18</v>
      </c>
      <c r="H22" s="1493" t="s">
        <v>19</v>
      </c>
      <c r="I22" s="1493" t="s">
        <v>172</v>
      </c>
      <c r="J22" s="1600" t="s">
        <v>5104</v>
      </c>
      <c r="K22" s="1547"/>
      <c r="L22" s="1493"/>
      <c r="M22" s="1790"/>
    </row>
    <row r="23" spans="1:13" s="1548" customFormat="1" ht="67.5" customHeight="1">
      <c r="A23" s="1542">
        <v>18</v>
      </c>
      <c r="B23" s="1493" t="s">
        <v>3391</v>
      </c>
      <c r="C23" s="1826">
        <v>3300</v>
      </c>
      <c r="D23" s="1495" t="s">
        <v>5105</v>
      </c>
      <c r="E23" s="1493" t="s">
        <v>89</v>
      </c>
      <c r="F23" s="1495" t="s">
        <v>5106</v>
      </c>
      <c r="G23" s="1495" t="s">
        <v>18</v>
      </c>
      <c r="H23" s="1493" t="s">
        <v>19</v>
      </c>
      <c r="I23" s="1493" t="s">
        <v>101</v>
      </c>
      <c r="J23" s="1496" t="s">
        <v>5107</v>
      </c>
      <c r="K23" s="1547"/>
      <c r="L23" s="1493"/>
      <c r="M23" s="1790" t="s">
        <v>4694</v>
      </c>
    </row>
    <row r="24" spans="1:13" s="1548" customFormat="1" ht="62.25" customHeight="1">
      <c r="A24" s="1542">
        <v>19</v>
      </c>
      <c r="B24" s="1493" t="s">
        <v>4130</v>
      </c>
      <c r="C24" s="1826">
        <v>3300</v>
      </c>
      <c r="D24" s="1495" t="s">
        <v>5108</v>
      </c>
      <c r="E24" s="1493" t="s">
        <v>61</v>
      </c>
      <c r="F24" s="1495" t="s">
        <v>5109</v>
      </c>
      <c r="G24" s="1495" t="s">
        <v>18</v>
      </c>
      <c r="H24" s="1493" t="s">
        <v>19</v>
      </c>
      <c r="I24" s="1495" t="s">
        <v>172</v>
      </c>
      <c r="J24" s="1600" t="s">
        <v>5110</v>
      </c>
      <c r="K24" s="1547"/>
      <c r="L24" s="1493"/>
      <c r="M24" s="1790" t="s">
        <v>4694</v>
      </c>
    </row>
    <row r="25" spans="1:13" s="1548" customFormat="1" ht="58.5" customHeight="1">
      <c r="A25" s="1542">
        <v>20</v>
      </c>
      <c r="B25" s="1493" t="s">
        <v>5111</v>
      </c>
      <c r="C25" s="1826">
        <v>10500</v>
      </c>
      <c r="D25" s="1495" t="s">
        <v>5112</v>
      </c>
      <c r="E25" s="1493" t="s">
        <v>25</v>
      </c>
      <c r="F25" s="1495" t="s">
        <v>5113</v>
      </c>
      <c r="G25" s="1495" t="s">
        <v>18</v>
      </c>
      <c r="H25" s="1493" t="s">
        <v>19</v>
      </c>
      <c r="I25" s="1493" t="s">
        <v>3950</v>
      </c>
      <c r="J25" s="1600" t="s">
        <v>5114</v>
      </c>
      <c r="K25" s="1547"/>
      <c r="L25" s="1493"/>
      <c r="M25" s="1790"/>
    </row>
    <row r="26" spans="1:13" s="1548" customFormat="1" ht="125.25" customHeight="1">
      <c r="A26" s="1542">
        <v>21</v>
      </c>
      <c r="B26" s="1493" t="s">
        <v>93</v>
      </c>
      <c r="C26" s="1826">
        <v>2950</v>
      </c>
      <c r="D26" s="1495" t="s">
        <v>5115</v>
      </c>
      <c r="E26" s="1493" t="s">
        <v>84</v>
      </c>
      <c r="F26" s="1495" t="s">
        <v>751</v>
      </c>
      <c r="G26" s="1495" t="s">
        <v>18</v>
      </c>
      <c r="H26" s="1493" t="s">
        <v>19</v>
      </c>
      <c r="I26" s="1495" t="s">
        <v>20</v>
      </c>
      <c r="J26" s="1600" t="s">
        <v>5116</v>
      </c>
      <c r="K26" s="1600"/>
      <c r="L26" s="1493"/>
      <c r="M26" s="1790" t="s">
        <v>4694</v>
      </c>
    </row>
    <row r="27" spans="1:13" s="1548" customFormat="1" ht="58.5" customHeight="1">
      <c r="A27" s="1542">
        <v>22</v>
      </c>
      <c r="B27" s="1493" t="s">
        <v>82</v>
      </c>
      <c r="C27" s="1826">
        <v>4240</v>
      </c>
      <c r="D27" s="1495" t="s">
        <v>5115</v>
      </c>
      <c r="E27" s="1493" t="s">
        <v>84</v>
      </c>
      <c r="F27" s="1495"/>
      <c r="G27" s="1495" t="s">
        <v>18</v>
      </c>
      <c r="H27" s="1493" t="s">
        <v>19</v>
      </c>
      <c r="I27" s="1495" t="s">
        <v>20</v>
      </c>
      <c r="J27" s="1600" t="s">
        <v>5117</v>
      </c>
      <c r="K27" s="1600"/>
      <c r="L27" s="1493"/>
      <c r="M27" s="1790" t="s">
        <v>4694</v>
      </c>
    </row>
    <row r="28" spans="1:13" s="1548" customFormat="1" ht="84.75" customHeight="1">
      <c r="A28" s="1542">
        <v>23</v>
      </c>
      <c r="B28" s="1493" t="s">
        <v>2906</v>
      </c>
      <c r="C28" s="1826">
        <v>2300</v>
      </c>
      <c r="D28" s="1495" t="s">
        <v>5118</v>
      </c>
      <c r="E28" s="1493" t="s">
        <v>84</v>
      </c>
      <c r="F28" s="1495"/>
      <c r="G28" s="1495" t="s">
        <v>18</v>
      </c>
      <c r="H28" s="1493" t="s">
        <v>19</v>
      </c>
      <c r="I28" s="1493" t="s">
        <v>20</v>
      </c>
      <c r="J28" s="1600" t="s">
        <v>5119</v>
      </c>
      <c r="K28" s="1859"/>
      <c r="L28" s="1493"/>
      <c r="M28" s="1790" t="s">
        <v>4694</v>
      </c>
    </row>
    <row r="29" spans="1:13" s="1548" customFormat="1" ht="58.5" customHeight="1">
      <c r="A29" s="1542">
        <v>24</v>
      </c>
      <c r="B29" s="1493" t="s">
        <v>5120</v>
      </c>
      <c r="C29" s="1826">
        <v>35000</v>
      </c>
      <c r="D29" s="1495" t="s">
        <v>5121</v>
      </c>
      <c r="E29" s="1493" t="s">
        <v>4031</v>
      </c>
      <c r="F29" s="1495" t="s">
        <v>5122</v>
      </c>
      <c r="G29" s="1495" t="s">
        <v>18</v>
      </c>
      <c r="H29" s="1493" t="s">
        <v>19</v>
      </c>
      <c r="I29" s="1495" t="s">
        <v>5123</v>
      </c>
      <c r="J29" s="1600" t="s">
        <v>5124</v>
      </c>
      <c r="K29" s="1600" t="s">
        <v>5125</v>
      </c>
      <c r="L29" s="1493"/>
      <c r="M29" s="1790"/>
    </row>
    <row r="30" spans="1:13" s="1548" customFormat="1" ht="86.25" customHeight="1">
      <c r="A30" s="1542">
        <v>25</v>
      </c>
      <c r="B30" s="1493" t="s">
        <v>145</v>
      </c>
      <c r="C30" s="1826">
        <v>13500</v>
      </c>
      <c r="D30" s="1495" t="s">
        <v>5126</v>
      </c>
      <c r="E30" s="1493" t="s">
        <v>16</v>
      </c>
      <c r="F30" s="1495" t="s">
        <v>5127</v>
      </c>
      <c r="G30" s="1495" t="s">
        <v>18</v>
      </c>
      <c r="H30" s="1493" t="s">
        <v>19</v>
      </c>
      <c r="I30" s="1493" t="s">
        <v>123</v>
      </c>
      <c r="J30" s="1600" t="s">
        <v>5128</v>
      </c>
      <c r="K30" s="1547"/>
      <c r="L30" s="1493"/>
      <c r="M30" s="1790" t="s">
        <v>4694</v>
      </c>
    </row>
    <row r="31" spans="1:13" s="1883" customFormat="1" ht="140.25" customHeight="1">
      <c r="A31" s="1850">
        <v>26</v>
      </c>
      <c r="B31" s="1630" t="s">
        <v>1543</v>
      </c>
      <c r="C31" s="1868">
        <v>14000</v>
      </c>
      <c r="D31" s="1851" t="s">
        <v>5129</v>
      </c>
      <c r="E31" s="1630" t="s">
        <v>16</v>
      </c>
      <c r="F31" s="1495" t="s">
        <v>5130</v>
      </c>
      <c r="G31" s="1495" t="s">
        <v>18</v>
      </c>
      <c r="H31" s="1630" t="s">
        <v>19</v>
      </c>
      <c r="I31" s="1630" t="s">
        <v>172</v>
      </c>
      <c r="J31" s="1628" t="s">
        <v>5131</v>
      </c>
      <c r="K31" s="1881"/>
      <c r="L31" s="1630"/>
      <c r="M31" s="1882" t="s">
        <v>4694</v>
      </c>
    </row>
    <row r="32" spans="1:13" s="1548" customFormat="1" ht="69.75" customHeight="1">
      <c r="A32" s="1542">
        <v>27</v>
      </c>
      <c r="B32" s="1493" t="s">
        <v>59</v>
      </c>
      <c r="C32" s="1826">
        <v>3240</v>
      </c>
      <c r="D32" s="1495" t="s">
        <v>5132</v>
      </c>
      <c r="E32" s="1493" t="s">
        <v>89</v>
      </c>
      <c r="F32" s="1495" t="s">
        <v>5133</v>
      </c>
      <c r="G32" s="1495" t="s">
        <v>18</v>
      </c>
      <c r="H32" s="1493" t="s">
        <v>19</v>
      </c>
      <c r="I32" s="1493" t="s">
        <v>63</v>
      </c>
      <c r="J32" s="1600" t="s">
        <v>5134</v>
      </c>
      <c r="K32" s="1600" t="s">
        <v>5135</v>
      </c>
      <c r="L32" s="1493"/>
      <c r="M32" s="1790" t="s">
        <v>4694</v>
      </c>
    </row>
    <row r="33" spans="1:13" s="1559" customFormat="1" ht="102.75" customHeight="1">
      <c r="A33" s="1553">
        <v>28</v>
      </c>
      <c r="B33" s="1545" t="s">
        <v>211</v>
      </c>
      <c r="C33" s="1827">
        <v>4000</v>
      </c>
      <c r="D33" s="1543" t="s">
        <v>5136</v>
      </c>
      <c r="E33" s="1545" t="s">
        <v>61</v>
      </c>
      <c r="F33" s="1495" t="s">
        <v>5137</v>
      </c>
      <c r="G33" s="1495" t="s">
        <v>18</v>
      </c>
      <c r="H33" s="1545" t="s">
        <v>19</v>
      </c>
      <c r="I33" s="1545" t="s">
        <v>33</v>
      </c>
      <c r="J33" s="1605" t="s">
        <v>5138</v>
      </c>
      <c r="K33" s="1605" t="s">
        <v>5135</v>
      </c>
      <c r="L33" s="1545"/>
      <c r="M33" s="1852" t="s">
        <v>4694</v>
      </c>
    </row>
    <row r="34" spans="1:13" s="1548" customFormat="1" ht="73.5" customHeight="1">
      <c r="A34" s="1542">
        <v>29</v>
      </c>
      <c r="B34" s="1493" t="s">
        <v>157</v>
      </c>
      <c r="C34" s="1826">
        <v>3240</v>
      </c>
      <c r="D34" s="1495" t="s">
        <v>5139</v>
      </c>
      <c r="E34" s="1493" t="s">
        <v>89</v>
      </c>
      <c r="F34" s="1495" t="s">
        <v>5140</v>
      </c>
      <c r="G34" s="1495" t="s">
        <v>18</v>
      </c>
      <c r="H34" s="1493" t="s">
        <v>19</v>
      </c>
      <c r="I34" s="1493" t="s">
        <v>393</v>
      </c>
      <c r="J34" s="1600" t="s">
        <v>5141</v>
      </c>
      <c r="K34" s="1547"/>
      <c r="L34" s="1493"/>
      <c r="M34" s="1790" t="s">
        <v>4694</v>
      </c>
    </row>
    <row r="35" spans="1:13" s="1548" customFormat="1" ht="117.75" customHeight="1">
      <c r="A35" s="1542">
        <v>30</v>
      </c>
      <c r="B35" s="1493" t="s">
        <v>5142</v>
      </c>
      <c r="C35" s="1826">
        <f>2000+15700</f>
        <v>17700</v>
      </c>
      <c r="D35" s="1495" t="s">
        <v>5143</v>
      </c>
      <c r="E35" s="1493" t="s">
        <v>77</v>
      </c>
      <c r="F35" s="1543" t="s">
        <v>5144</v>
      </c>
      <c r="G35" s="1495" t="s">
        <v>18</v>
      </c>
      <c r="H35" s="1493" t="s">
        <v>19</v>
      </c>
      <c r="I35" s="1493" t="s">
        <v>5145</v>
      </c>
      <c r="J35" s="1600" t="s">
        <v>5146</v>
      </c>
      <c r="K35" s="1547"/>
      <c r="L35" s="1493"/>
      <c r="M35" s="1493"/>
    </row>
    <row r="36" spans="1:13" s="1548" customFormat="1" ht="128.25" customHeight="1">
      <c r="A36" s="1542">
        <v>31</v>
      </c>
      <c r="B36" s="1495" t="s">
        <v>5147</v>
      </c>
      <c r="C36" s="1826">
        <v>11800</v>
      </c>
      <c r="D36" s="1495" t="s">
        <v>5148</v>
      </c>
      <c r="E36" s="1769" t="s">
        <v>25</v>
      </c>
      <c r="F36" s="1495" t="s">
        <v>5149</v>
      </c>
      <c r="G36" s="1884" t="s">
        <v>5150</v>
      </c>
      <c r="H36" s="1493" t="s">
        <v>19</v>
      </c>
      <c r="I36" s="1493" t="s">
        <v>5151</v>
      </c>
      <c r="J36" s="1600" t="s">
        <v>5152</v>
      </c>
      <c r="K36" s="1547" t="s">
        <v>5153</v>
      </c>
      <c r="L36" s="1493" t="s">
        <v>5154</v>
      </c>
      <c r="M36" s="1493"/>
    </row>
    <row r="37" spans="1:13" s="1548" customFormat="1" ht="63.75" customHeight="1">
      <c r="A37" s="1542">
        <v>32</v>
      </c>
      <c r="B37" s="1493" t="s">
        <v>71</v>
      </c>
      <c r="C37" s="1826">
        <v>3700</v>
      </c>
      <c r="D37" s="1495" t="s">
        <v>5155</v>
      </c>
      <c r="E37" s="1493" t="s">
        <v>16</v>
      </c>
      <c r="F37" s="1851" t="s">
        <v>5156</v>
      </c>
      <c r="G37" s="1884" t="s">
        <v>5150</v>
      </c>
      <c r="H37" s="1493" t="s">
        <v>19</v>
      </c>
      <c r="I37" s="1493" t="s">
        <v>5157</v>
      </c>
      <c r="J37" s="1496" t="s">
        <v>5158</v>
      </c>
      <c r="K37" s="1547"/>
      <c r="L37" s="1493"/>
      <c r="M37" s="1790" t="s">
        <v>4694</v>
      </c>
    </row>
    <row r="38" spans="1:13" s="1883" customFormat="1" ht="137.25" customHeight="1">
      <c r="A38" s="1850">
        <v>33</v>
      </c>
      <c r="B38" s="1630" t="s">
        <v>4157</v>
      </c>
      <c r="C38" s="1868">
        <v>7300</v>
      </c>
      <c r="D38" s="1851" t="s">
        <v>5159</v>
      </c>
      <c r="E38" s="1630" t="s">
        <v>89</v>
      </c>
      <c r="F38" s="1851" t="s">
        <v>5160</v>
      </c>
      <c r="G38" s="1884" t="s">
        <v>5150</v>
      </c>
      <c r="H38" s="1630" t="s">
        <v>19</v>
      </c>
      <c r="I38" s="1630" t="s">
        <v>172</v>
      </c>
      <c r="J38" s="1628" t="s">
        <v>5161</v>
      </c>
      <c r="K38" s="1881"/>
      <c r="L38" s="1630"/>
      <c r="M38" s="1882" t="s">
        <v>4694</v>
      </c>
    </row>
    <row r="39" spans="1:13" s="1883" customFormat="1" ht="71.25" customHeight="1">
      <c r="A39" s="1850">
        <v>34</v>
      </c>
      <c r="B39" s="1630" t="s">
        <v>117</v>
      </c>
      <c r="C39" s="1868">
        <v>4000</v>
      </c>
      <c r="D39" s="1851" t="s">
        <v>5162</v>
      </c>
      <c r="E39" s="1630" t="s">
        <v>61</v>
      </c>
      <c r="F39" s="1851" t="s">
        <v>5163</v>
      </c>
      <c r="G39" s="1884" t="s">
        <v>5150</v>
      </c>
      <c r="H39" s="1630" t="s">
        <v>19</v>
      </c>
      <c r="I39" s="1630" t="s">
        <v>172</v>
      </c>
      <c r="J39" s="1628" t="s">
        <v>5164</v>
      </c>
      <c r="K39" s="1881"/>
      <c r="L39" s="1630"/>
      <c r="M39" s="1882" t="s">
        <v>4694</v>
      </c>
    </row>
    <row r="40" spans="1:13" ht="58.5" customHeight="1">
      <c r="A40" s="359">
        <v>35</v>
      </c>
    </row>
    <row r="41" spans="1:13" s="1880" customFormat="1" ht="75" customHeight="1">
      <c r="A41" s="874">
        <v>36</v>
      </c>
      <c r="B41" s="112"/>
      <c r="C41" s="1876"/>
      <c r="D41" s="735"/>
      <c r="E41" s="112"/>
      <c r="F41" s="735"/>
      <c r="G41" s="735"/>
      <c r="H41" s="112"/>
      <c r="I41" s="112"/>
      <c r="J41" s="1877"/>
      <c r="K41" s="1878"/>
      <c r="L41" s="112"/>
      <c r="M41" s="1879"/>
    </row>
    <row r="42" spans="1:13" s="1777" customFormat="1" ht="63" customHeight="1">
      <c r="A42" s="738">
        <v>37</v>
      </c>
      <c r="B42" s="102"/>
      <c r="C42" s="1207"/>
      <c r="D42" s="109"/>
      <c r="E42" s="102"/>
      <c r="F42" s="109"/>
      <c r="G42" s="109"/>
      <c r="H42" s="102"/>
      <c r="I42" s="102"/>
      <c r="J42" s="696"/>
      <c r="K42" s="143"/>
      <c r="L42" s="102"/>
      <c r="M42" s="1853"/>
    </row>
    <row r="43" spans="1:13" s="1777" customFormat="1" ht="58.5" customHeight="1">
      <c r="A43" s="738">
        <v>38</v>
      </c>
      <c r="B43" s="102"/>
      <c r="C43" s="1207"/>
      <c r="D43" s="109"/>
      <c r="E43" s="102"/>
      <c r="F43" s="109"/>
      <c r="G43" s="109"/>
      <c r="H43" s="102"/>
      <c r="I43" s="102"/>
      <c r="J43" s="143"/>
      <c r="K43" s="143"/>
      <c r="L43" s="102"/>
      <c r="M43" s="1853"/>
    </row>
    <row r="44" spans="1:13" s="1777" customFormat="1" ht="58.5" customHeight="1">
      <c r="A44" s="738">
        <v>39</v>
      </c>
      <c r="B44" s="102"/>
      <c r="C44" s="1207"/>
      <c r="D44" s="109"/>
      <c r="E44" s="102"/>
      <c r="F44" s="109"/>
      <c r="G44" s="109"/>
      <c r="H44" s="102"/>
      <c r="I44" s="102"/>
      <c r="J44" s="143"/>
      <c r="K44" s="143"/>
      <c r="L44" s="102"/>
      <c r="M44" s="1853"/>
    </row>
    <row r="45" spans="1:13" s="1777" customFormat="1" ht="58.5" customHeight="1">
      <c r="A45" s="738">
        <v>40</v>
      </c>
      <c r="B45" s="102"/>
      <c r="C45" s="1207"/>
      <c r="D45" s="109"/>
      <c r="E45" s="102"/>
      <c r="F45" s="109"/>
      <c r="G45" s="109"/>
      <c r="H45" s="102"/>
      <c r="I45" s="102"/>
      <c r="J45" s="143"/>
      <c r="K45" s="143"/>
      <c r="L45" s="102"/>
      <c r="M45" s="1853"/>
    </row>
    <row r="46" spans="1:13" s="1777" customFormat="1" ht="58.5" customHeight="1">
      <c r="A46" s="738">
        <v>41</v>
      </c>
      <c r="B46" s="102"/>
      <c r="C46" s="1207"/>
      <c r="D46" s="109"/>
      <c r="E46" s="102"/>
      <c r="F46" s="109"/>
      <c r="G46" s="109"/>
      <c r="H46" s="102"/>
      <c r="I46" s="102"/>
      <c r="J46" s="143"/>
      <c r="K46" s="143"/>
      <c r="L46" s="102"/>
      <c r="M46" s="1853"/>
    </row>
    <row r="47" spans="1:13" s="1777" customFormat="1" ht="58.5" customHeight="1">
      <c r="A47" s="738">
        <v>42</v>
      </c>
      <c r="B47" s="102"/>
      <c r="C47" s="1207"/>
      <c r="D47" s="109"/>
      <c r="E47" s="102"/>
      <c r="F47" s="109"/>
      <c r="G47" s="109"/>
      <c r="H47" s="102"/>
      <c r="I47" s="102"/>
      <c r="J47" s="143"/>
      <c r="K47" s="143"/>
      <c r="L47" s="102"/>
      <c r="M47" s="1853"/>
    </row>
    <row r="48" spans="1:13" s="1777" customFormat="1" ht="58.5" customHeight="1">
      <c r="A48" s="738">
        <v>43</v>
      </c>
      <c r="B48" s="102"/>
      <c r="C48" s="1207"/>
      <c r="D48" s="109"/>
      <c r="E48" s="102"/>
      <c r="F48" s="109"/>
      <c r="G48" s="109"/>
      <c r="H48" s="102"/>
      <c r="I48" s="102"/>
      <c r="J48" s="143"/>
      <c r="K48" s="143"/>
      <c r="L48" s="102"/>
      <c r="M48" s="1853"/>
    </row>
    <row r="49" spans="1:13" s="1777" customFormat="1" ht="58.5" customHeight="1">
      <c r="A49" s="738">
        <v>44</v>
      </c>
      <c r="B49" s="102"/>
      <c r="C49" s="1207"/>
      <c r="D49" s="109"/>
      <c r="E49" s="102"/>
      <c r="F49" s="109"/>
      <c r="G49" s="109"/>
      <c r="H49" s="102"/>
      <c r="I49" s="102"/>
      <c r="J49" s="143"/>
      <c r="K49" s="143"/>
      <c r="L49" s="102"/>
      <c r="M49" s="1853"/>
    </row>
    <row r="50" spans="1:13" s="1777" customFormat="1" ht="58.5" customHeight="1">
      <c r="A50" s="738">
        <v>45</v>
      </c>
      <c r="B50" s="102"/>
      <c r="C50" s="1207"/>
      <c r="D50" s="109"/>
      <c r="E50" s="102"/>
      <c r="F50" s="109"/>
      <c r="G50" s="109"/>
      <c r="H50" s="102"/>
      <c r="I50" s="102"/>
      <c r="J50" s="143"/>
      <c r="K50" s="143"/>
      <c r="L50" s="102"/>
      <c r="M50" s="1853"/>
    </row>
    <row r="51" spans="1:13" s="1777" customFormat="1" ht="58.5" customHeight="1">
      <c r="A51" s="738">
        <v>46</v>
      </c>
      <c r="B51" s="102"/>
      <c r="C51" s="1207"/>
      <c r="D51" s="109"/>
      <c r="E51" s="102"/>
      <c r="F51" s="109"/>
      <c r="G51" s="109"/>
      <c r="H51" s="102"/>
      <c r="I51" s="102"/>
      <c r="J51" s="143"/>
      <c r="K51" s="143"/>
      <c r="L51" s="102"/>
      <c r="M51" s="1853"/>
    </row>
    <row r="52" spans="1:13" s="1777" customFormat="1" ht="58.5" customHeight="1">
      <c r="A52" s="738">
        <v>47</v>
      </c>
      <c r="B52" s="102"/>
      <c r="C52" s="1207"/>
      <c r="D52" s="109"/>
      <c r="E52" s="102"/>
      <c r="F52" s="109"/>
      <c r="G52" s="109"/>
      <c r="H52" s="102"/>
      <c r="I52" s="102"/>
      <c r="J52" s="143"/>
      <c r="K52" s="143"/>
      <c r="L52" s="102"/>
      <c r="M52" s="1853"/>
    </row>
    <row r="53" spans="1:13" s="1777" customFormat="1" ht="58.5" customHeight="1">
      <c r="A53" s="738">
        <v>48</v>
      </c>
      <c r="B53" s="102"/>
      <c r="C53" s="1207"/>
      <c r="D53" s="109"/>
      <c r="E53" s="102"/>
      <c r="F53" s="109"/>
      <c r="G53" s="109"/>
      <c r="H53" s="102"/>
      <c r="I53" s="102"/>
      <c r="J53" s="143"/>
      <c r="K53" s="143"/>
      <c r="L53" s="102"/>
      <c r="M53" s="1853"/>
    </row>
    <row r="54" spans="1:13" s="1777" customFormat="1" ht="58.5" customHeight="1">
      <c r="A54" s="738">
        <v>49</v>
      </c>
      <c r="B54" s="102"/>
      <c r="C54" s="1207"/>
      <c r="D54" s="109"/>
      <c r="E54" s="102"/>
      <c r="F54" s="109"/>
      <c r="G54" s="109"/>
      <c r="H54" s="102"/>
      <c r="I54" s="102"/>
      <c r="J54" s="143"/>
      <c r="K54" s="143"/>
      <c r="L54" s="102"/>
      <c r="M54" s="1853"/>
    </row>
    <row r="55" spans="1:13" s="1777" customFormat="1" ht="58.5" customHeight="1">
      <c r="A55" s="738">
        <v>50</v>
      </c>
      <c r="B55" s="102"/>
      <c r="C55" s="1207"/>
      <c r="D55" s="109"/>
      <c r="E55" s="102"/>
      <c r="F55" s="109"/>
      <c r="G55" s="109"/>
      <c r="H55" s="102"/>
      <c r="I55" s="102"/>
      <c r="J55" s="143"/>
      <c r="K55" s="143"/>
      <c r="L55" s="102"/>
      <c r="M55" s="1853"/>
    </row>
    <row r="56" spans="1:13" s="1777" customFormat="1" ht="58.5" customHeight="1">
      <c r="A56" s="738"/>
      <c r="B56" s="102"/>
      <c r="C56" s="1207"/>
      <c r="D56" s="109"/>
      <c r="E56" s="102"/>
      <c r="F56" s="109"/>
      <c r="G56" s="109"/>
      <c r="H56" s="102"/>
      <c r="I56" s="102"/>
      <c r="J56" s="143"/>
      <c r="K56" s="143"/>
      <c r="L56" s="102"/>
      <c r="M56" s="1853"/>
    </row>
    <row r="57" spans="1:13" s="1777" customFormat="1" ht="58.5" customHeight="1">
      <c r="A57" s="738"/>
      <c r="B57" s="102"/>
      <c r="C57" s="1207"/>
      <c r="D57" s="109"/>
      <c r="E57" s="102"/>
      <c r="F57" s="109"/>
      <c r="G57" s="109"/>
      <c r="H57" s="102"/>
      <c r="I57" s="102"/>
      <c r="J57" s="143"/>
      <c r="K57" s="143"/>
      <c r="L57" s="102"/>
      <c r="M57" s="1853"/>
    </row>
    <row r="58" spans="1:13" s="1777" customFormat="1" ht="58.5" customHeight="1">
      <c r="A58" s="738"/>
      <c r="B58" s="102"/>
      <c r="C58" s="1207"/>
      <c r="D58" s="109"/>
      <c r="E58" s="102"/>
      <c r="F58" s="109"/>
      <c r="G58" s="109"/>
      <c r="H58" s="102"/>
      <c r="I58" s="102"/>
      <c r="J58" s="143"/>
      <c r="K58" s="143"/>
      <c r="L58" s="102"/>
      <c r="M58" s="1853"/>
    </row>
    <row r="59" spans="1:13" s="1777" customFormat="1" ht="58.5" customHeight="1">
      <c r="A59" s="738"/>
      <c r="B59" s="102"/>
      <c r="C59" s="1207"/>
      <c r="D59" s="109"/>
      <c r="E59" s="102"/>
      <c r="F59" s="109"/>
      <c r="G59" s="109"/>
      <c r="H59" s="102"/>
      <c r="I59" s="102"/>
      <c r="J59" s="143"/>
      <c r="K59" s="143"/>
      <c r="L59" s="102"/>
      <c r="M59" s="1853"/>
    </row>
    <row r="60" spans="1:13" s="1777" customFormat="1" ht="58.5" customHeight="1">
      <c r="A60" s="738"/>
      <c r="B60" s="102"/>
      <c r="C60" s="1207"/>
      <c r="D60" s="109"/>
      <c r="E60" s="102"/>
      <c r="F60" s="109"/>
      <c r="G60" s="109"/>
      <c r="H60" s="102"/>
      <c r="I60" s="102"/>
      <c r="J60" s="143"/>
      <c r="K60" s="143"/>
      <c r="L60" s="102"/>
      <c r="M60" s="1853"/>
    </row>
    <row r="61" spans="1:13" s="1823" customFormat="1" ht="45" customHeight="1">
      <c r="A61" s="1797"/>
      <c r="B61" s="1801" t="s">
        <v>5165</v>
      </c>
      <c r="C61" s="1830">
        <v>9400</v>
      </c>
      <c r="D61" s="1802"/>
      <c r="E61" s="1801"/>
      <c r="F61" s="1802"/>
      <c r="G61" s="1802" t="s">
        <v>216</v>
      </c>
      <c r="H61" s="1801"/>
      <c r="I61" s="1801"/>
      <c r="J61" s="1805"/>
      <c r="K61" s="1805"/>
      <c r="L61" s="1801"/>
      <c r="M61" s="1798"/>
    </row>
    <row r="62" spans="1:13" s="1823" customFormat="1" ht="51" customHeight="1">
      <c r="A62" s="1797"/>
      <c r="B62" s="1801" t="s">
        <v>5166</v>
      </c>
      <c r="C62" s="1830">
        <v>7500</v>
      </c>
      <c r="D62" s="1802" t="s">
        <v>5087</v>
      </c>
      <c r="E62" s="1801" t="s">
        <v>151</v>
      </c>
      <c r="F62" s="1802"/>
      <c r="G62" s="1866" t="s">
        <v>216</v>
      </c>
      <c r="H62" s="1801"/>
      <c r="I62" s="1801"/>
      <c r="J62" s="1803"/>
      <c r="K62" s="1805"/>
      <c r="L62" s="1801"/>
      <c r="M62" s="1798" t="s">
        <v>4694</v>
      </c>
    </row>
    <row r="63" spans="1:13" s="1823" customFormat="1" ht="45" customHeight="1">
      <c r="A63" s="1797"/>
      <c r="B63" s="1801" t="s">
        <v>14</v>
      </c>
      <c r="C63" s="1830">
        <v>3700</v>
      </c>
      <c r="D63" s="1802" t="s">
        <v>5167</v>
      </c>
      <c r="E63" s="1801" t="s">
        <v>16</v>
      </c>
      <c r="F63" s="1802"/>
      <c r="G63" s="1866" t="s">
        <v>216</v>
      </c>
      <c r="H63" s="1801" t="s">
        <v>19</v>
      </c>
      <c r="I63" s="1801" t="s">
        <v>199</v>
      </c>
      <c r="J63" s="1803"/>
      <c r="K63" s="1805"/>
      <c r="L63" s="1801"/>
      <c r="M63" s="1798" t="s">
        <v>4694</v>
      </c>
    </row>
    <row r="64" spans="1:13" s="1823" customFormat="1" ht="45" customHeight="1">
      <c r="A64" s="1797"/>
      <c r="B64" s="1801" t="s">
        <v>140</v>
      </c>
      <c r="C64" s="1830">
        <v>15500</v>
      </c>
      <c r="D64" s="1802" t="s">
        <v>5168</v>
      </c>
      <c r="E64" s="1801" t="s">
        <v>43</v>
      </c>
      <c r="F64" s="1802"/>
      <c r="G64" s="1866" t="s">
        <v>216</v>
      </c>
      <c r="H64" s="1801" t="s">
        <v>19</v>
      </c>
      <c r="I64" s="1801" t="s">
        <v>45</v>
      </c>
      <c r="J64" s="1803"/>
      <c r="K64" s="1805"/>
      <c r="L64" s="1801"/>
      <c r="M64" s="1798" t="s">
        <v>4694</v>
      </c>
    </row>
    <row r="65" spans="2:9" s="1823" customFormat="1" ht="45" customHeight="1">
      <c r="B65" s="1801" t="s">
        <v>30</v>
      </c>
      <c r="C65" s="1830">
        <v>4200</v>
      </c>
      <c r="D65" s="1802" t="s">
        <v>5169</v>
      </c>
      <c r="E65" s="1801" t="s">
        <v>89</v>
      </c>
      <c r="F65" s="1802"/>
      <c r="G65" s="1866" t="s">
        <v>216</v>
      </c>
      <c r="H65" s="1801" t="s">
        <v>19</v>
      </c>
      <c r="I65" s="1802" t="s">
        <v>4581</v>
      </c>
    </row>
    <row r="66" spans="2:9" s="1823" customFormat="1" ht="45" customHeight="1">
      <c r="B66" s="1801" t="s">
        <v>136</v>
      </c>
      <c r="C66" s="1830">
        <v>3900</v>
      </c>
      <c r="D66" s="1802" t="s">
        <v>5169</v>
      </c>
      <c r="E66" s="1801" t="s">
        <v>89</v>
      </c>
      <c r="F66" s="1802"/>
      <c r="G66" s="1866" t="s">
        <v>216</v>
      </c>
      <c r="H66" s="1801" t="s">
        <v>19</v>
      </c>
      <c r="I66" s="1801" t="s">
        <v>33</v>
      </c>
    </row>
  </sheetData>
  <autoFilter ref="A5:P64" xr:uid="{00000000-0009-0000-0000-000001000000}"/>
  <mergeCells count="4">
    <mergeCell ref="C1:K1"/>
    <mergeCell ref="A2:M2"/>
    <mergeCell ref="B3:M3"/>
    <mergeCell ref="A4:B4"/>
  </mergeCells>
  <conditionalFormatting sqref="A1:A4">
    <cfRule type="duplicateValues" dxfId="380" priority="5"/>
  </conditionalFormatting>
  <conditionalFormatting sqref="A5">
    <cfRule type="duplicateValues" dxfId="379" priority="4"/>
  </conditionalFormatting>
  <conditionalFormatting sqref="B5">
    <cfRule type="duplicateValues" dxfId="378" priority="1"/>
    <cfRule type="duplicateValues" dxfId="377" priority="2"/>
    <cfRule type="duplicateValues" dxfId="376" priority="3"/>
  </conditionalFormatting>
  <pageMargins left="0.7" right="0.7" top="0.75" bottom="0.75" header="0.3" footer="0.3"/>
  <pageSetup paperSize="9" scale="40" orientation="landscape"/>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F1495F-9290-49AF-90FA-CC68A4E303B1}">
  <dimension ref="A1:Y31"/>
  <sheetViews>
    <sheetView workbookViewId="0">
      <pane ySplit="2" topLeftCell="A3" activePane="bottomLeft" state="frozen"/>
      <selection pane="bottomLeft" activeCell="A25" sqref="A25:XFD25"/>
    </sheetView>
  </sheetViews>
  <sheetFormatPr defaultColWidth="9.42578125" defaultRowHeight="14.25" customHeight="1"/>
  <cols>
    <col min="1" max="1" width="15" style="2801" customWidth="1"/>
    <col min="2" max="2" width="10.85546875" style="2801" bestFit="1" customWidth="1"/>
    <col min="3" max="3" width="11.85546875" style="2801" bestFit="1" customWidth="1"/>
    <col min="4" max="4" width="10.85546875" style="2801" bestFit="1" customWidth="1"/>
    <col min="5" max="5" width="12.85546875" style="2801" customWidth="1"/>
    <col min="6" max="6" width="23.5703125" style="2801" hidden="1" customWidth="1"/>
    <col min="7" max="7" width="23.42578125" style="2801" hidden="1" customWidth="1"/>
    <col min="8" max="8" width="14.5703125" style="2801" customWidth="1"/>
    <col min="9" max="9" width="17" style="2801" bestFit="1" customWidth="1"/>
    <col min="10" max="10" width="14.5703125" style="2801" bestFit="1" customWidth="1"/>
    <col min="11" max="11" width="18" style="2801" customWidth="1"/>
    <col min="12" max="13" width="14.5703125" style="2801" bestFit="1" customWidth="1"/>
    <col min="14" max="16" width="10.85546875" style="2801" bestFit="1" customWidth="1"/>
    <col min="17" max="17" width="8.28515625" style="2801" bestFit="1" customWidth="1"/>
    <col min="18" max="18" width="9.42578125" style="3113"/>
    <col min="19" max="19" width="12.7109375" style="3113" bestFit="1" customWidth="1"/>
    <col min="20" max="21" width="12.42578125" style="2801" bestFit="1" customWidth="1"/>
    <col min="22" max="22" width="14.42578125" style="2801" customWidth="1"/>
    <col min="23" max="23" width="11.85546875" style="2801" customWidth="1"/>
    <col min="24" max="16384" width="9.42578125" style="2801"/>
  </cols>
  <sheetData>
    <row r="1" spans="1:17">
      <c r="A1" s="2800" t="s">
        <v>5170</v>
      </c>
    </row>
    <row r="2" spans="1:17" ht="15">
      <c r="A2" s="2802" t="s">
        <v>5171</v>
      </c>
      <c r="B2" s="2802">
        <v>1</v>
      </c>
      <c r="C2" s="2802">
        <v>2</v>
      </c>
      <c r="D2" s="2802">
        <v>3</v>
      </c>
      <c r="E2" s="2803" t="s">
        <v>5172</v>
      </c>
      <c r="F2" s="2802" t="s">
        <v>5173</v>
      </c>
      <c r="G2" s="2802" t="s">
        <v>5174</v>
      </c>
      <c r="H2" s="2802" t="s">
        <v>5175</v>
      </c>
      <c r="I2" s="2802" t="s">
        <v>5176</v>
      </c>
      <c r="J2" s="3255" t="s">
        <v>5177</v>
      </c>
      <c r="K2" s="2802" t="s">
        <v>5178</v>
      </c>
      <c r="L2" s="2802" t="s">
        <v>5179</v>
      </c>
    </row>
    <row r="3" spans="1:17" ht="15">
      <c r="A3" s="2804">
        <v>45809</v>
      </c>
      <c r="B3" s="2805">
        <f>SUMIF('LỊCH TÀU - 06.2025'!$P$3:$P$1048576,KH!B$2,'LỊCH TÀU - 06.2025'!$L$3:$L$1048576)</f>
        <v>92478</v>
      </c>
      <c r="C3" s="2805">
        <f>SUMIF('LỊCH TÀU - 06.2025'!$P$3:$P$1048576,KH!C$2,'LỊCH TÀU - 06.2025'!$L$3:$L$1048576)</f>
        <v>178358</v>
      </c>
      <c r="D3" s="2805">
        <f>SUMIF('LỊCH TÀU - 06.2025'!$P$3:$P$1048576,KH!D$2,'LỊCH TÀU - 06.2025'!$L$3:$L$1048576)</f>
        <v>110506</v>
      </c>
      <c r="E3" s="2806">
        <f>SUM(B3:D3)</f>
        <v>381342</v>
      </c>
      <c r="F3" s="2807">
        <v>390000</v>
      </c>
      <c r="G3" s="2807">
        <v>370000</v>
      </c>
      <c r="H3" s="2830">
        <v>185000</v>
      </c>
      <c r="I3" s="3256">
        <v>341401</v>
      </c>
      <c r="J3" s="2925">
        <v>341401</v>
      </c>
      <c r="K3" s="2831">
        <f>+H3+J3-E3</f>
        <v>145059</v>
      </c>
      <c r="L3" s="2831"/>
      <c r="M3" s="2808"/>
      <c r="N3" s="2808"/>
      <c r="O3" s="2808"/>
      <c r="P3" s="2808"/>
      <c r="Q3" s="2808"/>
    </row>
    <row r="4" spans="1:17" ht="15">
      <c r="A4" s="2804">
        <v>45839</v>
      </c>
      <c r="B4" s="2805">
        <f>SUMIF('LỊCH TÀU - 07.2025'!$P$3:$P$1048576,KH!B$2,'LỊCH TÀU - 07.2025'!$L$3:$L$1048576)</f>
        <v>100700</v>
      </c>
      <c r="C4" s="2805">
        <f>SUMIF('LỊCH TÀU - 07.2025'!$P$3:$P$1048576,KH!C$2,'LỊCH TÀU - 07.2025'!$L$3:$L$1048576)</f>
        <v>119259.296</v>
      </c>
      <c r="D4" s="2805">
        <f>SUMIF('LỊCH TÀU - 07.2025'!$P$3:$P$1048576,KH!D$2,'LỊCH TÀU - 07.2025'!$L$3:$L$1048576)</f>
        <v>141721</v>
      </c>
      <c r="E4" s="2806">
        <f>SUM(B4:D4)</f>
        <v>361680.29599999997</v>
      </c>
      <c r="F4" s="2807">
        <v>430000</v>
      </c>
      <c r="G4" s="2807">
        <v>440000</v>
      </c>
      <c r="H4" s="2830">
        <f>+K3</f>
        <v>145059</v>
      </c>
      <c r="I4" s="3256">
        <v>389769</v>
      </c>
      <c r="J4" s="2925">
        <v>389769</v>
      </c>
      <c r="K4" s="2831">
        <f>+H4+J4-E4</f>
        <v>173147.70400000003</v>
      </c>
      <c r="L4" s="2831"/>
    </row>
    <row r="5" spans="1:17" ht="15">
      <c r="A5" s="2804">
        <v>45870</v>
      </c>
      <c r="B5" s="2805">
        <f>SUMIF('LỊCH TÀU - 08.2025'!$P$3:$P$1048576,KH!B$2,'LỊCH TÀU - 08.2025'!$L$3:$L$1048576)</f>
        <v>156170</v>
      </c>
      <c r="C5" s="2805">
        <f>SUMIF('LỊCH TÀU - 08.2025'!$P$3:$P$1048576,KH!C$2,'LỊCH TÀU - 08.2025'!$L$3:$L$1048576)</f>
        <v>86076</v>
      </c>
      <c r="D5" s="2805">
        <f>SUMIF('LỊCH TÀU - 08.2025'!$P$3:$P$1048576,KH!D$2,'LỊCH TÀU - 08.2025'!$L$3:$L$1048576)</f>
        <v>171210</v>
      </c>
      <c r="E5" s="2806">
        <f>SUM(B5:D5)</f>
        <v>413456</v>
      </c>
      <c r="F5" s="2807">
        <v>490000</v>
      </c>
      <c r="G5" s="2807">
        <v>490000</v>
      </c>
      <c r="H5" s="2829">
        <f>+K4</f>
        <v>173147.70400000003</v>
      </c>
      <c r="I5" s="3256">
        <v>446244</v>
      </c>
      <c r="J5" s="2925">
        <v>446244</v>
      </c>
      <c r="K5" s="2831">
        <f>+H5+J5-E5</f>
        <v>205935.70400000003</v>
      </c>
      <c r="L5" s="2831">
        <v>450000</v>
      </c>
      <c r="M5" s="2833"/>
    </row>
    <row r="6" spans="1:17" ht="15">
      <c r="A6" s="2804">
        <v>45901</v>
      </c>
      <c r="B6" s="2805">
        <f>SUMIF('LỊCH TÀU - 09.2025 '!$R$4:$R$1048576,KH!B$2,'LỊCH TÀU - 09.2025 '!$M$4:$M$1048576)</f>
        <v>136695</v>
      </c>
      <c r="C6" s="3089">
        <f>SUMIF('LỊCH TÀU - 09.2025 '!$R$4:$R$1048576,KH!C$2,'LỊCH TÀU - 09.2025 '!$M$4:$M$1048576)</f>
        <v>188929</v>
      </c>
      <c r="D6" s="2805">
        <f>SUMIF('LỊCH TÀU - 09.2025 '!$R$4:$R$1048576,KH!D$2,'LỊCH TÀU - 09.2025 '!$M$4:$M$1048576)</f>
        <v>164256</v>
      </c>
      <c r="E6" s="2806">
        <f>SUM(B6:D6)</f>
        <v>489880</v>
      </c>
      <c r="F6" s="2807">
        <v>563000</v>
      </c>
      <c r="G6" s="2807">
        <v>573000</v>
      </c>
      <c r="H6" s="2829">
        <f t="shared" ref="H6:H9" si="0">+K5</f>
        <v>205935.70400000003</v>
      </c>
      <c r="I6" s="3256">
        <v>547068</v>
      </c>
      <c r="J6" s="2925">
        <v>547068</v>
      </c>
      <c r="K6" s="2831">
        <f>+H6+J6-E6</f>
        <v>263123.70400000003</v>
      </c>
      <c r="L6" s="2831">
        <v>525000</v>
      </c>
      <c r="M6" s="2833">
        <f>L6/3</f>
        <v>175000</v>
      </c>
    </row>
    <row r="7" spans="1:17" ht="15">
      <c r="A7" s="2804">
        <v>45931</v>
      </c>
      <c r="B7" s="3144">
        <f>SUMIF('LỊCH TÀU - 10.2025 '!$Q$7:$Q$1048576,KH!B$2,'LỊCH TÀU - 10.2025 '!$M$7:$M$1048576)</f>
        <v>165615</v>
      </c>
      <c r="C7" s="3144">
        <f>SUMIF('LỊCH TÀU - 10.2025 '!$Q$7:$Q$1048576,KH!C$2,'LỊCH TÀU - 10.2025 '!$M$7:$M$1048576)</f>
        <v>166380</v>
      </c>
      <c r="D7" s="3144">
        <f>SUMIF('LỊCH TÀU - 10.2025 '!$Q$7:$Q$1048576,KH!D$2,'LỊCH TÀU - 10.2025 '!$M$7:$M$1048576)+15000</f>
        <v>164490</v>
      </c>
      <c r="E7" s="3161">
        <f>SUM(B7:D7)</f>
        <v>496485</v>
      </c>
      <c r="F7" s="2807">
        <v>605000</v>
      </c>
      <c r="G7" s="2807">
        <v>605000</v>
      </c>
      <c r="H7" s="2829">
        <f t="shared" si="0"/>
        <v>263123.70400000003</v>
      </c>
      <c r="I7" s="2831">
        <v>620000</v>
      </c>
      <c r="J7" s="2925"/>
      <c r="K7" s="2831">
        <f>+H7+I7-E7</f>
        <v>386638.70400000003</v>
      </c>
      <c r="L7" s="2831">
        <v>556000</v>
      </c>
      <c r="M7" s="3224">
        <f>L7*85%</f>
        <v>472600</v>
      </c>
      <c r="N7" s="2885"/>
      <c r="O7" s="2885"/>
      <c r="P7" s="2885"/>
      <c r="Q7" s="2885"/>
    </row>
    <row r="8" spans="1:17">
      <c r="A8" s="2804">
        <v>45962</v>
      </c>
      <c r="B8" s="2809"/>
      <c r="C8" s="2809"/>
      <c r="D8" s="2809"/>
      <c r="E8" s="2810"/>
      <c r="F8" s="2807">
        <v>648000</v>
      </c>
      <c r="G8" s="2807">
        <v>648000</v>
      </c>
      <c r="H8" s="2829">
        <f t="shared" si="0"/>
        <v>386638.70400000003</v>
      </c>
      <c r="I8" s="2831">
        <v>655000</v>
      </c>
      <c r="J8" s="2925"/>
      <c r="K8" s="2831">
        <f>+H8+I8-E8</f>
        <v>1041638.704</v>
      </c>
      <c r="L8" s="2831"/>
    </row>
    <row r="9" spans="1:17">
      <c r="A9" s="2804">
        <v>45992</v>
      </c>
      <c r="B9" s="2809"/>
      <c r="C9" s="2809"/>
      <c r="D9" s="2809"/>
      <c r="E9" s="2810"/>
      <c r="F9" s="2807">
        <v>657000</v>
      </c>
      <c r="G9" s="2807">
        <v>657000</v>
      </c>
      <c r="H9" s="2829">
        <f t="shared" si="0"/>
        <v>1041638.704</v>
      </c>
      <c r="I9" s="2831">
        <v>687000</v>
      </c>
      <c r="J9" s="2925"/>
      <c r="K9" s="2831">
        <f>+H9+I9-E9</f>
        <v>1728638.7039999999</v>
      </c>
      <c r="L9" s="2831"/>
    </row>
    <row r="10" spans="1:17">
      <c r="A10" s="2804">
        <v>46023</v>
      </c>
      <c r="B10" s="2809"/>
      <c r="C10" s="2809"/>
      <c r="D10" s="2809"/>
      <c r="E10" s="2810"/>
      <c r="F10" s="2809"/>
      <c r="H10" s="2805"/>
      <c r="I10" s="2805"/>
      <c r="J10" s="3144"/>
      <c r="K10" s="2809"/>
      <c r="L10" s="2811"/>
    </row>
    <row r="11" spans="1:17">
      <c r="A11" s="2804">
        <v>46054</v>
      </c>
      <c r="B11" s="2809"/>
      <c r="C11" s="2809"/>
      <c r="D11" s="2809"/>
      <c r="E11" s="2810"/>
      <c r="F11" s="2809"/>
      <c r="G11" s="2809"/>
      <c r="H11" s="2805"/>
      <c r="I11" s="2805"/>
      <c r="J11" s="3144"/>
      <c r="K11" s="2809"/>
      <c r="L11" s="2809"/>
    </row>
    <row r="12" spans="1:17">
      <c r="A12" s="2804">
        <v>46082</v>
      </c>
      <c r="B12" s="2809"/>
      <c r="C12" s="2809"/>
      <c r="D12" s="2809"/>
      <c r="E12" s="2810"/>
      <c r="F12" s="2809"/>
      <c r="G12" s="2809"/>
      <c r="H12" s="2805"/>
      <c r="I12" s="2805"/>
      <c r="J12" s="3144"/>
      <c r="K12" s="2809"/>
      <c r="L12" s="2809"/>
    </row>
    <row r="13" spans="1:17">
      <c r="A13" s="2804">
        <v>46113</v>
      </c>
      <c r="B13" s="2809"/>
      <c r="C13" s="2809"/>
      <c r="D13" s="2809"/>
      <c r="E13" s="2810"/>
      <c r="F13" s="2809"/>
      <c r="G13" s="2809"/>
      <c r="H13" s="2805"/>
      <c r="I13" s="2805"/>
      <c r="J13" s="3144"/>
      <c r="K13" s="2809"/>
      <c r="L13" s="2809"/>
    </row>
    <row r="14" spans="1:17">
      <c r="A14" s="2804">
        <v>46143</v>
      </c>
      <c r="B14" s="2809"/>
      <c r="C14" s="2809"/>
      <c r="D14" s="2809"/>
      <c r="E14" s="2810"/>
      <c r="F14" s="2809"/>
      <c r="G14" s="2809"/>
      <c r="H14" s="2805"/>
      <c r="I14" s="2805"/>
      <c r="J14" s="3144"/>
      <c r="K14" s="2809"/>
      <c r="L14" s="2809"/>
    </row>
    <row r="15" spans="1:17">
      <c r="A15" s="2804">
        <v>46174</v>
      </c>
      <c r="B15" s="2809"/>
      <c r="C15" s="2809"/>
      <c r="D15" s="2809"/>
      <c r="E15" s="2810"/>
      <c r="F15" s="2809"/>
      <c r="G15" s="2809"/>
      <c r="H15" s="2805"/>
      <c r="I15" s="2805"/>
      <c r="J15" s="3144"/>
      <c r="K15" s="2809"/>
      <c r="L15" s="2809"/>
    </row>
    <row r="18" spans="1:25" ht="14.25" customHeight="1">
      <c r="A18" s="2837"/>
      <c r="B18" s="3721">
        <v>45839</v>
      </c>
      <c r="C18" s="3721"/>
      <c r="D18" s="3721">
        <v>45870</v>
      </c>
      <c r="E18" s="3721"/>
      <c r="F18" s="3721">
        <v>45901</v>
      </c>
      <c r="G18" s="3721"/>
      <c r="H18" s="3721">
        <v>45901</v>
      </c>
      <c r="I18" s="3721"/>
      <c r="J18" s="3721">
        <v>45931</v>
      </c>
      <c r="K18" s="3721"/>
      <c r="L18" s="3721">
        <v>45986</v>
      </c>
      <c r="M18" s="3721"/>
    </row>
    <row r="19" spans="1:25" ht="14.25" customHeight="1">
      <c r="A19" s="2834" t="s">
        <v>5180</v>
      </c>
      <c r="B19" s="2836" t="s">
        <v>5181</v>
      </c>
      <c r="C19" s="2802" t="s">
        <v>5182</v>
      </c>
      <c r="D19" s="2802" t="s">
        <v>5181</v>
      </c>
      <c r="E19" s="2802" t="s">
        <v>5182</v>
      </c>
      <c r="F19" s="2802" t="s">
        <v>5181</v>
      </c>
      <c r="G19" s="2802" t="s">
        <v>5182</v>
      </c>
      <c r="H19" s="2802" t="s">
        <v>5181</v>
      </c>
      <c r="I19" s="2802" t="s">
        <v>5182</v>
      </c>
      <c r="J19" s="2802" t="s">
        <v>5181</v>
      </c>
      <c r="K19" s="2802" t="s">
        <v>5182</v>
      </c>
      <c r="L19" s="2802" t="s">
        <v>5181</v>
      </c>
      <c r="M19" s="2802" t="s">
        <v>5182</v>
      </c>
      <c r="N19" s="2808">
        <f>SUM(N20:N26)</f>
        <v>540000</v>
      </c>
      <c r="O19" s="3190">
        <v>0.85</v>
      </c>
      <c r="Q19" s="3224"/>
      <c r="T19" s="3413"/>
      <c r="Y19" s="2833"/>
    </row>
    <row r="20" spans="1:25">
      <c r="A20" s="2835" t="s">
        <v>3416</v>
      </c>
      <c r="B20" s="2863">
        <f>SUMIF('LỊCH TÀU - 07.2025'!$F:$F,$A20,'LỊCH TÀU - 07.2025'!$L:$L)</f>
        <v>144284.296</v>
      </c>
      <c r="C20" s="2864">
        <f t="shared" ref="C20:C26" si="1">B20/$B$27</f>
        <v>0.45779353083263757</v>
      </c>
      <c r="D20" s="2829">
        <f>SUMIF('LỊCH TÀU - 08.2025'!$F:$F,$A20,'LỊCH TÀU - 08.2025'!$L:$L)</f>
        <v>111486</v>
      </c>
      <c r="E20" s="2864">
        <f t="shared" ref="E20:E26" si="2">D20/$D$27</f>
        <v>0.30764518398940355</v>
      </c>
      <c r="F20" s="2809"/>
      <c r="G20" s="2809"/>
      <c r="H20" s="2925">
        <f>SUMIF('LỊCH TÀU - 09.2025 '!$F:$F,A20,'LỊCH TÀU - 09.2025 '!$M:$M)</f>
        <v>124874</v>
      </c>
      <c r="I20" s="2941">
        <f t="shared" ref="I20:I26" si="3">H20/$H$27</f>
        <v>0.28546478267926417</v>
      </c>
      <c r="J20" s="2812">
        <f>SUMIFS('LỊCH TÀU - 10.2025 '!M:M,'LỊCH TÀU - 10.2025 '!F:F,KH!A20)</f>
        <v>124780</v>
      </c>
      <c r="K20" s="3160">
        <f>J20/$J$27</f>
        <v>0.25956682004642995</v>
      </c>
      <c r="L20" s="2812">
        <f>SUMIF('LỊCH TÀU - 11.2025'!$F:$F,KH!A20,'LỊCH TÀU - 11.2025'!$M:$M)</f>
        <v>47060</v>
      </c>
      <c r="M20" s="3160">
        <f>L20/$L$27</f>
        <v>0.32858309884723608</v>
      </c>
      <c r="N20" s="2808">
        <v>140000</v>
      </c>
      <c r="O20" s="2808">
        <f t="shared" ref="O20:O26" si="4">N20*0.85</f>
        <v>119000</v>
      </c>
      <c r="P20" s="2808">
        <f t="shared" ref="P20:P26" si="5">O20/3</f>
        <v>39666.666666666664</v>
      </c>
      <c r="Q20" s="3190">
        <f t="shared" ref="Q20:Q26" si="6">O20/$O$27</f>
        <v>0.25925925925925924</v>
      </c>
      <c r="S20" s="3413"/>
      <c r="T20" s="3413"/>
      <c r="U20" s="3413"/>
      <c r="V20" s="2833"/>
      <c r="W20" s="3101"/>
      <c r="Y20" s="2833"/>
    </row>
    <row r="21" spans="1:25" ht="14.25" customHeight="1">
      <c r="A21" s="2835" t="s">
        <v>3401</v>
      </c>
      <c r="B21" s="2863">
        <f>SUMIF('LỊCH TÀU - 07.2025'!$F:$F,$A21,'LỊCH TÀU - 07.2025'!$L:$L)</f>
        <v>91288</v>
      </c>
      <c r="C21" s="2864">
        <f t="shared" si="1"/>
        <v>0.28964382820047041</v>
      </c>
      <c r="D21" s="2829">
        <f>SUMIF('LỊCH TÀU - 08.2025'!$F:$F,$A21,'LỊCH TÀU - 08.2025'!$L:$L)</f>
        <v>121126</v>
      </c>
      <c r="E21" s="2864">
        <f t="shared" si="2"/>
        <v>0.33424672654773241</v>
      </c>
      <c r="F21" s="2809"/>
      <c r="G21" s="2809"/>
      <c r="H21" s="2925">
        <f>SUMIF('LỊCH TÀU - 09.2025 '!$F:$F,A21,'LỊCH TÀU - 09.2025 '!$M:$M)</f>
        <v>141846</v>
      </c>
      <c r="I21" s="2941">
        <f t="shared" si="3"/>
        <v>0.32426315777441989</v>
      </c>
      <c r="J21" s="2812">
        <f>SUMIFS('LỊCH TÀU - 10.2025 '!M:M,'LỊCH TÀU - 10.2025 '!F:F,KH!A21)</f>
        <v>166379</v>
      </c>
      <c r="K21" s="3160">
        <f t="shared" ref="K21:K26" si="7">J21/$J$27</f>
        <v>0.34610088117090054</v>
      </c>
      <c r="L21" s="2812">
        <f>SUMIF('LỊCH TÀU - 11.2025'!$F:$F,KH!A21,'LỊCH TÀU - 11.2025'!$M:$M)</f>
        <v>48820</v>
      </c>
      <c r="M21" s="3160">
        <f t="shared" ref="M21:M26" si="8">L21/$L$27</f>
        <v>0.34087179952660573</v>
      </c>
      <c r="N21" s="2808">
        <v>185000</v>
      </c>
      <c r="O21" s="2808">
        <f t="shared" si="4"/>
        <v>157250</v>
      </c>
      <c r="P21" s="2808">
        <f t="shared" si="5"/>
        <v>52416.666666666664</v>
      </c>
      <c r="Q21" s="3190">
        <f t="shared" si="6"/>
        <v>0.34259259259259262</v>
      </c>
      <c r="S21" s="3101"/>
      <c r="T21" s="3413"/>
      <c r="U21" s="3101"/>
      <c r="V21" s="2833"/>
      <c r="W21" s="3101"/>
      <c r="Y21" s="2833"/>
    </row>
    <row r="22" spans="1:25" ht="14.25" customHeight="1">
      <c r="A22" s="2835" t="s">
        <v>16</v>
      </c>
      <c r="B22" s="2863">
        <f>SUMIF('LỊCH TÀU - 07.2025'!$F:$F,$A22,'LỊCH TÀU - 07.2025'!$L:$L)</f>
        <v>14490</v>
      </c>
      <c r="C22" s="2864">
        <f t="shared" si="1"/>
        <v>4.5974707197274735E-2</v>
      </c>
      <c r="D22" s="2829">
        <f>SUMIF('LỊCH TÀU - 08.2025'!$F:$F,$A22,'LỊCH TÀU - 08.2025'!$L:$L)</f>
        <v>30528</v>
      </c>
      <c r="E22" s="2864">
        <f t="shared" si="2"/>
        <v>8.4241897429529367E-2</v>
      </c>
      <c r="F22" s="2809"/>
      <c r="G22" s="2809"/>
      <c r="H22" s="2925">
        <f>SUMIF('LỊCH TÀU - 09.2025 '!$F:$F,A22,'LỊCH TÀU - 09.2025 '!$M:$M)</f>
        <v>39478</v>
      </c>
      <c r="I22" s="2941">
        <f t="shared" si="3"/>
        <v>9.0247599104793561E-2</v>
      </c>
      <c r="J22" s="2812">
        <f>SUMIFS('LỊCH TÀU - 10.2025 '!M:M,'LỊCH TÀU - 10.2025 '!F:F,KH!A22)</f>
        <v>49989</v>
      </c>
      <c r="K22" s="3160">
        <f t="shared" si="7"/>
        <v>0.1039869030878425</v>
      </c>
      <c r="L22" s="2812">
        <f>SUMIF('LỊCH TÀU - 11.2025'!$F:$F,KH!A22,'LỊCH TÀU - 11.2025'!$M:$M)</f>
        <v>7500</v>
      </c>
      <c r="M22" s="3160">
        <f t="shared" si="8"/>
        <v>5.236662221322292E-2</v>
      </c>
      <c r="N22" s="2808">
        <v>55000</v>
      </c>
      <c r="O22" s="2808">
        <f t="shared" si="4"/>
        <v>46750</v>
      </c>
      <c r="P22" s="2808">
        <f t="shared" si="5"/>
        <v>15583.333333333334</v>
      </c>
      <c r="Q22" s="3190">
        <f t="shared" si="6"/>
        <v>0.10185185185185185</v>
      </c>
      <c r="S22" s="3101"/>
      <c r="T22" s="3413"/>
      <c r="U22" s="3414"/>
      <c r="V22" s="2833"/>
      <c r="W22" s="3101"/>
      <c r="Y22" s="2833"/>
    </row>
    <row r="23" spans="1:25" ht="14.25" customHeight="1">
      <c r="A23" s="2835" t="s">
        <v>61</v>
      </c>
      <c r="B23" s="2863">
        <f>SUMIF('LỊCH TÀU - 07.2025'!$F:$F,$A23,'LỊCH TÀU - 07.2025'!$L:$L)</f>
        <v>33435</v>
      </c>
      <c r="C23" s="2864">
        <f t="shared" si="1"/>
        <v>0.10608449517880475</v>
      </c>
      <c r="D23" s="2829">
        <f>SUMIF('LỊCH TÀU - 08.2025'!$F:$F,$A23,'LỊCH TÀU - 08.2025'!$L:$L)</f>
        <v>27927</v>
      </c>
      <c r="E23" s="2864">
        <f t="shared" si="2"/>
        <v>7.7064448031789398E-2</v>
      </c>
      <c r="F23" s="2809"/>
      <c r="G23" s="2809"/>
      <c r="H23" s="2925">
        <f>SUMIF('LỊCH TÀU - 09.2025 '!$F:$F,A23,'LỊCH TÀU - 09.2025 '!$M:$M)</f>
        <v>40647</v>
      </c>
      <c r="I23" s="2941">
        <f t="shared" si="3"/>
        <v>9.2919959491680026E-2</v>
      </c>
      <c r="J23" s="2812">
        <f>SUMIFS('LỊCH TÀU - 10.2025 '!M:M,'LỊCH TÀU - 10.2025 '!F:F,KH!A23)</f>
        <v>47359</v>
      </c>
      <c r="K23" s="3160">
        <f t="shared" si="7"/>
        <v>9.8515988384187181E-2</v>
      </c>
      <c r="L23" s="2812">
        <f>SUMIF('LỊCH TÀU - 11.2025'!$F:$F,KH!A23,'LỊCH TÀU - 11.2025'!$M:$M)</f>
        <v>12311</v>
      </c>
      <c r="M23" s="3160">
        <f t="shared" si="8"/>
        <v>8.5958064808931645E-2</v>
      </c>
      <c r="N23" s="2808">
        <v>55000</v>
      </c>
      <c r="O23" s="2808">
        <f t="shared" si="4"/>
        <v>46750</v>
      </c>
      <c r="P23" s="2808">
        <f t="shared" si="5"/>
        <v>15583.333333333334</v>
      </c>
      <c r="Q23" s="3190">
        <f t="shared" si="6"/>
        <v>0.10185185185185185</v>
      </c>
      <c r="S23" s="3101"/>
      <c r="T23" s="3413"/>
      <c r="U23" s="3414"/>
      <c r="V23" s="2833"/>
      <c r="W23" s="3101"/>
      <c r="Y23" s="2833"/>
    </row>
    <row r="24" spans="1:25" ht="14.25" customHeight="1">
      <c r="A24" s="2835" t="s">
        <v>84</v>
      </c>
      <c r="B24" s="2863">
        <f>SUMIF('LỊCH TÀU - 07.2025'!$F:$F,$A24,'LỊCH TÀU - 07.2025'!$L:$L)</f>
        <v>24187</v>
      </c>
      <c r="C24" s="2864">
        <f t="shared" si="1"/>
        <v>7.6741907728121742E-2</v>
      </c>
      <c r="D24" s="2829">
        <f>SUMIF('LỊCH TÀU - 08.2025'!$F:$F,$A24,'LỊCH TÀU - 08.2025'!$L:$L)</f>
        <v>32196</v>
      </c>
      <c r="E24" s="2864">
        <f t="shared" si="2"/>
        <v>8.8844736951032746E-2</v>
      </c>
      <c r="F24" s="2809"/>
      <c r="G24" s="2809"/>
      <c r="H24" s="2925">
        <f>SUMIF('LỊCH TÀU - 09.2025 '!$F:$F,A24,'LỊCH TÀU - 09.2025 '!$M:$M)</f>
        <v>43326</v>
      </c>
      <c r="I24" s="2941">
        <f t="shared" si="3"/>
        <v>9.904421396256867E-2</v>
      </c>
      <c r="J24" s="2812">
        <f>SUMIFS('LỊCH TÀU - 10.2025 '!M:M,'LỊCH TÀU - 10.2025 '!F:F,KH!A24)</f>
        <v>42553</v>
      </c>
      <c r="K24" s="3160">
        <f t="shared" si="7"/>
        <v>8.8518567826861155E-2</v>
      </c>
      <c r="L24" s="2812">
        <f>SUMIF('LỊCH TÀU - 11.2025'!$F:$F,KH!A24,'LỊCH TÀU - 11.2025'!$M:$M)</f>
        <v>12320</v>
      </c>
      <c r="M24" s="3160">
        <f t="shared" si="8"/>
        <v>8.6020904755587518E-2</v>
      </c>
      <c r="N24" s="2808">
        <v>55000</v>
      </c>
      <c r="O24" s="2808">
        <f t="shared" si="4"/>
        <v>46750</v>
      </c>
      <c r="P24" s="2808">
        <f t="shared" si="5"/>
        <v>15583.333333333334</v>
      </c>
      <c r="Q24" s="3190">
        <f t="shared" si="6"/>
        <v>0.10185185185185185</v>
      </c>
      <c r="S24" s="3101"/>
      <c r="T24" s="3413"/>
      <c r="U24" s="3414"/>
      <c r="V24" s="2833"/>
      <c r="W24" s="3101"/>
      <c r="Y24" s="2833"/>
    </row>
    <row r="25" spans="1:25" ht="14.25" customHeight="1">
      <c r="A25" s="2835" t="s">
        <v>89</v>
      </c>
      <c r="B25" s="2863">
        <f>SUMIF('LỊCH TÀU - 07.2025'!$F:$F,$A25,'LỊCH TÀU - 07.2025'!$L:$L)-SUMIF('LỊCH TÀU - 07.2025'!$C:$C,"Đường bộ",'LỊCH TÀU - 07.2025'!$L:$L)</f>
        <v>7489</v>
      </c>
      <c r="C25" s="2864">
        <f t="shared" si="1"/>
        <v>2.3761530862690856E-2</v>
      </c>
      <c r="D25" s="2883">
        <f>(SUMIF('LỊCH TÀU - 08.2025'!$F:$F,$A25,'LỊCH TÀU - 08.2025'!$L:$L)-SUMIF('LỊCH TÀU - 08.2025'!$C:$C,"Đường bộ",'LỊCH TÀU - 08.2025'!$L:$L))</f>
        <v>22329</v>
      </c>
      <c r="E25" s="2864">
        <f t="shared" si="2"/>
        <v>6.1616788774369803E-2</v>
      </c>
      <c r="F25" s="2809"/>
      <c r="G25" s="2809"/>
      <c r="H25" s="2925">
        <f>SUMIF('LỊCH TÀU - 09.2025 '!$F:$F,A25,'LỊCH TÀU - 09.2025 '!$M:$M)</f>
        <v>25638</v>
      </c>
      <c r="I25" s="2941">
        <f t="shared" si="3"/>
        <v>5.8609046705727169E-2</v>
      </c>
      <c r="J25" s="2812">
        <f>SUMIFS('LỊCH TÀU - 10.2025 '!M:M,'LỊCH TÀU - 10.2025 '!F:F,KH!A25)</f>
        <v>27618</v>
      </c>
      <c r="K25" s="3160">
        <f t="shared" si="7"/>
        <v>5.7450844975495297E-2</v>
      </c>
      <c r="L25" s="2812">
        <f>SUMIF('LỊCH TÀU - 11.2025'!$F:$F,KH!A25,'LỊCH TÀU - 11.2025'!$M:$M)</f>
        <v>11260</v>
      </c>
      <c r="M25" s="3160">
        <f t="shared" si="8"/>
        <v>7.8619755482785339E-2</v>
      </c>
      <c r="N25" s="2808">
        <v>25000</v>
      </c>
      <c r="O25" s="2808">
        <f t="shared" si="4"/>
        <v>21250</v>
      </c>
      <c r="P25" s="2808">
        <f t="shared" si="5"/>
        <v>7083.333333333333</v>
      </c>
      <c r="Q25" s="3190">
        <f t="shared" si="6"/>
        <v>4.6296296296296294E-2</v>
      </c>
      <c r="S25" s="3101"/>
      <c r="T25" s="3413"/>
      <c r="U25" s="3414"/>
      <c r="V25" s="2833"/>
      <c r="W25" s="3101"/>
      <c r="X25" s="2833"/>
      <c r="Y25" s="2833"/>
    </row>
    <row r="26" spans="1:25" ht="14.25" customHeight="1">
      <c r="A26" s="2835" t="s">
        <v>54</v>
      </c>
      <c r="B26" s="2863"/>
      <c r="C26" s="2864">
        <f t="shared" si="1"/>
        <v>0</v>
      </c>
      <c r="D26" s="2829">
        <f>(SUMIF('LỊCH TÀU - 08.2025'!$F:$F,$A26,'LỊCH TÀU - 08.2025'!$L:$L))</f>
        <v>16793</v>
      </c>
      <c r="E26" s="2864">
        <f t="shared" si="2"/>
        <v>4.6340218276142778E-2</v>
      </c>
      <c r="F26" s="2809"/>
      <c r="G26" s="2809"/>
      <c r="H26" s="2925">
        <f>SUMIF('LỊCH TÀU - 09.2025 '!$F:$F,A26,'LỊCH TÀU - 09.2025 '!$M:$M)</f>
        <v>21632</v>
      </c>
      <c r="I26" s="2941">
        <f t="shared" si="3"/>
        <v>4.9451240281546537E-2</v>
      </c>
      <c r="J26" s="2812">
        <f>SUMIFS('LỊCH TÀU - 10.2025 '!M:M,'LỊCH TÀU - 10.2025 '!F:F,KH!A26)</f>
        <v>22046</v>
      </c>
      <c r="K26" s="3160">
        <f t="shared" si="7"/>
        <v>4.585999450828334E-2</v>
      </c>
      <c r="L26" s="2812">
        <f>SUMIF('LỊCH TÀU - 11.2025'!$F:$F,KH!A26,'LỊCH TÀU - 11.2025'!$M:$M)</f>
        <v>3950</v>
      </c>
      <c r="M26" s="3160">
        <f t="shared" si="8"/>
        <v>2.7579754365630739E-2</v>
      </c>
      <c r="N26" s="2808">
        <v>25000</v>
      </c>
      <c r="O26" s="2808">
        <f t="shared" si="4"/>
        <v>21250</v>
      </c>
      <c r="P26" s="2808">
        <f t="shared" si="5"/>
        <v>7083.333333333333</v>
      </c>
      <c r="Q26" s="3190">
        <f t="shared" si="6"/>
        <v>4.6296296296296294E-2</v>
      </c>
      <c r="S26" s="3101"/>
      <c r="T26" s="3413"/>
      <c r="U26" s="3414"/>
      <c r="V26" s="2833"/>
      <c r="W26" s="3101"/>
      <c r="X26" s="2833"/>
      <c r="Y26" s="2833"/>
    </row>
    <row r="27" spans="1:25" s="2840" customFormat="1" ht="14.25" customHeight="1">
      <c r="A27" s="2841" t="s">
        <v>5183</v>
      </c>
      <c r="B27" s="2865">
        <f>SUM(B20:B26)</f>
        <v>315173.29599999997</v>
      </c>
      <c r="C27" s="2866"/>
      <c r="D27" s="2865">
        <f>SUM(D20:D26)</f>
        <v>362385</v>
      </c>
      <c r="E27" s="2866"/>
      <c r="F27" s="2843"/>
      <c r="G27" s="2843"/>
      <c r="H27" s="2842">
        <f>SUM(H20:H26)</f>
        <v>437441</v>
      </c>
      <c r="I27" s="2843"/>
      <c r="J27" s="2842">
        <f>SUM(J20:J26)</f>
        <v>480724</v>
      </c>
      <c r="K27" s="2843"/>
      <c r="L27" s="2842">
        <f>SUM(L20:L26)</f>
        <v>143221</v>
      </c>
      <c r="M27" s="2843"/>
      <c r="N27" s="2839"/>
      <c r="O27" s="3191">
        <f>SUM(O20:O26)</f>
        <v>459000</v>
      </c>
      <c r="P27" s="3192"/>
      <c r="R27" s="3114"/>
      <c r="S27" s="3114"/>
    </row>
    <row r="28" spans="1:25" ht="14.25" customHeight="1">
      <c r="A28" s="2838" t="s">
        <v>25</v>
      </c>
      <c r="B28" s="2829">
        <f>SUMIF('LỊCH TÀU - 07.2025'!$F:$F,$A28,'LỊCH TÀU - 07.2025'!$L:$L)</f>
        <v>18782</v>
      </c>
      <c r="C28" s="2864"/>
      <c r="D28" s="2829">
        <f>SUMIF('LỊCH TÀU - 08.2025'!$F:$F,$A28,'LỊCH TÀU - 08.2025'!$L:$L)</f>
        <v>10275</v>
      </c>
      <c r="E28" s="2864"/>
      <c r="F28" s="2809"/>
      <c r="G28" s="2809"/>
      <c r="H28" s="2925"/>
      <c r="I28" s="2809"/>
      <c r="J28" s="2809"/>
      <c r="K28" s="2809"/>
      <c r="L28" s="2809"/>
      <c r="M28" s="2809"/>
      <c r="N28" s="2808"/>
    </row>
    <row r="29" spans="1:25" ht="14.25" customHeight="1">
      <c r="A29" s="2804" t="s">
        <v>4031</v>
      </c>
      <c r="B29" s="2829">
        <f>SUMIF('LỊCH TÀU - 07.2025'!$F:$F,$A29,'LỊCH TÀU - 07.2025'!$L:$L)</f>
        <v>0</v>
      </c>
      <c r="C29" s="2864"/>
      <c r="D29" s="2829">
        <f>SUMIF('LỊCH TÀU - 08.2025'!$F:$F,$A29,'LỊCH TÀU - 08.2025'!$L:$L)</f>
        <v>35000</v>
      </c>
      <c r="E29" s="2864"/>
      <c r="F29" s="2809"/>
      <c r="G29" s="2809"/>
      <c r="H29" s="2809"/>
      <c r="I29" s="2809"/>
      <c r="J29" s="2809"/>
      <c r="K29" s="2809"/>
      <c r="L29" s="2809"/>
      <c r="M29" s="2809"/>
    </row>
    <row r="30" spans="1:25" ht="14.25" customHeight="1">
      <c r="A30" s="2804" t="s">
        <v>5184</v>
      </c>
      <c r="B30" s="2829">
        <f>SUMIF('LỊCH TÀU - 07.2025'!$F:$F,$A30,'LỊCH TÀU - 07.2025'!$L:$L)</f>
        <v>6866</v>
      </c>
      <c r="C30" s="2864"/>
      <c r="D30" s="2829">
        <f>SUMIF('LỊCH TÀU - 08.2025'!$F:$F,$A30,'LỊCH TÀU - 08.2025'!$L:$L)</f>
        <v>0</v>
      </c>
      <c r="E30" s="2864"/>
      <c r="F30" s="2809"/>
      <c r="G30" s="2809"/>
      <c r="H30" s="2809"/>
      <c r="I30" s="2809"/>
      <c r="J30" s="2809"/>
      <c r="K30" s="2809"/>
      <c r="L30" s="2809"/>
      <c r="M30" s="2809"/>
    </row>
    <row r="31" spans="1:25" ht="14.25" customHeight="1">
      <c r="A31" s="2841" t="s">
        <v>5183</v>
      </c>
      <c r="B31" s="2867">
        <f>SUM(B27:B30)</f>
        <v>340821.29599999997</v>
      </c>
      <c r="C31" s="2866">
        <f>B31/$B$31</f>
        <v>1</v>
      </c>
      <c r="D31" s="2867">
        <f>SUM(D27:D30)</f>
        <v>407660</v>
      </c>
      <c r="E31" s="2866">
        <f>SUM(E20:E30)</f>
        <v>1</v>
      </c>
      <c r="F31" s="2843"/>
      <c r="G31" s="2843"/>
      <c r="H31" s="2844">
        <f>SUM(H27:H30)</f>
        <v>437441</v>
      </c>
      <c r="I31" s="2843"/>
      <c r="J31" s="2844">
        <f>SUM(J27:J30)</f>
        <v>480724</v>
      </c>
      <c r="K31" s="2843"/>
      <c r="L31" s="2844">
        <f>SUM(L27:L30)</f>
        <v>143221</v>
      </c>
      <c r="M31" s="2843"/>
    </row>
  </sheetData>
  <mergeCells count="6">
    <mergeCell ref="L18:M18"/>
    <mergeCell ref="B18:C18"/>
    <mergeCell ref="D18:E18"/>
    <mergeCell ref="F18:G18"/>
    <mergeCell ref="H18:I18"/>
    <mergeCell ref="J18:K18"/>
  </mergeCells>
  <pageMargins left="0.7" right="0.7" top="0.75" bottom="0.75" header="0.3" footer="0.3"/>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385387-0778-406B-BE47-1387A6C4D5B5}">
  <sheetPr>
    <tabColor rgb="FFFFC000"/>
    <pageSetUpPr fitToPage="1"/>
  </sheetPr>
  <dimension ref="A1:AI299"/>
  <sheetViews>
    <sheetView zoomScale="70" zoomScaleNormal="70" workbookViewId="0">
      <pane xSplit="5" ySplit="3" topLeftCell="F95" activePane="bottomRight" state="frozen"/>
      <selection pane="topRight"/>
      <selection pane="bottomLeft"/>
      <selection pane="bottomRight" activeCell="N68" sqref="N68"/>
    </sheetView>
  </sheetViews>
  <sheetFormatPr defaultColWidth="32.140625" defaultRowHeight="58.5" customHeight="1"/>
  <cols>
    <col min="1" max="1" width="7.5703125" style="738" customWidth="1"/>
    <col min="2" max="2" width="25" style="1853" customWidth="1"/>
    <col min="3" max="3" width="31.42578125" style="102" customWidth="1"/>
    <col min="4" max="4" width="17.42578125" style="1167" customWidth="1"/>
    <col min="5" max="5" width="19" style="109" customWidth="1"/>
    <col min="6" max="6" width="32.140625" style="102" customWidth="1"/>
    <col min="7" max="7" width="19.42578125" style="109" customWidth="1"/>
    <col min="8" max="8" width="19.140625" style="109" customWidth="1"/>
    <col min="9" max="9" width="27.85546875" style="109" customWidth="1"/>
    <col min="10" max="10" width="32.140625" style="109" customWidth="1"/>
    <col min="11" max="11" width="27.42578125" style="109" customWidth="1"/>
    <col min="12" max="12" width="84" style="143" bestFit="1" customWidth="1"/>
    <col min="13" max="13" width="25.5703125" style="2216" customWidth="1"/>
    <col min="14" max="14" width="58" style="102" customWidth="1"/>
    <col min="15" max="15" width="23.140625" style="102" customWidth="1"/>
    <col min="16" max="16" width="66" style="2389" customWidth="1"/>
    <col min="17" max="17" width="45.140625" style="3163" customWidth="1"/>
    <col min="18" max="16384" width="32.140625" style="1777"/>
  </cols>
  <sheetData>
    <row r="1" spans="1:27" ht="74.25" customHeight="1">
      <c r="A1" s="3722" t="s">
        <v>5185</v>
      </c>
      <c r="B1" s="3723"/>
      <c r="C1" s="3723"/>
      <c r="D1" s="3723"/>
      <c r="E1" s="3723"/>
      <c r="F1" s="3723"/>
      <c r="G1" s="3723"/>
      <c r="H1" s="3723"/>
      <c r="I1" s="3723"/>
      <c r="J1" s="3723"/>
      <c r="K1" s="3723"/>
      <c r="L1" s="3723"/>
      <c r="M1" s="3723"/>
      <c r="N1" s="3723"/>
      <c r="O1" s="3723"/>
      <c r="P1" s="3723"/>
      <c r="Q1" s="3724"/>
    </row>
    <row r="2" spans="1:27" s="3410" customFormat="1" ht="58.5" customHeight="1">
      <c r="A2" s="3725" t="s">
        <v>5186</v>
      </c>
      <c r="B2" s="3725"/>
      <c r="C2" s="3725"/>
      <c r="D2" s="3516">
        <f>SUBTOTAL(9,D4:D2500)</f>
        <v>162305</v>
      </c>
      <c r="E2" s="3517"/>
      <c r="F2" s="3518"/>
      <c r="G2" s="3519" t="s">
        <v>5187</v>
      </c>
      <c r="H2" s="3519"/>
      <c r="I2" s="3517"/>
      <c r="J2" s="3517"/>
      <c r="K2" s="3517"/>
      <c r="L2" s="2892">
        <f ca="1">TODAY()</f>
        <v>45960</v>
      </c>
      <c r="M2" s="3516">
        <f>SUBTOTAL(9,M4:M2500)</f>
        <v>254514</v>
      </c>
      <c r="N2" s="3518" t="s">
        <v>5188</v>
      </c>
      <c r="O2" s="3520"/>
      <c r="P2" s="2892"/>
      <c r="Q2" s="3521" t="s">
        <v>5170</v>
      </c>
      <c r="R2" s="1777"/>
      <c r="S2" s="3726" t="s">
        <v>5189</v>
      </c>
      <c r="T2" s="3726"/>
      <c r="U2" s="3726"/>
      <c r="V2" s="3726"/>
      <c r="W2" s="1777"/>
      <c r="X2" s="1777"/>
      <c r="Y2" s="1777"/>
      <c r="Z2" s="1777"/>
      <c r="AA2" s="1777"/>
    </row>
    <row r="3" spans="1:27" s="3410" customFormat="1" ht="58.5" customHeight="1">
      <c r="A3" s="3249" t="s">
        <v>1</v>
      </c>
      <c r="B3" s="2896" t="s">
        <v>5190</v>
      </c>
      <c r="C3" s="2897" t="s">
        <v>5191</v>
      </c>
      <c r="D3" s="2898" t="s">
        <v>5192</v>
      </c>
      <c r="E3" s="2897" t="s">
        <v>3389</v>
      </c>
      <c r="F3" s="2899" t="s">
        <v>5</v>
      </c>
      <c r="G3" s="2897" t="s">
        <v>3390</v>
      </c>
      <c r="H3" s="2897" t="s">
        <v>5193</v>
      </c>
      <c r="I3" s="3087" t="s">
        <v>5194</v>
      </c>
      <c r="J3" s="2897" t="s">
        <v>5195</v>
      </c>
      <c r="K3" s="2897" t="s">
        <v>9</v>
      </c>
      <c r="L3" s="3522" t="s">
        <v>5196</v>
      </c>
      <c r="M3" s="3088" t="s">
        <v>5197</v>
      </c>
      <c r="N3" s="2897" t="s">
        <v>5198</v>
      </c>
      <c r="O3" s="3132" t="s">
        <v>5199</v>
      </c>
      <c r="P3" s="2896" t="s">
        <v>11</v>
      </c>
      <c r="Q3" s="3369" t="s">
        <v>5200</v>
      </c>
      <c r="R3" s="3410" t="s">
        <v>5201</v>
      </c>
      <c r="S3" s="2705" t="s">
        <v>5202</v>
      </c>
      <c r="T3" s="2705" t="s">
        <v>5203</v>
      </c>
      <c r="U3" s="2705" t="s">
        <v>5204</v>
      </c>
      <c r="V3" s="2705" t="s">
        <v>5205</v>
      </c>
    </row>
    <row r="4" spans="1:27" ht="58.5" customHeight="1">
      <c r="A4" s="3232"/>
      <c r="B4" s="2901" t="str">
        <f t="shared" ref="B4:B35" si="0">TEXT(LEFT(L4,10),"0000000000")</f>
        <v>2400001332</v>
      </c>
      <c r="C4" s="2906" t="s">
        <v>5206</v>
      </c>
      <c r="D4" s="3427">
        <v>12050</v>
      </c>
      <c r="E4" s="3592">
        <v>45819</v>
      </c>
      <c r="F4" s="2904" t="s">
        <v>25</v>
      </c>
      <c r="G4" s="2886"/>
      <c r="H4" s="2886"/>
      <c r="I4" s="2886"/>
      <c r="J4" s="2886" t="s">
        <v>3423</v>
      </c>
      <c r="K4" s="2886" t="s">
        <v>5207</v>
      </c>
      <c r="L4" s="2905" t="s">
        <v>5208</v>
      </c>
      <c r="M4" s="3188">
        <v>4200</v>
      </c>
      <c r="N4" s="2886" t="s">
        <v>5209</v>
      </c>
      <c r="Q4" s="3163" t="s">
        <v>5210</v>
      </c>
    </row>
    <row r="5" spans="1:27" ht="58.5" customHeight="1">
      <c r="A5" s="3232"/>
      <c r="B5" s="2901" t="str">
        <f t="shared" si="0"/>
        <v>2400001333</v>
      </c>
      <c r="C5" s="2904" t="s">
        <v>5206</v>
      </c>
      <c r="D5" s="3236"/>
      <c r="E5" s="2886"/>
      <c r="F5" s="2904" t="s">
        <v>25</v>
      </c>
      <c r="G5" s="2886"/>
      <c r="H5" s="2886"/>
      <c r="I5" s="2886"/>
      <c r="J5" s="2886" t="s">
        <v>3423</v>
      </c>
      <c r="K5" s="2886" t="s">
        <v>5207</v>
      </c>
      <c r="L5" s="2905" t="s">
        <v>5211</v>
      </c>
      <c r="M5" s="3188"/>
      <c r="N5" s="2887" t="s">
        <v>5212</v>
      </c>
      <c r="Q5" s="3163" t="s">
        <v>5210</v>
      </c>
    </row>
    <row r="6" spans="1:27" ht="58.5" customHeight="1">
      <c r="A6" s="3232"/>
      <c r="B6" s="2901" t="str">
        <f t="shared" si="0"/>
        <v>2400001334</v>
      </c>
      <c r="C6" s="2904" t="s">
        <v>5206</v>
      </c>
      <c r="D6" s="3236"/>
      <c r="E6" s="2886"/>
      <c r="F6" s="2904" t="s">
        <v>25</v>
      </c>
      <c r="G6" s="2886"/>
      <c r="H6" s="2886"/>
      <c r="I6" s="2886"/>
      <c r="J6" s="2886" t="s">
        <v>3423</v>
      </c>
      <c r="K6" s="2886" t="s">
        <v>5207</v>
      </c>
      <c r="L6" s="2905" t="s">
        <v>5213</v>
      </c>
      <c r="M6" s="3188"/>
      <c r="N6" s="2887" t="s">
        <v>5214</v>
      </c>
      <c r="Q6" s="3163" t="s">
        <v>5210</v>
      </c>
    </row>
    <row r="7" spans="1:27" ht="58.5" customHeight="1">
      <c r="A7" s="3232"/>
      <c r="B7" s="2901" t="str">
        <f t="shared" si="0"/>
        <v>2400001335</v>
      </c>
      <c r="C7" s="2904" t="s">
        <v>5206</v>
      </c>
      <c r="D7" s="3236"/>
      <c r="E7" s="2886"/>
      <c r="F7" s="2904" t="s">
        <v>25</v>
      </c>
      <c r="G7" s="2886"/>
      <c r="H7" s="2886"/>
      <c r="I7" s="2886"/>
      <c r="J7" s="2886" t="s">
        <v>3423</v>
      </c>
      <c r="K7" s="2886" t="s">
        <v>5207</v>
      </c>
      <c r="L7" s="2905" t="s">
        <v>5215</v>
      </c>
      <c r="M7" s="3188">
        <v>100</v>
      </c>
      <c r="N7" s="2887" t="s">
        <v>5214</v>
      </c>
      <c r="Q7" s="3163" t="s">
        <v>5210</v>
      </c>
    </row>
    <row r="8" spans="1:27" ht="58.5" customHeight="1">
      <c r="A8" s="3232"/>
      <c r="B8" s="2901" t="str">
        <f t="shared" si="0"/>
        <v>2400001349</v>
      </c>
      <c r="C8" s="2904" t="s">
        <v>5206</v>
      </c>
      <c r="D8" s="3236"/>
      <c r="E8" s="2886"/>
      <c r="F8" s="2904" t="s">
        <v>25</v>
      </c>
      <c r="G8" s="2886"/>
      <c r="H8" s="2886"/>
      <c r="I8" s="2886"/>
      <c r="J8" s="2886" t="s">
        <v>3423</v>
      </c>
      <c r="K8" s="2886" t="s">
        <v>5207</v>
      </c>
      <c r="L8" s="2905" t="s">
        <v>5216</v>
      </c>
      <c r="M8" s="3188">
        <v>1300</v>
      </c>
      <c r="N8" s="2886" t="s">
        <v>5217</v>
      </c>
      <c r="Q8" s="3163" t="s">
        <v>5210</v>
      </c>
    </row>
    <row r="9" spans="1:27" ht="58.5" customHeight="1">
      <c r="A9" s="3232"/>
      <c r="B9" s="2901" t="str">
        <f t="shared" si="0"/>
        <v>2400001351</v>
      </c>
      <c r="C9" s="2904" t="s">
        <v>5206</v>
      </c>
      <c r="D9" s="3236"/>
      <c r="E9" s="2886"/>
      <c r="F9" s="2904" t="s">
        <v>25</v>
      </c>
      <c r="G9" s="2886"/>
      <c r="H9" s="2886"/>
      <c r="I9" s="2886"/>
      <c r="J9" s="2886" t="s">
        <v>3423</v>
      </c>
      <c r="K9" s="2886" t="s">
        <v>5207</v>
      </c>
      <c r="L9" s="2905" t="s">
        <v>5218</v>
      </c>
      <c r="M9" s="3188">
        <v>1300</v>
      </c>
      <c r="N9" s="2886" t="s">
        <v>5219</v>
      </c>
      <c r="Q9" s="3163" t="s">
        <v>5210</v>
      </c>
    </row>
    <row r="10" spans="1:27" ht="58.5" customHeight="1">
      <c r="A10" s="3232"/>
      <c r="B10" s="2901" t="str">
        <f t="shared" si="0"/>
        <v>2400001352</v>
      </c>
      <c r="C10" s="2904" t="s">
        <v>5206</v>
      </c>
      <c r="D10" s="3236"/>
      <c r="E10" s="2886"/>
      <c r="F10" s="2904" t="s">
        <v>25</v>
      </c>
      <c r="G10" s="2886"/>
      <c r="H10" s="2886"/>
      <c r="I10" s="2886"/>
      <c r="J10" s="2886" t="s">
        <v>3423</v>
      </c>
      <c r="K10" s="2886" t="s">
        <v>5207</v>
      </c>
      <c r="L10" s="2905" t="s">
        <v>5220</v>
      </c>
      <c r="M10" s="3188">
        <v>600</v>
      </c>
      <c r="N10" s="2886" t="s">
        <v>5221</v>
      </c>
      <c r="Q10" s="3163" t="s">
        <v>5210</v>
      </c>
    </row>
    <row r="11" spans="1:27" ht="58.5" customHeight="1">
      <c r="A11" s="3232"/>
      <c r="B11" s="2901" t="str">
        <f t="shared" si="0"/>
        <v>2400001347</v>
      </c>
      <c r="C11" s="2904" t="s">
        <v>5206</v>
      </c>
      <c r="D11" s="3236"/>
      <c r="E11" s="2886"/>
      <c r="F11" s="2904" t="s">
        <v>25</v>
      </c>
      <c r="G11" s="2886"/>
      <c r="H11" s="2886"/>
      <c r="I11" s="2886"/>
      <c r="J11" s="2886" t="s">
        <v>3423</v>
      </c>
      <c r="K11" s="2886" t="s">
        <v>5207</v>
      </c>
      <c r="L11" s="2905" t="s">
        <v>5222</v>
      </c>
      <c r="M11" s="3188">
        <v>500</v>
      </c>
      <c r="N11" s="2887" t="s">
        <v>5214</v>
      </c>
      <c r="Q11" s="3163" t="s">
        <v>5210</v>
      </c>
    </row>
    <row r="12" spans="1:27" ht="58.5" customHeight="1">
      <c r="A12" s="3232"/>
      <c r="B12" s="2901" t="str">
        <f t="shared" si="0"/>
        <v>2400001348</v>
      </c>
      <c r="C12" s="2904" t="s">
        <v>5206</v>
      </c>
      <c r="D12" s="3236"/>
      <c r="E12" s="2886"/>
      <c r="F12" s="2904" t="s">
        <v>25</v>
      </c>
      <c r="G12" s="2886"/>
      <c r="H12" s="2886"/>
      <c r="I12" s="2886"/>
      <c r="J12" s="2886" t="s">
        <v>3423</v>
      </c>
      <c r="K12" s="2886" t="s">
        <v>5207</v>
      </c>
      <c r="L12" s="2903" t="s">
        <v>5223</v>
      </c>
      <c r="M12" s="3188">
        <v>350</v>
      </c>
      <c r="N12" s="2886" t="s">
        <v>5224</v>
      </c>
      <c r="Q12" s="3163" t="s">
        <v>5210</v>
      </c>
    </row>
    <row r="13" spans="1:27" ht="58.5" customHeight="1">
      <c r="A13" s="3232"/>
      <c r="B13" s="2901" t="str">
        <f t="shared" si="0"/>
        <v>2400001327</v>
      </c>
      <c r="C13" s="2904" t="s">
        <v>5206</v>
      </c>
      <c r="D13" s="3427"/>
      <c r="E13" s="2901"/>
      <c r="F13" s="2904" t="s">
        <v>25</v>
      </c>
      <c r="G13" s="2886"/>
      <c r="H13" s="2886"/>
      <c r="I13" s="2886"/>
      <c r="J13" s="2886" t="s">
        <v>3423</v>
      </c>
      <c r="K13" s="2886" t="s">
        <v>5225</v>
      </c>
      <c r="L13" s="2905" t="s">
        <v>5226</v>
      </c>
      <c r="M13" s="3188">
        <v>600</v>
      </c>
      <c r="N13" s="2886" t="s">
        <v>5227</v>
      </c>
      <c r="Q13" s="3163" t="s">
        <v>5210</v>
      </c>
    </row>
    <row r="14" spans="1:27" ht="58.5" customHeight="1">
      <c r="A14" s="3232"/>
      <c r="B14" s="2901" t="str">
        <f t="shared" si="0"/>
        <v>2400001328</v>
      </c>
      <c r="C14" s="2904" t="s">
        <v>5206</v>
      </c>
      <c r="D14" s="3236"/>
      <c r="E14" s="2886"/>
      <c r="F14" s="2904" t="s">
        <v>25</v>
      </c>
      <c r="G14" s="2886"/>
      <c r="H14" s="2886"/>
      <c r="I14" s="2886"/>
      <c r="J14" s="2886" t="s">
        <v>3423</v>
      </c>
      <c r="K14" s="2886" t="s">
        <v>5225</v>
      </c>
      <c r="L14" s="2903" t="s">
        <v>5228</v>
      </c>
      <c r="M14" s="3188">
        <v>50</v>
      </c>
      <c r="N14" s="2887" t="s">
        <v>5214</v>
      </c>
      <c r="Q14" s="3163" t="s">
        <v>5210</v>
      </c>
    </row>
    <row r="15" spans="1:27" ht="58.5" customHeight="1">
      <c r="A15" s="3232"/>
      <c r="B15" s="2901" t="str">
        <f t="shared" si="0"/>
        <v>2400001329</v>
      </c>
      <c r="C15" s="2904" t="s">
        <v>5206</v>
      </c>
      <c r="D15" s="3236"/>
      <c r="E15" s="2886"/>
      <c r="F15" s="2904" t="s">
        <v>25</v>
      </c>
      <c r="G15" s="2886"/>
      <c r="H15" s="2886"/>
      <c r="I15" s="2886"/>
      <c r="J15" s="2886" t="s">
        <v>3423</v>
      </c>
      <c r="K15" s="2886" t="s">
        <v>5225</v>
      </c>
      <c r="L15" s="2905" t="s">
        <v>5229</v>
      </c>
      <c r="M15" s="3188">
        <v>700</v>
      </c>
      <c r="N15" s="2886" t="s">
        <v>5230</v>
      </c>
      <c r="Q15" s="3163" t="s">
        <v>5210</v>
      </c>
    </row>
    <row r="16" spans="1:27" ht="58.5" customHeight="1">
      <c r="B16" s="2901" t="str">
        <f t="shared" si="0"/>
        <v>2400001330</v>
      </c>
      <c r="C16" s="2904" t="s">
        <v>5206</v>
      </c>
      <c r="D16" s="1777"/>
      <c r="E16" s="1777"/>
      <c r="F16" s="2904" t="s">
        <v>25</v>
      </c>
      <c r="J16" s="2886" t="s">
        <v>3423</v>
      </c>
      <c r="K16" s="2886" t="s">
        <v>5225</v>
      </c>
      <c r="L16" s="696" t="s">
        <v>5231</v>
      </c>
      <c r="M16" s="3188">
        <v>1650</v>
      </c>
      <c r="N16" s="2886" t="s">
        <v>5232</v>
      </c>
      <c r="Q16" s="3163" t="s">
        <v>5210</v>
      </c>
    </row>
    <row r="17" spans="1:29" ht="58.5" customHeight="1">
      <c r="B17" s="2901" t="str">
        <f t="shared" si="0"/>
        <v>2400001336</v>
      </c>
      <c r="C17" s="2904" t="s">
        <v>5206</v>
      </c>
      <c r="F17" s="2904" t="s">
        <v>25</v>
      </c>
      <c r="J17" s="2886" t="s">
        <v>3423</v>
      </c>
      <c r="K17" s="2886" t="s">
        <v>5225</v>
      </c>
      <c r="L17" s="696" t="s">
        <v>5233</v>
      </c>
      <c r="M17" s="3188">
        <v>500</v>
      </c>
      <c r="N17" s="2887" t="s">
        <v>5214</v>
      </c>
      <c r="Q17" s="3163" t="s">
        <v>5210</v>
      </c>
    </row>
    <row r="18" spans="1:29" ht="58.5" customHeight="1">
      <c r="B18" s="2901" t="str">
        <f t="shared" si="0"/>
        <v>2400001331</v>
      </c>
      <c r="C18" s="2904" t="s">
        <v>5206</v>
      </c>
      <c r="F18" s="2904" t="s">
        <v>25</v>
      </c>
      <c r="J18" s="2886" t="s">
        <v>3423</v>
      </c>
      <c r="K18" s="2886" t="s">
        <v>5225</v>
      </c>
      <c r="L18" s="696" t="s">
        <v>5234</v>
      </c>
      <c r="M18" s="3188">
        <v>200</v>
      </c>
      <c r="N18" s="2887" t="s">
        <v>5214</v>
      </c>
      <c r="Q18" s="3163" t="s">
        <v>5210</v>
      </c>
    </row>
    <row r="19" spans="1:29" ht="58.5" customHeight="1">
      <c r="B19" s="2901" t="str">
        <f t="shared" si="0"/>
        <v>2400001321</v>
      </c>
      <c r="C19" s="2906" t="s">
        <v>5235</v>
      </c>
      <c r="D19" s="1167">
        <v>4900</v>
      </c>
      <c r="E19" s="3591">
        <v>45668</v>
      </c>
      <c r="F19" s="2906" t="s">
        <v>25</v>
      </c>
      <c r="J19" s="2886" t="s">
        <v>3423</v>
      </c>
      <c r="K19" s="109" t="s">
        <v>5236</v>
      </c>
      <c r="L19" s="696" t="s">
        <v>5237</v>
      </c>
      <c r="M19" s="3188">
        <v>500</v>
      </c>
      <c r="N19" s="2887" t="s">
        <v>5214</v>
      </c>
      <c r="Q19" s="3163" t="s">
        <v>5210</v>
      </c>
    </row>
    <row r="20" spans="1:29" ht="58.5" customHeight="1">
      <c r="B20" s="2901" t="str">
        <f t="shared" si="0"/>
        <v>2400001322</v>
      </c>
      <c r="C20" s="2904" t="s">
        <v>5235</v>
      </c>
      <c r="F20" s="2904" t="s">
        <v>25</v>
      </c>
      <c r="J20" s="2886" t="s">
        <v>3423</v>
      </c>
      <c r="K20" s="109" t="s">
        <v>5236</v>
      </c>
      <c r="L20" s="696" t="s">
        <v>5238</v>
      </c>
      <c r="M20" s="3188">
        <v>300</v>
      </c>
      <c r="N20" s="2887" t="s">
        <v>5214</v>
      </c>
      <c r="Q20" s="3163" t="s">
        <v>5210</v>
      </c>
    </row>
    <row r="21" spans="1:29" ht="58.5" customHeight="1">
      <c r="B21" s="2901" t="str">
        <f t="shared" si="0"/>
        <v>2400001343</v>
      </c>
      <c r="C21" s="2904" t="s">
        <v>5235</v>
      </c>
      <c r="F21" s="2904" t="s">
        <v>25</v>
      </c>
      <c r="J21" s="2886" t="s">
        <v>3423</v>
      </c>
      <c r="K21" s="109" t="s">
        <v>5236</v>
      </c>
      <c r="L21" s="696" t="s">
        <v>5239</v>
      </c>
      <c r="M21" s="3188">
        <v>50</v>
      </c>
      <c r="N21" s="2887" t="s">
        <v>5214</v>
      </c>
      <c r="Q21" s="3163" t="s">
        <v>5210</v>
      </c>
    </row>
    <row r="22" spans="1:29" ht="58.5" customHeight="1">
      <c r="B22" s="2901" t="str">
        <f t="shared" si="0"/>
        <v>2400001338</v>
      </c>
      <c r="C22" s="2904" t="s">
        <v>5235</v>
      </c>
      <c r="F22" s="2904" t="s">
        <v>25</v>
      </c>
      <c r="J22" s="2886" t="s">
        <v>3423</v>
      </c>
      <c r="K22" s="109" t="s">
        <v>5236</v>
      </c>
      <c r="L22" s="696" t="s">
        <v>5240</v>
      </c>
      <c r="M22" s="3188">
        <v>175</v>
      </c>
      <c r="N22" s="2887" t="s">
        <v>5214</v>
      </c>
      <c r="Q22" s="3163" t="s">
        <v>5210</v>
      </c>
    </row>
    <row r="23" spans="1:29" ht="58.5" customHeight="1">
      <c r="B23" s="2901" t="str">
        <f t="shared" si="0"/>
        <v>2400001339</v>
      </c>
      <c r="C23" s="2904" t="s">
        <v>5235</v>
      </c>
      <c r="F23" s="2904" t="s">
        <v>25</v>
      </c>
      <c r="J23" s="2886" t="s">
        <v>3423</v>
      </c>
      <c r="K23" s="109" t="s">
        <v>5236</v>
      </c>
      <c r="L23" s="696" t="s">
        <v>5241</v>
      </c>
      <c r="M23" s="3188">
        <v>525</v>
      </c>
      <c r="N23" s="2887" t="s">
        <v>5214</v>
      </c>
      <c r="Q23" s="3163" t="s">
        <v>5210</v>
      </c>
    </row>
    <row r="24" spans="1:29" ht="58.5" customHeight="1">
      <c r="B24" s="2901" t="str">
        <f t="shared" si="0"/>
        <v>2400001340</v>
      </c>
      <c r="C24" s="2904" t="s">
        <v>5235</v>
      </c>
      <c r="F24" s="2904" t="s">
        <v>25</v>
      </c>
      <c r="J24" s="2886" t="s">
        <v>3423</v>
      </c>
      <c r="K24" s="109" t="s">
        <v>5236</v>
      </c>
      <c r="L24" s="696" t="s">
        <v>5242</v>
      </c>
      <c r="M24" s="3188">
        <v>150</v>
      </c>
      <c r="N24" s="2886" t="s">
        <v>5243</v>
      </c>
      <c r="Q24" s="3163" t="s">
        <v>5210</v>
      </c>
    </row>
    <row r="25" spans="1:29" ht="58.5" customHeight="1">
      <c r="B25" s="2901" t="str">
        <f t="shared" si="0"/>
        <v>2400001341</v>
      </c>
      <c r="C25" s="2904" t="s">
        <v>5235</v>
      </c>
      <c r="F25" s="2904" t="s">
        <v>25</v>
      </c>
      <c r="J25" s="2886" t="s">
        <v>3423</v>
      </c>
      <c r="K25" s="109" t="s">
        <v>5236</v>
      </c>
      <c r="L25" s="696" t="s">
        <v>5244</v>
      </c>
      <c r="M25" s="3188">
        <v>575</v>
      </c>
      <c r="N25" s="2887" t="s">
        <v>5214</v>
      </c>
      <c r="Q25" s="3163" t="s">
        <v>5210</v>
      </c>
    </row>
    <row r="26" spans="1:29" ht="58.5" customHeight="1">
      <c r="B26" s="2901" t="str">
        <f t="shared" si="0"/>
        <v>2400001342</v>
      </c>
      <c r="C26" s="2904" t="s">
        <v>5235</v>
      </c>
      <c r="F26" s="2904" t="s">
        <v>25</v>
      </c>
      <c r="J26" s="2886" t="s">
        <v>3423</v>
      </c>
      <c r="K26" s="109" t="s">
        <v>5236</v>
      </c>
      <c r="L26" s="696" t="s">
        <v>5245</v>
      </c>
      <c r="M26" s="3188">
        <v>150</v>
      </c>
      <c r="N26" s="2887" t="s">
        <v>5214</v>
      </c>
      <c r="Q26" s="3163" t="s">
        <v>5210</v>
      </c>
    </row>
    <row r="27" spans="1:29" ht="58.5" customHeight="1">
      <c r="B27" s="2901" t="str">
        <f t="shared" si="0"/>
        <v>2400001345</v>
      </c>
      <c r="C27" s="2904" t="s">
        <v>5235</v>
      </c>
      <c r="F27" s="2904" t="s">
        <v>25</v>
      </c>
      <c r="J27" s="2886" t="s">
        <v>3423</v>
      </c>
      <c r="K27" s="109" t="s">
        <v>5236</v>
      </c>
      <c r="L27" s="696" t="s">
        <v>5246</v>
      </c>
      <c r="M27" s="3188">
        <v>2500</v>
      </c>
      <c r="N27" s="2886" t="s">
        <v>5247</v>
      </c>
      <c r="Q27" s="3163" t="s">
        <v>5210</v>
      </c>
    </row>
    <row r="28" spans="1:29" ht="58.5" customHeight="1">
      <c r="B28" s="2901" t="str">
        <f t="shared" si="0"/>
        <v>2400001346</v>
      </c>
      <c r="C28" s="2904" t="s">
        <v>5235</v>
      </c>
      <c r="F28" s="2904" t="s">
        <v>25</v>
      </c>
      <c r="J28" s="2886" t="s">
        <v>3423</v>
      </c>
      <c r="K28" s="109" t="s">
        <v>5236</v>
      </c>
      <c r="L28" s="696" t="s">
        <v>5248</v>
      </c>
      <c r="M28" s="3188"/>
      <c r="N28" s="2886" t="s">
        <v>5249</v>
      </c>
      <c r="Q28" s="3163" t="s">
        <v>5210</v>
      </c>
    </row>
    <row r="29" spans="1:29" ht="58.5" customHeight="1">
      <c r="B29" s="2901" t="str">
        <f t="shared" si="0"/>
        <v>2400001344</v>
      </c>
      <c r="C29" s="2904" t="s">
        <v>5235</v>
      </c>
      <c r="F29" s="2904" t="s">
        <v>25</v>
      </c>
      <c r="J29" s="2886" t="s">
        <v>3423</v>
      </c>
      <c r="K29" s="109" t="s">
        <v>5236</v>
      </c>
      <c r="L29" s="696" t="s">
        <v>5250</v>
      </c>
      <c r="M29" s="3188"/>
      <c r="N29" s="2887" t="s">
        <v>5214</v>
      </c>
      <c r="Q29" s="3163" t="s">
        <v>5210</v>
      </c>
    </row>
    <row r="30" spans="1:29" ht="58.5" customHeight="1">
      <c r="B30" s="2901" t="str">
        <f t="shared" si="0"/>
        <v>2400001355</v>
      </c>
      <c r="C30" s="2904" t="s">
        <v>5235</v>
      </c>
      <c r="F30" s="2904" t="s">
        <v>25</v>
      </c>
      <c r="J30" s="2886" t="s">
        <v>3423</v>
      </c>
      <c r="K30" s="109" t="s">
        <v>5236</v>
      </c>
      <c r="L30" s="696" t="s">
        <v>5251</v>
      </c>
      <c r="M30" s="3188">
        <v>25</v>
      </c>
      <c r="N30" s="2887" t="s">
        <v>5214</v>
      </c>
      <c r="Q30" s="3163" t="s">
        <v>5210</v>
      </c>
    </row>
    <row r="31" spans="1:29" s="3231" customFormat="1" ht="58.5" customHeight="1">
      <c r="A31" s="3282"/>
      <c r="B31" s="3346" t="str">
        <f t="shared" si="0"/>
        <v>2000003482</v>
      </c>
      <c r="C31" s="3230" t="s">
        <v>3733</v>
      </c>
      <c r="D31" s="2731">
        <v>8800</v>
      </c>
      <c r="E31" s="3222" t="s">
        <v>5252</v>
      </c>
      <c r="F31" s="3396" t="s">
        <v>3401</v>
      </c>
      <c r="G31" s="3222"/>
      <c r="H31" s="1216"/>
      <c r="I31" s="2114" t="s">
        <v>5253</v>
      </c>
      <c r="J31" s="3391" t="s">
        <v>19</v>
      </c>
      <c r="K31" s="2114" t="s">
        <v>1138</v>
      </c>
      <c r="L31" s="3345" t="s">
        <v>5254</v>
      </c>
      <c r="M31" s="2500">
        <v>6195</v>
      </c>
      <c r="N31" s="2114" t="s">
        <v>5255</v>
      </c>
      <c r="O31" s="3230"/>
      <c r="P31" s="3377"/>
      <c r="Q31" s="3163" t="s">
        <v>5210</v>
      </c>
      <c r="R31" s="3348"/>
      <c r="S31" s="3349"/>
      <c r="T31" s="3349"/>
      <c r="U31" s="3350"/>
      <c r="V31" s="3351"/>
      <c r="W31" s="3349"/>
      <c r="X31" s="3352"/>
      <c r="Y31" s="3352"/>
      <c r="Z31" s="3349"/>
      <c r="AA31" s="3352"/>
      <c r="AB31" s="2147"/>
      <c r="AC31" s="3353"/>
    </row>
    <row r="32" spans="1:29" s="672" customFormat="1" ht="58.5" customHeight="1">
      <c r="A32" s="738"/>
      <c r="B32" s="3559" t="str">
        <f t="shared" si="0"/>
        <v>2000003404</v>
      </c>
      <c r="C32" s="608" t="s">
        <v>3733</v>
      </c>
      <c r="D32" s="3560"/>
      <c r="E32" s="612"/>
      <c r="F32" s="608" t="s">
        <v>3401</v>
      </c>
      <c r="G32" s="612"/>
      <c r="H32" s="612"/>
      <c r="I32" s="109" t="s">
        <v>5253</v>
      </c>
      <c r="J32" s="3411" t="s">
        <v>19</v>
      </c>
      <c r="K32" s="2114" t="s">
        <v>1138</v>
      </c>
      <c r="L32" s="670" t="s">
        <v>5256</v>
      </c>
      <c r="M32" s="3561">
        <v>605</v>
      </c>
      <c r="N32" s="2887" t="s">
        <v>5257</v>
      </c>
      <c r="O32" s="608"/>
      <c r="P32" s="1706"/>
      <c r="Q32" s="3163" t="s">
        <v>5210</v>
      </c>
    </row>
    <row r="33" spans="1:35" ht="58.5" customHeight="1">
      <c r="A33" s="3524"/>
      <c r="B33" s="3523" t="str">
        <f t="shared" si="0"/>
        <v>2000003409</v>
      </c>
      <c r="C33" s="608" t="s">
        <v>3733</v>
      </c>
      <c r="D33" s="3189"/>
      <c r="E33" s="1772"/>
      <c r="F33" s="608" t="s">
        <v>3401</v>
      </c>
      <c r="G33" s="1772"/>
      <c r="H33" s="1772"/>
      <c r="I33" s="109" t="s">
        <v>5253</v>
      </c>
      <c r="J33" s="3411" t="s">
        <v>19</v>
      </c>
      <c r="K33" s="2114" t="s">
        <v>1138</v>
      </c>
      <c r="L33" s="696" t="s">
        <v>5258</v>
      </c>
      <c r="M33" s="2216">
        <v>1000</v>
      </c>
      <c r="N33" s="2887" t="s">
        <v>5214</v>
      </c>
      <c r="O33" s="1853"/>
      <c r="P33" s="3225"/>
      <c r="Q33" s="3163" t="s">
        <v>5210</v>
      </c>
      <c r="R33" s="2390"/>
      <c r="S33" s="2390"/>
      <c r="T33" s="2390"/>
      <c r="U33" s="2390"/>
      <c r="V33" s="2390"/>
      <c r="W33" s="2390"/>
      <c r="X33" s="2390"/>
      <c r="Y33" s="2390"/>
      <c r="Z33" s="2390"/>
      <c r="AA33" s="2390"/>
      <c r="AB33" s="2390"/>
      <c r="AC33" s="2390"/>
      <c r="AD33" s="2390"/>
      <c r="AE33" s="2390"/>
      <c r="AF33" s="2390"/>
      <c r="AG33" s="2390"/>
      <c r="AH33" s="2390"/>
      <c r="AI33" s="2390"/>
    </row>
    <row r="34" spans="1:35" ht="58.5" customHeight="1">
      <c r="A34" s="3233"/>
      <c r="B34" s="3523" t="str">
        <f t="shared" si="0"/>
        <v>2000003407</v>
      </c>
      <c r="C34" s="608" t="s">
        <v>3733</v>
      </c>
      <c r="D34" s="3189"/>
      <c r="E34" s="1772"/>
      <c r="F34" s="608" t="s">
        <v>3401</v>
      </c>
      <c r="G34" s="1772"/>
      <c r="H34" s="1772"/>
      <c r="I34" s="109" t="s">
        <v>5253</v>
      </c>
      <c r="J34" s="3411" t="s">
        <v>19</v>
      </c>
      <c r="K34" s="2114" t="s">
        <v>1138</v>
      </c>
      <c r="L34" s="696" t="s">
        <v>5259</v>
      </c>
      <c r="M34" s="2216">
        <v>1000</v>
      </c>
      <c r="N34" s="2886" t="s">
        <v>5260</v>
      </c>
      <c r="O34" s="1853"/>
      <c r="P34" s="3225"/>
      <c r="Q34" s="3163" t="s">
        <v>5210</v>
      </c>
      <c r="R34" s="2390"/>
      <c r="S34" s="2390"/>
      <c r="T34" s="2390"/>
      <c r="U34" s="2390"/>
      <c r="V34" s="2390"/>
      <c r="W34" s="2390"/>
      <c r="X34" s="2390"/>
      <c r="Y34" s="2390"/>
      <c r="Z34" s="2390"/>
      <c r="AA34" s="2390"/>
      <c r="AB34" s="2390"/>
      <c r="AC34" s="2390"/>
      <c r="AD34" s="2390"/>
      <c r="AE34" s="2390"/>
      <c r="AF34" s="2390"/>
      <c r="AG34" s="2390"/>
      <c r="AH34" s="2390"/>
      <c r="AI34" s="2390"/>
    </row>
    <row r="35" spans="1:35" ht="58.5" customHeight="1">
      <c r="B35" s="2886" t="str">
        <f t="shared" si="0"/>
        <v>2200002291</v>
      </c>
      <c r="C35" s="3230" t="s">
        <v>71</v>
      </c>
      <c r="D35" s="2731">
        <v>3720</v>
      </c>
      <c r="E35" s="2114" t="s">
        <v>5261</v>
      </c>
      <c r="F35" s="1895" t="s">
        <v>84</v>
      </c>
      <c r="J35" s="2904" t="s">
        <v>19</v>
      </c>
      <c r="K35" s="2114" t="s">
        <v>1138</v>
      </c>
      <c r="L35" s="696" t="s">
        <v>5262</v>
      </c>
      <c r="M35" s="2216">
        <v>2880</v>
      </c>
      <c r="N35" s="1216" t="s">
        <v>5263</v>
      </c>
      <c r="Q35" s="3163" t="s">
        <v>5210</v>
      </c>
    </row>
    <row r="36" spans="1:35" s="2167" customFormat="1" ht="58.5" customHeight="1">
      <c r="A36" s="3311"/>
      <c r="B36" s="2886" t="str">
        <f t="shared" ref="B36:B67" si="1">TEXT(LEFT(L36,10),"0000000000")</f>
        <v>2200002307</v>
      </c>
      <c r="C36" s="608" t="s">
        <v>71</v>
      </c>
      <c r="D36" s="2731"/>
      <c r="E36" s="2114"/>
      <c r="F36" s="102" t="s">
        <v>84</v>
      </c>
      <c r="G36" s="2114"/>
      <c r="H36" s="2114"/>
      <c r="I36" s="2114"/>
      <c r="J36" s="2904" t="s">
        <v>19</v>
      </c>
      <c r="K36" s="2114" t="s">
        <v>1138</v>
      </c>
      <c r="L36" s="696" t="s">
        <v>5264</v>
      </c>
      <c r="M36" s="2216">
        <v>480</v>
      </c>
      <c r="N36" s="2887" t="s">
        <v>5265</v>
      </c>
      <c r="O36" s="1895"/>
      <c r="P36" s="2501"/>
      <c r="Q36" s="3163" t="s">
        <v>5210</v>
      </c>
    </row>
    <row r="37" spans="1:35" ht="58.5" customHeight="1">
      <c r="A37" s="3359"/>
      <c r="B37" s="3556" t="str">
        <f t="shared" si="1"/>
        <v>2200002304</v>
      </c>
      <c r="C37" s="608" t="s">
        <v>71</v>
      </c>
      <c r="D37" s="3347"/>
      <c r="E37" s="3222"/>
      <c r="F37" s="102" t="s">
        <v>84</v>
      </c>
      <c r="G37" s="3563"/>
      <c r="H37" s="3563"/>
      <c r="I37" s="2114"/>
      <c r="J37" s="1895" t="s">
        <v>19</v>
      </c>
      <c r="K37" s="2114" t="s">
        <v>1138</v>
      </c>
      <c r="L37" s="3615" t="s">
        <v>5266</v>
      </c>
      <c r="M37" s="2648">
        <v>360</v>
      </c>
      <c r="N37" s="2446" t="s">
        <v>5267</v>
      </c>
      <c r="O37" s="3573"/>
      <c r="P37" s="3360"/>
      <c r="Q37" s="3393" t="s">
        <v>5268</v>
      </c>
      <c r="R37" s="307"/>
      <c r="S37" s="282"/>
      <c r="T37" s="282"/>
      <c r="U37" s="282"/>
      <c r="V37" s="282"/>
      <c r="W37" s="282"/>
      <c r="X37" s="282"/>
      <c r="Y37" s="282"/>
      <c r="Z37" s="282"/>
      <c r="AA37" s="282"/>
      <c r="AB37" s="282"/>
      <c r="AC37" s="282"/>
      <c r="AD37" s="282"/>
      <c r="AE37" s="282"/>
      <c r="AF37" s="282"/>
      <c r="AG37" s="282"/>
      <c r="AH37" s="282"/>
      <c r="AI37" s="282"/>
    </row>
    <row r="38" spans="1:35" s="2167" customFormat="1" ht="58.5" customHeight="1">
      <c r="A38" s="3232"/>
      <c r="B38" s="2901" t="str">
        <f t="shared" si="1"/>
        <v>2000003482</v>
      </c>
      <c r="C38" s="3230" t="s">
        <v>5269</v>
      </c>
      <c r="D38" s="2731">
        <v>24000</v>
      </c>
      <c r="E38" s="2114" t="s">
        <v>5270</v>
      </c>
      <c r="F38" s="1895" t="s">
        <v>3416</v>
      </c>
      <c r="G38" s="2114"/>
      <c r="H38" s="2114"/>
      <c r="I38" s="2114" t="s">
        <v>5271</v>
      </c>
      <c r="J38" s="2906" t="s">
        <v>19</v>
      </c>
      <c r="K38" s="2114" t="s">
        <v>959</v>
      </c>
      <c r="L38" s="2173" t="s">
        <v>5272</v>
      </c>
      <c r="M38" s="2500">
        <v>3805</v>
      </c>
      <c r="N38" s="2114" t="s">
        <v>5273</v>
      </c>
      <c r="O38" s="1895"/>
      <c r="P38" s="2501"/>
      <c r="Q38" s="3163" t="s">
        <v>5210</v>
      </c>
    </row>
    <row r="39" spans="1:35" ht="58.5" customHeight="1">
      <c r="A39" s="3564"/>
      <c r="B39" s="2886" t="str">
        <f t="shared" si="1"/>
        <v>2200002290</v>
      </c>
      <c r="C39" s="608" t="s">
        <v>5269</v>
      </c>
      <c r="F39" s="102" t="s">
        <v>3416</v>
      </c>
      <c r="H39" s="109" t="s">
        <v>5274</v>
      </c>
      <c r="I39" s="109" t="s">
        <v>5275</v>
      </c>
      <c r="J39" s="2904" t="s">
        <v>19</v>
      </c>
      <c r="K39" s="2114" t="s">
        <v>959</v>
      </c>
      <c r="L39" s="696" t="s">
        <v>5276</v>
      </c>
      <c r="M39" s="2216">
        <v>5000</v>
      </c>
      <c r="N39" s="2886" t="s">
        <v>5277</v>
      </c>
      <c r="Q39" s="3163" t="s">
        <v>5210</v>
      </c>
    </row>
    <row r="40" spans="1:35" ht="58.5" customHeight="1">
      <c r="B40" s="2901" t="str">
        <f t="shared" si="1"/>
        <v>2200002287</v>
      </c>
      <c r="C40" s="608" t="s">
        <v>5269</v>
      </c>
      <c r="F40" s="102" t="s">
        <v>3416</v>
      </c>
      <c r="I40" s="109" t="s">
        <v>5275</v>
      </c>
      <c r="J40" s="102" t="s">
        <v>19</v>
      </c>
      <c r="K40" s="2114" t="s">
        <v>959</v>
      </c>
      <c r="L40" s="696" t="s">
        <v>5278</v>
      </c>
      <c r="M40" s="2216">
        <v>2000</v>
      </c>
      <c r="N40" s="2446" t="s">
        <v>5279</v>
      </c>
      <c r="Q40" s="3163" t="s">
        <v>5210</v>
      </c>
    </row>
    <row r="41" spans="1:35" ht="58.5" customHeight="1">
      <c r="B41" s="2901" t="str">
        <f t="shared" si="1"/>
        <v>2200002288</v>
      </c>
      <c r="C41" s="608" t="s">
        <v>5269</v>
      </c>
      <c r="F41" s="102" t="s">
        <v>3416</v>
      </c>
      <c r="I41" s="109" t="s">
        <v>5275</v>
      </c>
      <c r="J41" s="102" t="s">
        <v>19</v>
      </c>
      <c r="K41" s="2114" t="s">
        <v>959</v>
      </c>
      <c r="L41" s="696" t="s">
        <v>5280</v>
      </c>
      <c r="M41" s="2216">
        <v>5000</v>
      </c>
      <c r="N41" s="109" t="s">
        <v>5281</v>
      </c>
      <c r="Q41" s="3163" t="s">
        <v>5210</v>
      </c>
    </row>
    <row r="42" spans="1:35" ht="58.5" customHeight="1">
      <c r="B42" s="3559" t="str">
        <f t="shared" si="1"/>
        <v>2000003408</v>
      </c>
      <c r="C42" s="608" t="s">
        <v>5269</v>
      </c>
      <c r="F42" s="102" t="s">
        <v>3416</v>
      </c>
      <c r="I42" s="109" t="s">
        <v>5253</v>
      </c>
      <c r="J42" s="3411" t="s">
        <v>19</v>
      </c>
      <c r="K42" s="2114" t="s">
        <v>959</v>
      </c>
      <c r="L42" s="696" t="s">
        <v>5282</v>
      </c>
      <c r="M42" s="2216">
        <v>1000</v>
      </c>
      <c r="N42" s="2446" t="s">
        <v>5279</v>
      </c>
      <c r="Q42" s="3163" t="s">
        <v>5210</v>
      </c>
    </row>
    <row r="43" spans="1:35" ht="58.5" customHeight="1">
      <c r="B43" s="2901" t="str">
        <f t="shared" si="1"/>
        <v>2200002292</v>
      </c>
      <c r="C43" s="608" t="s">
        <v>5269</v>
      </c>
      <c r="F43" s="102" t="s">
        <v>3416</v>
      </c>
      <c r="J43" s="2904" t="s">
        <v>19</v>
      </c>
      <c r="K43" s="2114" t="s">
        <v>959</v>
      </c>
      <c r="L43" s="696" t="s">
        <v>5283</v>
      </c>
      <c r="M43" s="2216">
        <v>3500</v>
      </c>
      <c r="N43" s="109" t="s">
        <v>5284</v>
      </c>
      <c r="Q43" s="3163" t="s">
        <v>5210</v>
      </c>
    </row>
    <row r="44" spans="1:35" ht="58.5" customHeight="1">
      <c r="B44" s="2901" t="str">
        <f t="shared" si="1"/>
        <v>2000003466</v>
      </c>
      <c r="C44" s="608" t="s">
        <v>5269</v>
      </c>
      <c r="D44" s="3481"/>
      <c r="E44" s="612"/>
      <c r="F44" s="102" t="s">
        <v>3416</v>
      </c>
      <c r="G44" s="1077"/>
      <c r="H44" s="1772"/>
      <c r="I44" s="1772" t="s">
        <v>5285</v>
      </c>
      <c r="J44" s="2904" t="s">
        <v>19</v>
      </c>
      <c r="K44" s="2114" t="s">
        <v>959</v>
      </c>
      <c r="L44" s="2903" t="s">
        <v>5286</v>
      </c>
      <c r="M44" s="2216">
        <v>445</v>
      </c>
      <c r="N44" s="2887" t="s">
        <v>5214</v>
      </c>
      <c r="P44" s="157"/>
      <c r="R44" s="1853"/>
      <c r="S44" s="2167"/>
      <c r="T44" s="2167"/>
      <c r="U44" s="2167"/>
      <c r="V44" s="2167"/>
      <c r="W44" s="2167"/>
      <c r="X44" s="2167"/>
      <c r="Y44" s="2167"/>
      <c r="Z44" s="2167"/>
      <c r="AA44" s="2167"/>
      <c r="AB44" s="2167"/>
      <c r="AC44" s="2167"/>
      <c r="AD44" s="2167"/>
      <c r="AE44" s="2167"/>
      <c r="AF44" s="2167"/>
      <c r="AG44" s="2167"/>
      <c r="AH44" s="2167"/>
      <c r="AI44" s="2167"/>
    </row>
    <row r="45" spans="1:35" ht="58.5" customHeight="1">
      <c r="A45" s="1777"/>
      <c r="B45" s="2901" t="str">
        <f t="shared" si="1"/>
        <v>2000003493</v>
      </c>
      <c r="C45" s="608" t="s">
        <v>5269</v>
      </c>
      <c r="D45" s="1777"/>
      <c r="E45" s="1777"/>
      <c r="F45" s="102" t="s">
        <v>3416</v>
      </c>
      <c r="G45" s="1777"/>
      <c r="H45" s="1777"/>
      <c r="I45" s="1772" t="s">
        <v>5285</v>
      </c>
      <c r="J45" s="102" t="s">
        <v>19</v>
      </c>
      <c r="K45" s="2114" t="s">
        <v>959</v>
      </c>
      <c r="L45" s="696" t="s">
        <v>5287</v>
      </c>
      <c r="M45" s="1777">
        <v>2380</v>
      </c>
      <c r="N45" s="2887" t="s">
        <v>5214</v>
      </c>
      <c r="O45" s="1777"/>
      <c r="P45" s="1777"/>
      <c r="Q45" s="1777"/>
    </row>
    <row r="46" spans="1:35" s="2167" customFormat="1" ht="58.5" customHeight="1">
      <c r="A46" s="3311"/>
      <c r="B46" s="2901" t="str">
        <f t="shared" si="1"/>
        <v>2000003509</v>
      </c>
      <c r="C46" s="1895" t="s">
        <v>5288</v>
      </c>
      <c r="D46" s="2731">
        <v>4300</v>
      </c>
      <c r="E46" s="2114" t="s">
        <v>5289</v>
      </c>
      <c r="F46" s="1895" t="s">
        <v>16</v>
      </c>
      <c r="G46" s="2114"/>
      <c r="H46" s="2114"/>
      <c r="I46" s="109" t="s">
        <v>5290</v>
      </c>
      <c r="J46" s="2906" t="s">
        <v>19</v>
      </c>
      <c r="K46" s="2114" t="s">
        <v>20</v>
      </c>
      <c r="L46" s="2618" t="s">
        <v>5291</v>
      </c>
      <c r="M46" s="2500">
        <v>4000</v>
      </c>
      <c r="N46" s="1216" t="s">
        <v>5292</v>
      </c>
      <c r="O46" s="1895"/>
      <c r="P46" s="2501"/>
      <c r="Q46" s="3163" t="s">
        <v>5210</v>
      </c>
    </row>
    <row r="47" spans="1:35" s="2167" customFormat="1" ht="58.5" customHeight="1">
      <c r="A47" s="3311"/>
      <c r="B47" s="2901" t="str">
        <f t="shared" si="1"/>
        <v>2000003466</v>
      </c>
      <c r="C47" s="3230" t="s">
        <v>3275</v>
      </c>
      <c r="D47" s="3558">
        <v>10500</v>
      </c>
      <c r="E47" s="3222" t="s">
        <v>5293</v>
      </c>
      <c r="F47" s="1895" t="s">
        <v>3401</v>
      </c>
      <c r="G47" s="3576"/>
      <c r="H47" s="1216" t="s">
        <v>5294</v>
      </c>
      <c r="I47" s="1216" t="s">
        <v>5285</v>
      </c>
      <c r="J47" s="2906" t="s">
        <v>19</v>
      </c>
      <c r="K47" s="2114" t="s">
        <v>1138</v>
      </c>
      <c r="L47" s="3577" t="s">
        <v>5295</v>
      </c>
      <c r="M47" s="2500">
        <v>6340</v>
      </c>
      <c r="N47" s="2887" t="s">
        <v>5214</v>
      </c>
      <c r="O47" s="1895"/>
      <c r="P47" s="3345"/>
      <c r="Q47" s="3163" t="s">
        <v>5210</v>
      </c>
      <c r="R47" s="2542"/>
    </row>
    <row r="48" spans="1:35" ht="58.5" customHeight="1">
      <c r="A48" s="3232"/>
      <c r="B48" s="2901" t="str">
        <f t="shared" si="1"/>
        <v>2000003468</v>
      </c>
      <c r="C48" s="608" t="s">
        <v>3275</v>
      </c>
      <c r="D48" s="2216"/>
      <c r="F48" s="102" t="s">
        <v>3401</v>
      </c>
      <c r="G48" s="1077"/>
      <c r="H48" s="1772"/>
      <c r="I48" s="1772" t="s">
        <v>5285</v>
      </c>
      <c r="J48" s="2904" t="s">
        <v>19</v>
      </c>
      <c r="K48" s="2114" t="s">
        <v>1138</v>
      </c>
      <c r="L48" s="696" t="s">
        <v>5296</v>
      </c>
      <c r="M48" s="2216">
        <v>2910</v>
      </c>
      <c r="N48" s="2887" t="s">
        <v>5257</v>
      </c>
      <c r="P48" s="157"/>
      <c r="Q48" s="3163" t="s">
        <v>5210</v>
      </c>
      <c r="R48" s="1853"/>
      <c r="S48" s="2167"/>
      <c r="T48" s="2167"/>
      <c r="U48" s="2167"/>
      <c r="V48" s="2167"/>
      <c r="W48" s="2167"/>
      <c r="X48" s="2167"/>
      <c r="Y48" s="2167"/>
      <c r="Z48" s="2167"/>
      <c r="AA48" s="2167"/>
      <c r="AB48" s="2167"/>
      <c r="AC48" s="2167"/>
      <c r="AD48" s="2167"/>
      <c r="AE48" s="2167"/>
      <c r="AF48" s="2167"/>
      <c r="AG48" s="2167"/>
      <c r="AH48" s="2167"/>
      <c r="AI48" s="2167"/>
    </row>
    <row r="49" spans="1:35" ht="58.5" customHeight="1">
      <c r="A49" s="3232"/>
      <c r="B49" s="2901" t="str">
        <f t="shared" si="1"/>
        <v>2000003467</v>
      </c>
      <c r="C49" s="608" t="s">
        <v>3275</v>
      </c>
      <c r="D49" s="2216"/>
      <c r="F49" s="102" t="s">
        <v>3401</v>
      </c>
      <c r="G49" s="1077"/>
      <c r="H49" s="1772"/>
      <c r="I49" s="1772" t="s">
        <v>5285</v>
      </c>
      <c r="J49" s="2904" t="s">
        <v>19</v>
      </c>
      <c r="K49" s="2114" t="s">
        <v>1138</v>
      </c>
      <c r="L49" s="696" t="s">
        <v>5297</v>
      </c>
      <c r="M49" s="2216">
        <v>1250</v>
      </c>
      <c r="N49" s="2887" t="s">
        <v>5214</v>
      </c>
      <c r="P49" s="157"/>
      <c r="Q49" s="3163" t="s">
        <v>5210</v>
      </c>
      <c r="R49" s="1853"/>
      <c r="S49" s="2167"/>
      <c r="T49" s="2167"/>
      <c r="U49" s="2167"/>
      <c r="V49" s="2167"/>
      <c r="W49" s="2167"/>
      <c r="X49" s="2167"/>
      <c r="Y49" s="2167"/>
      <c r="Z49" s="2167"/>
      <c r="AA49" s="2167"/>
      <c r="AB49" s="2167"/>
      <c r="AC49" s="2167"/>
      <c r="AD49" s="2167"/>
      <c r="AE49" s="2167"/>
      <c r="AF49" s="2167"/>
      <c r="AG49" s="2167"/>
      <c r="AH49" s="2167"/>
      <c r="AI49" s="2167"/>
    </row>
    <row r="50" spans="1:35" s="8" customFormat="1" ht="58.5" customHeight="1">
      <c r="A50" s="3544"/>
      <c r="B50" s="3253" t="str">
        <f t="shared" si="1"/>
        <v>2000003472</v>
      </c>
      <c r="C50" s="1895" t="s">
        <v>3399</v>
      </c>
      <c r="D50" s="3582">
        <v>8800</v>
      </c>
      <c r="E50" s="1895" t="s">
        <v>5298</v>
      </c>
      <c r="F50" s="1895" t="s">
        <v>3401</v>
      </c>
      <c r="G50" s="3250"/>
      <c r="H50" s="2901"/>
      <c r="I50" s="3354" t="s">
        <v>5253</v>
      </c>
      <c r="J50" s="2906" t="s">
        <v>19</v>
      </c>
      <c r="K50" s="2901" t="s">
        <v>63</v>
      </c>
      <c r="L50" s="3581" t="s">
        <v>5299</v>
      </c>
      <c r="M50" s="2934">
        <v>2400</v>
      </c>
      <c r="N50" s="2901" t="s">
        <v>5300</v>
      </c>
      <c r="O50" s="2906"/>
      <c r="P50" s="2902"/>
      <c r="Q50" s="3163" t="s">
        <v>5210</v>
      </c>
      <c r="R50" s="2167"/>
      <c r="S50" s="2167"/>
      <c r="T50" s="2167"/>
      <c r="U50" s="2167"/>
      <c r="V50" s="2167"/>
      <c r="W50" s="2167"/>
      <c r="X50" s="2167"/>
      <c r="Y50" s="2167"/>
      <c r="Z50" s="2167"/>
      <c r="AA50" s="2167"/>
      <c r="AB50" s="2167"/>
      <c r="AC50" s="2167"/>
      <c r="AD50" s="2167"/>
      <c r="AE50" s="2167"/>
      <c r="AF50" s="2167"/>
      <c r="AG50" s="2167"/>
      <c r="AH50" s="2167"/>
      <c r="AI50" s="2167"/>
    </row>
    <row r="51" spans="1:35" s="3" customFormat="1" ht="48.75" customHeight="1">
      <c r="A51" s="2016"/>
      <c r="B51" s="3253" t="str">
        <f t="shared" si="1"/>
        <v>2000003471</v>
      </c>
      <c r="C51" s="112" t="s">
        <v>3399</v>
      </c>
      <c r="D51" s="1148"/>
      <c r="E51" s="109"/>
      <c r="F51" s="102" t="s">
        <v>3401</v>
      </c>
      <c r="G51" s="109"/>
      <c r="H51" s="109"/>
      <c r="I51" s="3546" t="s">
        <v>5253</v>
      </c>
      <c r="J51" s="2904" t="s">
        <v>19</v>
      </c>
      <c r="K51" s="109" t="s">
        <v>63</v>
      </c>
      <c r="L51" s="2903" t="s">
        <v>5301</v>
      </c>
      <c r="M51" s="2644">
        <v>2000</v>
      </c>
      <c r="N51" s="2887" t="s">
        <v>5302</v>
      </c>
      <c r="O51" s="102"/>
      <c r="P51" s="2389"/>
      <c r="Q51" s="3163"/>
      <c r="R51" s="1777"/>
      <c r="S51" s="1777"/>
      <c r="T51" s="1777"/>
      <c r="U51" s="1777"/>
      <c r="V51" s="1777"/>
      <c r="W51" s="1777"/>
      <c r="X51" s="1777"/>
      <c r="Y51" s="1777"/>
      <c r="Z51" s="1777"/>
      <c r="AA51" s="1777"/>
    </row>
    <row r="52" spans="1:35" s="3" customFormat="1" ht="58.5" customHeight="1">
      <c r="A52" s="3545"/>
      <c r="B52" s="3250" t="str">
        <f t="shared" si="1"/>
        <v>2000003479</v>
      </c>
      <c r="C52" s="112" t="s">
        <v>3399</v>
      </c>
      <c r="D52" s="3582"/>
      <c r="E52" s="1895" t="s">
        <v>5298</v>
      </c>
      <c r="F52" s="112" t="s">
        <v>3401</v>
      </c>
      <c r="G52" s="109"/>
      <c r="H52" s="109"/>
      <c r="I52" s="109" t="s">
        <v>5253</v>
      </c>
      <c r="J52" s="2904" t="s">
        <v>19</v>
      </c>
      <c r="K52" s="109" t="s">
        <v>123</v>
      </c>
      <c r="L52" s="696" t="s">
        <v>5303</v>
      </c>
      <c r="M52" s="2644">
        <v>4420</v>
      </c>
      <c r="N52" s="2887" t="s">
        <v>5257</v>
      </c>
      <c r="O52" s="102"/>
      <c r="P52" s="2389"/>
      <c r="Q52" s="3163" t="s">
        <v>5210</v>
      </c>
      <c r="R52" s="1777"/>
      <c r="S52" s="1777"/>
      <c r="T52" s="1777"/>
      <c r="U52" s="1777"/>
      <c r="V52" s="1777"/>
      <c r="W52" s="1777"/>
      <c r="X52" s="1777"/>
      <c r="Y52" s="1777"/>
      <c r="Z52" s="1777"/>
      <c r="AA52" s="1777"/>
    </row>
    <row r="53" spans="1:35" s="2167" customFormat="1" ht="58.5" customHeight="1">
      <c r="A53" s="3311"/>
      <c r="B53" s="2901" t="str">
        <f t="shared" si="1"/>
        <v>2000003264</v>
      </c>
      <c r="C53" s="1895" t="s">
        <v>4417</v>
      </c>
      <c r="D53" s="3187">
        <v>24200</v>
      </c>
      <c r="E53" s="2114" t="s">
        <v>5304</v>
      </c>
      <c r="F53" s="1895" t="s">
        <v>3416</v>
      </c>
      <c r="G53" s="2114"/>
      <c r="H53" s="2114"/>
      <c r="I53" s="2114"/>
      <c r="J53" s="2906" t="s">
        <v>19</v>
      </c>
      <c r="K53" s="2114" t="s">
        <v>123</v>
      </c>
      <c r="L53" s="2173" t="s">
        <v>5305</v>
      </c>
      <c r="M53" s="2798">
        <v>5500</v>
      </c>
      <c r="N53" s="2901" t="s">
        <v>5306</v>
      </c>
      <c r="O53" s="1895"/>
      <c r="P53" s="2501"/>
      <c r="Q53" s="3608" t="s">
        <v>5210</v>
      </c>
    </row>
    <row r="54" spans="1:35" ht="58.5" customHeight="1">
      <c r="B54" s="2901" t="str">
        <f t="shared" si="1"/>
        <v>2000003494</v>
      </c>
      <c r="C54" s="102" t="s">
        <v>4417</v>
      </c>
      <c r="F54" s="102" t="s">
        <v>3416</v>
      </c>
      <c r="I54" s="109" t="s">
        <v>5253</v>
      </c>
      <c r="J54" s="2904" t="s">
        <v>19</v>
      </c>
      <c r="K54" s="109" t="s">
        <v>63</v>
      </c>
      <c r="L54" s="696" t="s">
        <v>5307</v>
      </c>
      <c r="M54" s="2216">
        <v>1000</v>
      </c>
      <c r="N54" s="2887" t="s">
        <v>5214</v>
      </c>
      <c r="Q54" s="3163" t="s">
        <v>5210</v>
      </c>
    </row>
    <row r="55" spans="1:35" ht="58.5" customHeight="1">
      <c r="B55" s="2901" t="str">
        <f t="shared" si="1"/>
        <v>2000003266</v>
      </c>
      <c r="C55" s="102" t="s">
        <v>4417</v>
      </c>
      <c r="D55" s="1148"/>
      <c r="F55" s="102" t="s">
        <v>3416</v>
      </c>
      <c r="J55" s="2904" t="s">
        <v>19</v>
      </c>
      <c r="K55" s="109" t="s">
        <v>123</v>
      </c>
      <c r="L55" s="696" t="s">
        <v>5308</v>
      </c>
      <c r="M55" s="2644">
        <v>4000</v>
      </c>
      <c r="N55" s="2886" t="s">
        <v>5309</v>
      </c>
      <c r="Q55" s="3163" t="s">
        <v>5210</v>
      </c>
    </row>
    <row r="56" spans="1:35" s="3" customFormat="1" ht="58.5" customHeight="1">
      <c r="A56" s="3232"/>
      <c r="B56" s="3250" t="str">
        <f t="shared" si="1"/>
        <v>2000003471</v>
      </c>
      <c r="C56" s="102" t="s">
        <v>4417</v>
      </c>
      <c r="D56" s="3580"/>
      <c r="E56" s="2015"/>
      <c r="F56" s="102" t="s">
        <v>3416</v>
      </c>
      <c r="G56" s="735"/>
      <c r="H56" s="735"/>
      <c r="I56" s="3354" t="s">
        <v>5253</v>
      </c>
      <c r="J56" s="2904" t="s">
        <v>19</v>
      </c>
      <c r="K56" s="109" t="s">
        <v>63</v>
      </c>
      <c r="L56" s="2903" t="s">
        <v>5310</v>
      </c>
      <c r="M56" s="2644">
        <v>3000</v>
      </c>
      <c r="N56" s="2886" t="s">
        <v>5311</v>
      </c>
      <c r="O56" s="102"/>
      <c r="P56" s="2389"/>
      <c r="Q56" s="3163" t="s">
        <v>5210</v>
      </c>
      <c r="R56" s="1777"/>
      <c r="S56" s="1777"/>
      <c r="T56" s="1777"/>
      <c r="U56" s="1777"/>
      <c r="V56" s="1777"/>
      <c r="W56" s="1777"/>
      <c r="X56" s="1777"/>
      <c r="Y56" s="1777"/>
      <c r="Z56" s="1777"/>
      <c r="AA56" s="1777"/>
    </row>
    <row r="57" spans="1:35" ht="58.5" customHeight="1">
      <c r="B57" s="2901" t="str">
        <f t="shared" si="1"/>
        <v>2000003490</v>
      </c>
      <c r="C57" s="102" t="s">
        <v>4417</v>
      </c>
      <c r="F57" s="102" t="s">
        <v>3416</v>
      </c>
      <c r="I57" s="3408" t="s">
        <v>5312</v>
      </c>
      <c r="J57" s="2904" t="s">
        <v>19</v>
      </c>
      <c r="K57" s="109" t="s">
        <v>63</v>
      </c>
      <c r="L57" s="696" t="s">
        <v>5313</v>
      </c>
      <c r="M57" s="2216">
        <v>300</v>
      </c>
      <c r="N57" s="109" t="s">
        <v>5314</v>
      </c>
      <c r="Q57" s="3163" t="s">
        <v>5210</v>
      </c>
    </row>
    <row r="58" spans="1:35" ht="58.5" customHeight="1">
      <c r="B58" s="2901" t="str">
        <f t="shared" si="1"/>
        <v>607.T10.20</v>
      </c>
      <c r="C58" s="102" t="s">
        <v>4417</v>
      </c>
      <c r="F58" s="102" t="s">
        <v>3416</v>
      </c>
      <c r="J58" s="2904" t="s">
        <v>19</v>
      </c>
      <c r="K58" s="109" t="s">
        <v>63</v>
      </c>
      <c r="L58" s="696" t="s">
        <v>5315</v>
      </c>
      <c r="M58" s="2216">
        <v>200</v>
      </c>
      <c r="N58" s="102" t="s">
        <v>5314</v>
      </c>
      <c r="Q58" s="3163" t="s">
        <v>5210</v>
      </c>
    </row>
    <row r="59" spans="1:35" ht="58.5" customHeight="1">
      <c r="B59" s="2901" t="str">
        <f t="shared" si="1"/>
        <v>2000003500</v>
      </c>
      <c r="C59" s="102" t="s">
        <v>4417</v>
      </c>
      <c r="F59" s="102" t="s">
        <v>3416</v>
      </c>
      <c r="J59" s="2904" t="s">
        <v>19</v>
      </c>
      <c r="K59" s="109" t="s">
        <v>63</v>
      </c>
      <c r="L59" s="696" t="s">
        <v>5316</v>
      </c>
      <c r="M59" s="2216">
        <v>500</v>
      </c>
      <c r="N59" s="2886" t="s">
        <v>5309</v>
      </c>
      <c r="Q59" s="3163" t="s">
        <v>5210</v>
      </c>
    </row>
    <row r="60" spans="1:35" ht="58.5" customHeight="1">
      <c r="A60" s="3232"/>
      <c r="B60" s="2901" t="str">
        <f t="shared" si="1"/>
        <v>2000003472</v>
      </c>
      <c r="C60" s="102" t="s">
        <v>4417</v>
      </c>
      <c r="D60" s="3239"/>
      <c r="E60" s="2886"/>
      <c r="F60" s="102" t="s">
        <v>3416</v>
      </c>
      <c r="G60" s="2886"/>
      <c r="H60" s="2886"/>
      <c r="I60" s="3409" t="s">
        <v>5253</v>
      </c>
      <c r="J60" s="2904" t="s">
        <v>19</v>
      </c>
      <c r="K60" s="2886" t="s">
        <v>63</v>
      </c>
      <c r="L60" s="2903" t="s">
        <v>5317</v>
      </c>
      <c r="M60" s="2935">
        <f>10830-4400</f>
        <v>6430</v>
      </c>
      <c r="N60" s="2886" t="s">
        <v>5309</v>
      </c>
      <c r="O60" s="2906"/>
      <c r="P60" s="2902"/>
      <c r="Q60" s="3163" t="s">
        <v>5210</v>
      </c>
      <c r="R60" s="2167"/>
      <c r="S60" s="2167"/>
      <c r="T60" s="2167"/>
      <c r="U60" s="2167"/>
      <c r="V60" s="2167"/>
      <c r="W60" s="2167"/>
      <c r="X60" s="2167"/>
      <c r="Y60" s="2167"/>
      <c r="Z60" s="2167"/>
      <c r="AA60" s="2167"/>
      <c r="AB60" s="2167"/>
      <c r="AC60" s="2167"/>
      <c r="AD60" s="2167"/>
      <c r="AE60" s="2167"/>
      <c r="AF60" s="2167"/>
      <c r="AG60" s="2167"/>
      <c r="AH60" s="2167"/>
      <c r="AI60" s="2167"/>
    </row>
    <row r="61" spans="1:35" ht="58.5" customHeight="1">
      <c r="B61" s="2901" t="str">
        <f t="shared" si="1"/>
        <v>2000003455</v>
      </c>
      <c r="C61" s="102" t="s">
        <v>4417</v>
      </c>
      <c r="D61" s="1148"/>
      <c r="F61" s="102" t="s">
        <v>3416</v>
      </c>
      <c r="I61" s="3409" t="s">
        <v>5253</v>
      </c>
      <c r="J61" s="2904" t="s">
        <v>19</v>
      </c>
      <c r="K61" s="109" t="s">
        <v>4348</v>
      </c>
      <c r="L61" s="696" t="s">
        <v>5318</v>
      </c>
      <c r="M61" s="2644">
        <v>3000</v>
      </c>
      <c r="N61" s="2886" t="s">
        <v>5309</v>
      </c>
      <c r="P61" s="157"/>
      <c r="Q61" s="3163" t="s">
        <v>5210</v>
      </c>
    </row>
    <row r="62" spans="1:35" s="2167" customFormat="1" ht="58.5" customHeight="1">
      <c r="A62" s="3311"/>
      <c r="B62" s="2901" t="str">
        <f t="shared" si="1"/>
        <v>2000003504</v>
      </c>
      <c r="C62" s="1895" t="s">
        <v>5319</v>
      </c>
      <c r="D62" s="2731">
        <v>11940</v>
      </c>
      <c r="E62" s="2114" t="s">
        <v>5304</v>
      </c>
      <c r="F62" s="1895" t="s">
        <v>3401</v>
      </c>
      <c r="G62" s="2114"/>
      <c r="H62" s="2114"/>
      <c r="I62" s="2114" t="s">
        <v>5253</v>
      </c>
      <c r="J62" s="2906" t="s">
        <v>19</v>
      </c>
      <c r="K62" s="2114" t="s">
        <v>63</v>
      </c>
      <c r="L62" s="2618" t="s">
        <v>5320</v>
      </c>
      <c r="M62" s="2500">
        <v>3300</v>
      </c>
      <c r="N62" s="2114" t="s">
        <v>5321</v>
      </c>
      <c r="O62" s="1895"/>
      <c r="P62" s="2501"/>
      <c r="Q62" s="3608"/>
    </row>
    <row r="63" spans="1:35" ht="58.5" customHeight="1">
      <c r="B63" s="2901" t="str">
        <f t="shared" si="1"/>
        <v>2000003501</v>
      </c>
      <c r="C63" s="102" t="s">
        <v>5319</v>
      </c>
      <c r="F63" s="102" t="s">
        <v>3401</v>
      </c>
      <c r="J63" s="2904" t="s">
        <v>19</v>
      </c>
      <c r="K63" s="109" t="s">
        <v>63</v>
      </c>
      <c r="L63" s="143" t="s">
        <v>5322</v>
      </c>
      <c r="M63" s="2216">
        <v>8600</v>
      </c>
      <c r="N63" s="109" t="s">
        <v>5321</v>
      </c>
      <c r="Q63" s="3163" t="s">
        <v>5323</v>
      </c>
    </row>
    <row r="64" spans="1:35" ht="58.5" customHeight="1">
      <c r="B64" s="2901" t="str">
        <f t="shared" si="1"/>
        <v>2000003492</v>
      </c>
      <c r="D64" s="1777"/>
      <c r="E64" s="1777"/>
      <c r="I64" s="109" t="s">
        <v>5324</v>
      </c>
      <c r="J64" s="2904" t="s">
        <v>19</v>
      </c>
      <c r="K64" s="109" t="s">
        <v>5325</v>
      </c>
      <c r="L64" s="670" t="s">
        <v>5326</v>
      </c>
      <c r="M64" s="2644">
        <v>7120</v>
      </c>
      <c r="N64" s="2886" t="s">
        <v>5309</v>
      </c>
    </row>
    <row r="65" spans="1:29" ht="58.5" customHeight="1">
      <c r="B65" s="2901" t="str">
        <f t="shared" si="1"/>
        <v>548C2.T09.</v>
      </c>
      <c r="C65" s="1777"/>
      <c r="D65" s="1148"/>
      <c r="I65" s="1772" t="s">
        <v>5285</v>
      </c>
      <c r="J65" s="102" t="s">
        <v>19</v>
      </c>
      <c r="K65" s="109" t="s">
        <v>5325</v>
      </c>
      <c r="L65" s="696" t="s">
        <v>5327</v>
      </c>
      <c r="M65" s="2644">
        <v>2400</v>
      </c>
      <c r="N65" s="2886" t="s">
        <v>5314</v>
      </c>
    </row>
    <row r="66" spans="1:29" ht="58.5" customHeight="1">
      <c r="B66" s="2901" t="str">
        <f t="shared" si="1"/>
        <v>2000003513</v>
      </c>
      <c r="I66" s="109" t="s">
        <v>5328</v>
      </c>
      <c r="J66" s="2904" t="s">
        <v>19</v>
      </c>
      <c r="K66" s="109" t="s">
        <v>63</v>
      </c>
      <c r="L66" s="696" t="s">
        <v>5329</v>
      </c>
      <c r="M66" s="2216">
        <v>5800</v>
      </c>
      <c r="N66" s="109" t="s">
        <v>5330</v>
      </c>
    </row>
    <row r="67" spans="1:29" ht="58.5" customHeight="1">
      <c r="B67" s="2901" t="str">
        <f t="shared" si="1"/>
        <v>2000003480</v>
      </c>
      <c r="C67" s="1777"/>
      <c r="D67" s="1777"/>
      <c r="E67" s="1777"/>
      <c r="F67" s="1777"/>
      <c r="I67" s="109" t="s">
        <v>5290</v>
      </c>
      <c r="J67" s="2904" t="s">
        <v>19</v>
      </c>
      <c r="K67" s="109" t="s">
        <v>123</v>
      </c>
      <c r="L67" s="696" t="s">
        <v>5331</v>
      </c>
      <c r="M67" s="2644">
        <v>4860</v>
      </c>
      <c r="N67" s="109" t="s">
        <v>5332</v>
      </c>
    </row>
    <row r="68" spans="1:29" s="2167" customFormat="1" ht="58.5" customHeight="1">
      <c r="A68" s="3232"/>
      <c r="B68" s="2901" t="str">
        <f t="shared" ref="B68:B99" si="2">TEXT(LEFT(L68,10),"0000000000")</f>
        <v>2000003412</v>
      </c>
      <c r="C68" s="1895" t="s">
        <v>3699</v>
      </c>
      <c r="D68" s="3187">
        <v>4370</v>
      </c>
      <c r="E68" s="2114" t="s">
        <v>5333</v>
      </c>
      <c r="F68" s="1895" t="s">
        <v>61</v>
      </c>
      <c r="G68" s="2114"/>
      <c r="H68" s="2114"/>
      <c r="I68" s="2114" t="s">
        <v>5253</v>
      </c>
      <c r="J68" s="2906" t="s">
        <v>19</v>
      </c>
      <c r="K68" s="2114" t="s">
        <v>74</v>
      </c>
      <c r="L68" s="2173" t="s">
        <v>5334</v>
      </c>
      <c r="M68" s="2500">
        <v>4370</v>
      </c>
      <c r="N68" s="2887" t="s">
        <v>5257</v>
      </c>
      <c r="O68" s="1895"/>
      <c r="P68" s="2501"/>
      <c r="Q68" s="3608"/>
    </row>
    <row r="69" spans="1:29" s="2167" customFormat="1" ht="58.5" customHeight="1">
      <c r="A69" s="3232"/>
      <c r="B69" s="2901" t="str">
        <f t="shared" si="2"/>
        <v>2000003412</v>
      </c>
      <c r="C69" s="1895" t="s">
        <v>5335</v>
      </c>
      <c r="D69" s="2731">
        <v>4350</v>
      </c>
      <c r="E69" s="2114" t="s">
        <v>5261</v>
      </c>
      <c r="F69" s="1895" t="s">
        <v>84</v>
      </c>
      <c r="G69" s="2114"/>
      <c r="H69" s="2114"/>
      <c r="I69" s="2114" t="s">
        <v>5253</v>
      </c>
      <c r="J69" s="2906" t="s">
        <v>19</v>
      </c>
      <c r="K69" s="2114" t="s">
        <v>74</v>
      </c>
      <c r="L69" s="2173" t="s">
        <v>5336</v>
      </c>
      <c r="M69" s="2500">
        <v>4350</v>
      </c>
      <c r="N69" s="2887" t="s">
        <v>5257</v>
      </c>
      <c r="O69" s="1895"/>
      <c r="P69" s="2501"/>
      <c r="Q69" s="3608"/>
    </row>
    <row r="70" spans="1:29" s="282" customFormat="1" ht="58.5" customHeight="1">
      <c r="A70" s="3416"/>
      <c r="B70" s="2901" t="str">
        <f t="shared" si="2"/>
        <v>2000003495</v>
      </c>
      <c r="C70" s="1895" t="s">
        <v>82</v>
      </c>
      <c r="D70" s="3187">
        <v>4250</v>
      </c>
      <c r="E70" s="2114" t="s">
        <v>5298</v>
      </c>
      <c r="F70" s="1895" t="s">
        <v>84</v>
      </c>
      <c r="G70" s="2114"/>
      <c r="H70" s="2114"/>
      <c r="I70" s="2514" t="s">
        <v>5337</v>
      </c>
      <c r="J70" s="2906" t="s">
        <v>19</v>
      </c>
      <c r="K70" s="2114" t="s">
        <v>199</v>
      </c>
      <c r="L70" s="2618" t="s">
        <v>5338</v>
      </c>
      <c r="M70" s="3332">
        <v>4250</v>
      </c>
      <c r="N70" s="3252" t="s">
        <v>5257</v>
      </c>
      <c r="O70" s="2542"/>
      <c r="P70" s="2501"/>
      <c r="Q70" s="3394" t="s">
        <v>5339</v>
      </c>
      <c r="R70" s="3333"/>
      <c r="S70" s="307"/>
      <c r="T70" s="307"/>
      <c r="U70" s="3334"/>
      <c r="V70" s="3335"/>
      <c r="W70" s="307"/>
      <c r="X70" s="2671"/>
      <c r="Y70" s="2671"/>
      <c r="Z70" s="307"/>
      <c r="AA70" s="2671"/>
      <c r="AB70" s="3336"/>
      <c r="AC70" s="3337"/>
    </row>
    <row r="71" spans="1:29" s="282" customFormat="1" ht="58.5" customHeight="1">
      <c r="A71" s="3416"/>
      <c r="B71" s="2901" t="str">
        <f t="shared" si="2"/>
        <v>2000003495</v>
      </c>
      <c r="C71" s="1895" t="s">
        <v>3425</v>
      </c>
      <c r="D71" s="2731">
        <v>3700</v>
      </c>
      <c r="E71" s="2114" t="s">
        <v>5298</v>
      </c>
      <c r="F71" s="1895" t="s">
        <v>89</v>
      </c>
      <c r="G71" s="2114"/>
      <c r="H71" s="2114"/>
      <c r="I71" s="2514" t="s">
        <v>5337</v>
      </c>
      <c r="J71" s="2906" t="s">
        <v>19</v>
      </c>
      <c r="K71" s="2114" t="s">
        <v>199</v>
      </c>
      <c r="L71" s="2618" t="s">
        <v>5340</v>
      </c>
      <c r="M71" s="3332">
        <v>750</v>
      </c>
      <c r="N71" s="3252" t="s">
        <v>5257</v>
      </c>
      <c r="O71" s="2542"/>
      <c r="P71" s="2501"/>
      <c r="Q71" s="3394" t="s">
        <v>5339</v>
      </c>
      <c r="R71" s="3333"/>
      <c r="S71" s="307"/>
      <c r="T71" s="307"/>
      <c r="U71" s="3334"/>
      <c r="V71" s="3335"/>
      <c r="W71" s="307"/>
      <c r="X71" s="2671"/>
      <c r="Y71" s="2671"/>
      <c r="Z71" s="307"/>
      <c r="AA71" s="2671"/>
      <c r="AB71" s="3336"/>
      <c r="AC71" s="3337"/>
    </row>
    <row r="72" spans="1:29" ht="58.5" customHeight="1">
      <c r="B72" s="2901" t="str">
        <f t="shared" si="2"/>
        <v>2200002153</v>
      </c>
      <c r="C72" s="102" t="s">
        <v>3425</v>
      </c>
      <c r="F72" s="102" t="s">
        <v>89</v>
      </c>
      <c r="I72" s="3408" t="s">
        <v>5253</v>
      </c>
      <c r="J72" s="2904" t="s">
        <v>19</v>
      </c>
      <c r="K72" s="109" t="s">
        <v>101</v>
      </c>
      <c r="L72" s="696" t="s">
        <v>5341</v>
      </c>
      <c r="M72" s="2644">
        <v>2950</v>
      </c>
      <c r="N72" s="2114" t="s">
        <v>5342</v>
      </c>
    </row>
    <row r="73" spans="1:29" s="2167" customFormat="1" ht="58.5" customHeight="1">
      <c r="A73" s="3311"/>
      <c r="B73" s="2901" t="str">
        <f t="shared" si="2"/>
        <v>2000003473</v>
      </c>
      <c r="C73" s="1895" t="s">
        <v>2906</v>
      </c>
      <c r="D73" s="3187">
        <v>3500</v>
      </c>
      <c r="E73" s="2114" t="s">
        <v>5343</v>
      </c>
      <c r="F73" s="1895" t="s">
        <v>16</v>
      </c>
      <c r="G73" s="2114"/>
      <c r="H73" s="2114"/>
      <c r="I73" s="3609" t="s">
        <v>5253</v>
      </c>
      <c r="J73" s="2906" t="s">
        <v>19</v>
      </c>
      <c r="K73" s="2114" t="s">
        <v>74</v>
      </c>
      <c r="L73" s="3392" t="s">
        <v>5344</v>
      </c>
      <c r="M73" s="2798">
        <v>3500</v>
      </c>
      <c r="N73" s="1216" t="s">
        <v>5345</v>
      </c>
      <c r="O73" s="1895"/>
      <c r="P73" s="2501"/>
      <c r="Q73" s="3608"/>
    </row>
    <row r="74" spans="1:29" s="2167" customFormat="1" ht="58.5" customHeight="1">
      <c r="A74" s="3311"/>
      <c r="B74" s="2901" t="str">
        <f t="shared" si="2"/>
        <v>2000003502</v>
      </c>
      <c r="C74" s="1895" t="s">
        <v>3460</v>
      </c>
      <c r="D74" s="2731">
        <v>4000</v>
      </c>
      <c r="E74" s="2114" t="s">
        <v>5346</v>
      </c>
      <c r="F74" s="1895" t="s">
        <v>61</v>
      </c>
      <c r="G74" s="2114"/>
      <c r="H74" s="2114"/>
      <c r="I74" s="2114" t="s">
        <v>5253</v>
      </c>
      <c r="J74" s="2906" t="s">
        <v>19</v>
      </c>
      <c r="K74" s="2114" t="s">
        <v>74</v>
      </c>
      <c r="L74" s="2173" t="s">
        <v>5347</v>
      </c>
      <c r="M74" s="2500">
        <v>1200</v>
      </c>
      <c r="N74" s="1216" t="s">
        <v>5348</v>
      </c>
      <c r="O74" s="1895"/>
      <c r="P74" s="2501"/>
      <c r="Q74" s="3608"/>
    </row>
    <row r="75" spans="1:29" s="2167" customFormat="1" ht="58.5" customHeight="1">
      <c r="A75" s="3310"/>
      <c r="B75" s="2901" t="str">
        <f t="shared" si="2"/>
        <v>2000003505</v>
      </c>
      <c r="C75" s="102" t="s">
        <v>3460</v>
      </c>
      <c r="D75" s="2216"/>
      <c r="E75" s="109"/>
      <c r="F75" s="102" t="s">
        <v>61</v>
      </c>
      <c r="G75" s="1077"/>
      <c r="H75" s="109"/>
      <c r="I75" s="2114" t="s">
        <v>5253</v>
      </c>
      <c r="J75" s="2904" t="s">
        <v>19</v>
      </c>
      <c r="K75" s="109" t="s">
        <v>74</v>
      </c>
      <c r="L75" s="696" t="s">
        <v>5349</v>
      </c>
      <c r="M75" s="2644">
        <v>2821</v>
      </c>
      <c r="N75" s="2887" t="s">
        <v>5350</v>
      </c>
      <c r="O75" s="102"/>
      <c r="P75" s="157"/>
      <c r="Q75" s="3163" t="s">
        <v>5351</v>
      </c>
      <c r="R75" s="1853"/>
    </row>
    <row r="76" spans="1:29" s="2167" customFormat="1" ht="58.5" customHeight="1">
      <c r="A76" s="3311"/>
      <c r="B76" s="2901" t="str">
        <f t="shared" si="2"/>
        <v>2200002153</v>
      </c>
      <c r="C76" s="1895" t="s">
        <v>3856</v>
      </c>
      <c r="D76" s="3187">
        <v>3950</v>
      </c>
      <c r="E76" s="2114" t="s">
        <v>5289</v>
      </c>
      <c r="F76" s="1895" t="s">
        <v>54</v>
      </c>
      <c r="G76" s="2114"/>
      <c r="H76" s="2114"/>
      <c r="I76" s="3609" t="s">
        <v>5253</v>
      </c>
      <c r="J76" s="2906" t="s">
        <v>19</v>
      </c>
      <c r="K76" s="2114" t="s">
        <v>101</v>
      </c>
      <c r="L76" s="2173" t="s">
        <v>5352</v>
      </c>
      <c r="M76" s="2798">
        <v>2050</v>
      </c>
      <c r="N76" s="3222" t="s">
        <v>5342</v>
      </c>
      <c r="O76" s="1895"/>
      <c r="P76" s="2501"/>
      <c r="Q76" s="3608"/>
    </row>
    <row r="77" spans="1:29" s="2167" customFormat="1" ht="58.5" customHeight="1">
      <c r="A77" s="3311"/>
      <c r="B77" s="2901" t="str">
        <f t="shared" si="2"/>
        <v>2200002289</v>
      </c>
      <c r="C77" s="102" t="s">
        <v>3856</v>
      </c>
      <c r="D77" s="3187"/>
      <c r="E77" s="2114"/>
      <c r="F77" s="102" t="s">
        <v>54</v>
      </c>
      <c r="G77" s="2114"/>
      <c r="H77" s="2114"/>
      <c r="I77" s="3408" t="s">
        <v>5253</v>
      </c>
      <c r="J77" s="2904" t="s">
        <v>19</v>
      </c>
      <c r="K77" s="109" t="s">
        <v>101</v>
      </c>
      <c r="L77" s="696" t="s">
        <v>5353</v>
      </c>
      <c r="M77" s="2644">
        <v>1900</v>
      </c>
      <c r="N77" s="109" t="s">
        <v>5354</v>
      </c>
      <c r="O77" s="1895"/>
      <c r="P77" s="2501"/>
      <c r="Q77" s="3608"/>
    </row>
    <row r="78" spans="1:29" s="2167" customFormat="1" ht="58.5" customHeight="1">
      <c r="A78" s="3311"/>
      <c r="B78" s="2901" t="str">
        <f t="shared" si="2"/>
        <v>2000003503</v>
      </c>
      <c r="C78" s="1895" t="s">
        <v>5355</v>
      </c>
      <c r="D78" s="2731">
        <v>3920</v>
      </c>
      <c r="E78" s="2114" t="s">
        <v>5356</v>
      </c>
      <c r="F78" s="1895" t="s">
        <v>61</v>
      </c>
      <c r="G78" s="2114"/>
      <c r="H78" s="2114"/>
      <c r="I78" s="2114" t="s">
        <v>5253</v>
      </c>
      <c r="J78" s="2906" t="s">
        <v>19</v>
      </c>
      <c r="K78" s="2114" t="s">
        <v>74</v>
      </c>
      <c r="L78" s="2618" t="s">
        <v>5357</v>
      </c>
      <c r="M78" s="2500">
        <v>1320</v>
      </c>
      <c r="N78" s="2114" t="s">
        <v>5358</v>
      </c>
      <c r="O78" s="1895"/>
      <c r="P78" s="2501"/>
      <c r="Q78" s="3608"/>
    </row>
    <row r="79" spans="1:29" ht="58.5" customHeight="1">
      <c r="A79" s="3310"/>
      <c r="B79" s="2886" t="str">
        <f t="shared" si="2"/>
        <v>2000003412</v>
      </c>
      <c r="C79" s="102" t="s">
        <v>5355</v>
      </c>
      <c r="D79" s="2790"/>
      <c r="F79" s="102" t="s">
        <v>61</v>
      </c>
      <c r="I79" s="109" t="s">
        <v>5253</v>
      </c>
      <c r="J79" s="2904" t="s">
        <v>19</v>
      </c>
      <c r="K79" s="109" t="s">
        <v>74</v>
      </c>
      <c r="L79" s="696" t="s">
        <v>5359</v>
      </c>
      <c r="M79" s="2644">
        <v>770</v>
      </c>
      <c r="N79" s="2887" t="s">
        <v>5360</v>
      </c>
    </row>
    <row r="80" spans="1:29" ht="58.5" customHeight="1">
      <c r="A80" s="3310"/>
      <c r="B80" s="2886" t="str">
        <f t="shared" si="2"/>
        <v>2000003411</v>
      </c>
      <c r="C80" s="102" t="s">
        <v>5355</v>
      </c>
      <c r="D80" s="1777"/>
      <c r="E80" s="1777"/>
      <c r="F80" s="102" t="s">
        <v>61</v>
      </c>
      <c r="I80" s="109" t="s">
        <v>5253</v>
      </c>
      <c r="J80" s="2904" t="s">
        <v>19</v>
      </c>
      <c r="K80" s="109" t="s">
        <v>74</v>
      </c>
      <c r="L80" s="696" t="s">
        <v>5361</v>
      </c>
      <c r="M80" s="2644">
        <v>1830</v>
      </c>
      <c r="N80" s="2887" t="s">
        <v>5214</v>
      </c>
    </row>
    <row r="81" spans="1:35" ht="58.5" customHeight="1">
      <c r="B81" s="2901" t="str">
        <f t="shared" si="2"/>
        <v>2000003506</v>
      </c>
      <c r="C81" s="1895" t="s">
        <v>3391</v>
      </c>
      <c r="D81" s="2252">
        <v>3300</v>
      </c>
      <c r="E81" s="2114" t="s">
        <v>5289</v>
      </c>
      <c r="F81" s="1895" t="s">
        <v>89</v>
      </c>
      <c r="I81" s="109" t="s">
        <v>5253</v>
      </c>
      <c r="J81" s="2904" t="s">
        <v>19</v>
      </c>
      <c r="K81" s="109" t="s">
        <v>74</v>
      </c>
      <c r="L81" s="696" t="s">
        <v>5362</v>
      </c>
      <c r="M81" s="2644">
        <v>3280</v>
      </c>
      <c r="N81" s="2887" t="s">
        <v>5214</v>
      </c>
    </row>
    <row r="82" spans="1:35" s="2167" customFormat="1" ht="58.5" customHeight="1">
      <c r="A82" s="3232"/>
      <c r="B82" s="2901" t="str">
        <f t="shared" si="2"/>
        <v>2200002289</v>
      </c>
      <c r="C82" s="1895"/>
      <c r="D82" s="2252"/>
      <c r="E82" s="2114"/>
      <c r="F82" s="1895"/>
      <c r="G82" s="2114"/>
      <c r="H82" s="2114"/>
      <c r="I82" s="2114" t="s">
        <v>5253</v>
      </c>
      <c r="J82" s="2906" t="s">
        <v>19</v>
      </c>
      <c r="K82" s="2114" t="s">
        <v>101</v>
      </c>
      <c r="L82" s="696" t="s">
        <v>5353</v>
      </c>
      <c r="M82" s="2644">
        <v>3000</v>
      </c>
      <c r="N82" s="109" t="s">
        <v>5354</v>
      </c>
      <c r="O82" s="1895"/>
      <c r="P82" s="2501"/>
      <c r="Q82" s="3608"/>
    </row>
    <row r="83" spans="1:35" s="2740" customFormat="1" ht="58.5" customHeight="1">
      <c r="A83" s="2732"/>
      <c r="B83" s="3525" t="str">
        <f t="shared" si="2"/>
        <v>2000003485</v>
      </c>
      <c r="C83" s="2733" t="s">
        <v>2468</v>
      </c>
      <c r="D83" s="2734"/>
      <c r="E83" s="2735"/>
      <c r="F83" s="2733"/>
      <c r="G83" s="2735"/>
      <c r="H83" s="2735"/>
      <c r="I83" s="2735" t="s">
        <v>5253</v>
      </c>
      <c r="J83" s="3423" t="s">
        <v>19</v>
      </c>
      <c r="K83" s="2735" t="s">
        <v>234</v>
      </c>
      <c r="L83" s="3424" t="s">
        <v>5363</v>
      </c>
      <c r="M83" s="2737">
        <v>1660</v>
      </c>
      <c r="N83" s="3425" t="s">
        <v>5309</v>
      </c>
      <c r="O83" s="2733"/>
      <c r="P83" s="2738"/>
      <c r="Q83" s="3426" t="s">
        <v>5210</v>
      </c>
    </row>
    <row r="84" spans="1:35" s="2740" customFormat="1" ht="58.5" customHeight="1">
      <c r="A84" s="2732"/>
      <c r="B84" s="3525" t="str">
        <f t="shared" si="2"/>
        <v>2000003486</v>
      </c>
      <c r="C84" s="2733" t="s">
        <v>2468</v>
      </c>
      <c r="D84" s="2734"/>
      <c r="E84" s="2735"/>
      <c r="F84" s="2733"/>
      <c r="G84" s="2735"/>
      <c r="H84" s="2735"/>
      <c r="I84" s="2735" t="s">
        <v>5253</v>
      </c>
      <c r="J84" s="3423" t="s">
        <v>19</v>
      </c>
      <c r="K84" s="2735" t="s">
        <v>234</v>
      </c>
      <c r="L84" s="3424" t="s">
        <v>5364</v>
      </c>
      <c r="M84" s="2737">
        <v>1000</v>
      </c>
      <c r="N84" s="3425" t="s">
        <v>5309</v>
      </c>
      <c r="O84" s="2733"/>
      <c r="P84" s="2738"/>
      <c r="Q84" s="3426" t="s">
        <v>5210</v>
      </c>
    </row>
    <row r="85" spans="1:35" s="2740" customFormat="1" ht="58.5" customHeight="1">
      <c r="A85" s="2732"/>
      <c r="B85" s="3525" t="str">
        <f t="shared" si="2"/>
        <v>2000003487</v>
      </c>
      <c r="C85" s="2733" t="s">
        <v>2468</v>
      </c>
      <c r="D85" s="2734"/>
      <c r="E85" s="2735"/>
      <c r="F85" s="2733"/>
      <c r="G85" s="2735"/>
      <c r="H85" s="2735"/>
      <c r="I85" s="2735" t="s">
        <v>5253</v>
      </c>
      <c r="J85" s="3423" t="s">
        <v>19</v>
      </c>
      <c r="K85" s="2735" t="s">
        <v>234</v>
      </c>
      <c r="L85" s="3424" t="s">
        <v>5365</v>
      </c>
      <c r="M85" s="2737">
        <v>1250</v>
      </c>
      <c r="N85" s="3425" t="s">
        <v>5309</v>
      </c>
      <c r="O85" s="2733"/>
      <c r="P85" s="2738"/>
      <c r="Q85" s="3426" t="s">
        <v>5210</v>
      </c>
    </row>
    <row r="86" spans="1:35" s="2740" customFormat="1" ht="58.5" customHeight="1">
      <c r="A86" s="2732"/>
      <c r="B86" s="3525" t="str">
        <f t="shared" si="2"/>
        <v>2000003510</v>
      </c>
      <c r="C86" s="2733" t="s">
        <v>2468</v>
      </c>
      <c r="D86" s="2734"/>
      <c r="E86" s="2735"/>
      <c r="F86" s="2733"/>
      <c r="G86" s="2735"/>
      <c r="H86" s="2735"/>
      <c r="I86" s="2735"/>
      <c r="J86" s="3423" t="s">
        <v>19</v>
      </c>
      <c r="K86" s="2735" t="s">
        <v>234</v>
      </c>
      <c r="L86" s="3424" t="s">
        <v>5366</v>
      </c>
      <c r="M86" s="2737">
        <v>1000</v>
      </c>
      <c r="N86" s="3425" t="s">
        <v>5367</v>
      </c>
      <c r="O86" s="2733"/>
      <c r="P86" s="2738"/>
      <c r="Q86" s="3426" t="s">
        <v>5210</v>
      </c>
    </row>
    <row r="87" spans="1:35" s="2740" customFormat="1" ht="58.5" customHeight="1">
      <c r="A87" s="2732"/>
      <c r="B87" s="3525" t="str">
        <f t="shared" si="2"/>
        <v>2000003489</v>
      </c>
      <c r="C87" s="2733" t="s">
        <v>2468</v>
      </c>
      <c r="D87" s="2734"/>
      <c r="E87" s="2735"/>
      <c r="F87" s="2733"/>
      <c r="G87" s="2735"/>
      <c r="H87" s="2735"/>
      <c r="I87" s="2735"/>
      <c r="J87" s="3423" t="s">
        <v>19</v>
      </c>
      <c r="K87" s="2735" t="s">
        <v>1612</v>
      </c>
      <c r="L87" s="3424" t="s">
        <v>5368</v>
      </c>
      <c r="M87" s="2737">
        <v>200</v>
      </c>
      <c r="N87" s="3425" t="s">
        <v>5367</v>
      </c>
      <c r="O87" s="2733"/>
      <c r="P87" s="2738"/>
      <c r="Q87" s="3426" t="s">
        <v>5323</v>
      </c>
    </row>
    <row r="88" spans="1:35" s="2740" customFormat="1" ht="58.5" customHeight="1">
      <c r="A88" s="2732"/>
      <c r="B88" s="3525" t="str">
        <f t="shared" si="2"/>
        <v>2000003488</v>
      </c>
      <c r="C88" s="2733" t="s">
        <v>2468</v>
      </c>
      <c r="D88" s="2734"/>
      <c r="E88" s="2735"/>
      <c r="F88" s="2733"/>
      <c r="G88" s="2735"/>
      <c r="H88" s="2735"/>
      <c r="I88" s="2735"/>
      <c r="J88" s="3423" t="s">
        <v>19</v>
      </c>
      <c r="K88" s="2735" t="s">
        <v>1612</v>
      </c>
      <c r="L88" s="3424" t="s">
        <v>5369</v>
      </c>
      <c r="M88" s="2737">
        <v>500</v>
      </c>
      <c r="N88" s="3425" t="s">
        <v>5367</v>
      </c>
      <c r="O88" s="2733"/>
      <c r="P88" s="2738"/>
      <c r="Q88" s="3426" t="s">
        <v>5323</v>
      </c>
    </row>
    <row r="89" spans="1:35" s="3205" customFormat="1" ht="58.5" customHeight="1">
      <c r="A89" s="2732"/>
      <c r="B89" s="3525" t="str">
        <f t="shared" si="2"/>
        <v>2000003458</v>
      </c>
      <c r="C89" s="2733" t="s">
        <v>2468</v>
      </c>
      <c r="D89" s="2734">
        <v>675</v>
      </c>
      <c r="E89" s="2735"/>
      <c r="F89" s="2733"/>
      <c r="G89" s="2735"/>
      <c r="H89" s="2735"/>
      <c r="I89" s="2735"/>
      <c r="J89" s="3423" t="s">
        <v>19</v>
      </c>
      <c r="K89" s="2735" t="s">
        <v>234</v>
      </c>
      <c r="L89" s="3424" t="s">
        <v>5370</v>
      </c>
      <c r="M89" s="2737">
        <v>675</v>
      </c>
      <c r="N89" s="3611" t="s">
        <v>5214</v>
      </c>
      <c r="O89" s="2733"/>
      <c r="P89" s="2738"/>
      <c r="Q89" s="3426" t="s">
        <v>5268</v>
      </c>
      <c r="R89" s="2740"/>
      <c r="S89" s="2740"/>
      <c r="T89" s="2740"/>
      <c r="U89" s="2740"/>
      <c r="V89" s="2740"/>
      <c r="W89" s="2740"/>
      <c r="X89" s="2740"/>
      <c r="Y89" s="2740"/>
      <c r="Z89" s="2740"/>
      <c r="AA89" s="2740"/>
      <c r="AB89" s="2740"/>
      <c r="AC89" s="2740"/>
      <c r="AD89" s="2740"/>
      <c r="AE89" s="2740"/>
      <c r="AF89" s="2740"/>
      <c r="AG89" s="2740"/>
      <c r="AH89" s="2740"/>
      <c r="AI89" s="2740"/>
    </row>
    <row r="90" spans="1:35" s="3223" customFormat="1" ht="58.5" customHeight="1">
      <c r="A90" s="3606"/>
      <c r="B90" s="3525" t="str">
        <f t="shared" si="2"/>
        <v>2200002300</v>
      </c>
      <c r="C90" s="2733" t="s">
        <v>2468</v>
      </c>
      <c r="D90" s="2734"/>
      <c r="E90" s="2735"/>
      <c r="F90" s="2733"/>
      <c r="G90" s="2735"/>
      <c r="H90" s="2735"/>
      <c r="I90" s="2735" t="s">
        <v>5253</v>
      </c>
      <c r="J90" s="3423" t="s">
        <v>19</v>
      </c>
      <c r="K90" s="2735" t="s">
        <v>234</v>
      </c>
      <c r="L90" s="3424" t="s">
        <v>5371</v>
      </c>
      <c r="M90" s="2737">
        <v>181</v>
      </c>
      <c r="N90" s="3611" t="s">
        <v>5257</v>
      </c>
      <c r="O90" s="2733"/>
      <c r="P90" s="2738"/>
      <c r="Q90" s="3607"/>
      <c r="R90" s="2920"/>
      <c r="S90" s="2920"/>
      <c r="T90" s="2920"/>
      <c r="U90" s="2920"/>
      <c r="V90" s="2920"/>
      <c r="W90" s="2920"/>
      <c r="X90" s="2920"/>
      <c r="Y90" s="2920"/>
      <c r="Z90" s="2920"/>
      <c r="AA90" s="2920"/>
      <c r="AB90" s="2920"/>
      <c r="AC90" s="2920"/>
      <c r="AD90" s="2920"/>
      <c r="AE90" s="2920"/>
      <c r="AF90" s="2920"/>
      <c r="AG90" s="2920"/>
      <c r="AH90" s="2920"/>
      <c r="AI90" s="2920"/>
    </row>
    <row r="91" spans="1:35" s="3223" customFormat="1" ht="58.5" customHeight="1">
      <c r="A91" s="3606"/>
      <c r="B91" s="3525" t="str">
        <f t="shared" si="2"/>
        <v>2200002301</v>
      </c>
      <c r="C91" s="2733" t="s">
        <v>2468</v>
      </c>
      <c r="D91" s="2734"/>
      <c r="E91" s="2735"/>
      <c r="F91" s="2733"/>
      <c r="G91" s="2735"/>
      <c r="H91" s="2735"/>
      <c r="I91" s="2735" t="s">
        <v>5253</v>
      </c>
      <c r="J91" s="3423" t="s">
        <v>19</v>
      </c>
      <c r="K91" s="2735" t="s">
        <v>234</v>
      </c>
      <c r="L91" s="3424" t="s">
        <v>5372</v>
      </c>
      <c r="M91" s="2737">
        <v>500</v>
      </c>
      <c r="N91" s="3623" t="s">
        <v>5214</v>
      </c>
      <c r="O91" s="2733"/>
      <c r="P91" s="2738"/>
      <c r="Q91" s="3607"/>
      <c r="R91" s="2920"/>
      <c r="S91" s="2920"/>
      <c r="T91" s="2920"/>
      <c r="U91" s="2920"/>
      <c r="V91" s="2920"/>
      <c r="W91" s="2920"/>
      <c r="X91" s="2920"/>
      <c r="Y91" s="2920"/>
      <c r="Z91" s="2920"/>
      <c r="AA91" s="2920"/>
      <c r="AB91" s="2920"/>
      <c r="AC91" s="2920"/>
      <c r="AD91" s="2920"/>
      <c r="AE91" s="2920"/>
      <c r="AF91" s="2920"/>
      <c r="AG91" s="2920"/>
      <c r="AH91" s="2920"/>
      <c r="AI91" s="2920"/>
    </row>
    <row r="92" spans="1:35" s="2167" customFormat="1" ht="58.5" customHeight="1">
      <c r="A92" s="3311"/>
      <c r="B92" s="2901" t="str">
        <f t="shared" si="2"/>
        <v>2000003473</v>
      </c>
      <c r="C92" s="1895" t="s">
        <v>3469</v>
      </c>
      <c r="D92" s="2731">
        <v>4280</v>
      </c>
      <c r="E92" s="2114" t="s">
        <v>5373</v>
      </c>
      <c r="F92" s="1895" t="s">
        <v>89</v>
      </c>
      <c r="G92" s="2114"/>
      <c r="H92" s="2114"/>
      <c r="I92" s="3609" t="s">
        <v>5253</v>
      </c>
      <c r="J92" s="2906" t="s">
        <v>19</v>
      </c>
      <c r="K92" s="2114" t="s">
        <v>74</v>
      </c>
      <c r="L92" s="3392" t="s">
        <v>5374</v>
      </c>
      <c r="M92" s="2798">
        <v>2800</v>
      </c>
      <c r="N92" s="1216" t="s">
        <v>5375</v>
      </c>
      <c r="O92" s="1895"/>
      <c r="P92" s="2501"/>
      <c r="Q92" s="3608"/>
    </row>
    <row r="93" spans="1:35" ht="58.5" customHeight="1">
      <c r="B93" s="2901" t="str">
        <f t="shared" si="2"/>
        <v>2000003502</v>
      </c>
      <c r="C93" s="102" t="s">
        <v>3469</v>
      </c>
      <c r="F93" s="102" t="s">
        <v>89</v>
      </c>
      <c r="I93" s="109" t="s">
        <v>5253</v>
      </c>
      <c r="J93" s="2904" t="s">
        <v>19</v>
      </c>
      <c r="K93" s="109" t="s">
        <v>74</v>
      </c>
      <c r="L93" s="696" t="s">
        <v>5376</v>
      </c>
      <c r="M93" s="2216">
        <v>800</v>
      </c>
      <c r="N93" s="109" t="s">
        <v>5377</v>
      </c>
    </row>
    <row r="94" spans="1:35" s="2167" customFormat="1" ht="58.5" customHeight="1">
      <c r="A94" s="3311"/>
      <c r="B94" s="2901" t="str">
        <f t="shared" si="2"/>
        <v>2000003503</v>
      </c>
      <c r="C94" s="102" t="s">
        <v>3469</v>
      </c>
      <c r="D94" s="2731"/>
      <c r="E94" s="2114"/>
      <c r="F94" s="102" t="s">
        <v>89</v>
      </c>
      <c r="G94" s="2114"/>
      <c r="H94" s="2114"/>
      <c r="I94" s="109" t="s">
        <v>5253</v>
      </c>
      <c r="J94" s="2906" t="s">
        <v>19</v>
      </c>
      <c r="K94" s="109" t="s">
        <v>74</v>
      </c>
      <c r="L94" s="143" t="s">
        <v>5378</v>
      </c>
      <c r="M94" s="2216">
        <v>680</v>
      </c>
      <c r="N94" s="109" t="s">
        <v>5358</v>
      </c>
      <c r="O94" s="1895"/>
      <c r="P94" s="2501"/>
      <c r="Q94" s="3608"/>
    </row>
    <row r="95" spans="1:35" ht="58.5" customHeight="1">
      <c r="B95" s="2901" t="str">
        <f t="shared" si="2"/>
        <v>2000003473</v>
      </c>
      <c r="C95" s="1895"/>
      <c r="D95" s="2731"/>
      <c r="E95" s="2114"/>
      <c r="I95" s="3408" t="s">
        <v>5253</v>
      </c>
      <c r="J95" s="2904" t="s">
        <v>19</v>
      </c>
      <c r="K95" s="109" t="s">
        <v>74</v>
      </c>
      <c r="L95" s="670" t="s">
        <v>5379</v>
      </c>
      <c r="M95" s="2644">
        <v>3900</v>
      </c>
      <c r="N95" s="1216" t="s">
        <v>5375</v>
      </c>
    </row>
    <row r="96" spans="1:35" ht="58.5" customHeight="1">
      <c r="B96" s="2901" t="str">
        <f t="shared" si="2"/>
        <v>2000003474</v>
      </c>
      <c r="I96" s="3408" t="s">
        <v>5253</v>
      </c>
      <c r="J96" s="2904" t="s">
        <v>19</v>
      </c>
      <c r="K96" s="109" t="s">
        <v>74</v>
      </c>
      <c r="L96" s="670" t="s">
        <v>5380</v>
      </c>
      <c r="M96" s="2216">
        <v>9800</v>
      </c>
      <c r="N96" s="109" t="s">
        <v>5381</v>
      </c>
    </row>
    <row r="97" spans="1:35" ht="58.5" customHeight="1">
      <c r="B97" s="2901" t="str">
        <f t="shared" si="2"/>
        <v>2000003507</v>
      </c>
      <c r="I97" s="109" t="s">
        <v>5253</v>
      </c>
      <c r="J97" s="2904" t="s">
        <v>19</v>
      </c>
      <c r="K97" s="109" t="s">
        <v>5325</v>
      </c>
      <c r="L97" s="143" t="s">
        <v>5382</v>
      </c>
      <c r="M97" s="2216">
        <v>3200</v>
      </c>
      <c r="N97" s="109" t="s">
        <v>5383</v>
      </c>
    </row>
    <row r="98" spans="1:35" ht="58.5" customHeight="1">
      <c r="B98" s="2901" t="str">
        <f t="shared" si="2"/>
        <v>2000003508</v>
      </c>
      <c r="I98" s="109" t="s">
        <v>5384</v>
      </c>
      <c r="J98" s="2904" t="s">
        <v>19</v>
      </c>
      <c r="K98" s="109" t="s">
        <v>74</v>
      </c>
      <c r="L98" s="143" t="s">
        <v>5385</v>
      </c>
      <c r="M98" s="2216">
        <v>6020</v>
      </c>
      <c r="N98" s="109" t="s">
        <v>5386</v>
      </c>
    </row>
    <row r="99" spans="1:35" ht="58.5" customHeight="1">
      <c r="B99" s="2901" t="str">
        <f t="shared" si="2"/>
        <v>2000003268</v>
      </c>
      <c r="I99" s="3459" t="s">
        <v>5387</v>
      </c>
      <c r="J99" s="2904" t="s">
        <v>19</v>
      </c>
      <c r="K99" s="109" t="s">
        <v>74</v>
      </c>
      <c r="L99" s="696" t="s">
        <v>5388</v>
      </c>
      <c r="M99" s="2216">
        <v>4000</v>
      </c>
      <c r="N99" s="109" t="s">
        <v>5389</v>
      </c>
    </row>
    <row r="100" spans="1:35" ht="58.5" customHeight="1">
      <c r="B100" s="2901" t="str">
        <f t="shared" ref="B100:B112" si="3">TEXT(LEFT(L100,10),"0000000000")</f>
        <v>610.T10.20</v>
      </c>
      <c r="J100" s="102" t="s">
        <v>19</v>
      </c>
      <c r="K100" s="109" t="s">
        <v>4348</v>
      </c>
      <c r="L100" s="696" t="s">
        <v>5390</v>
      </c>
      <c r="M100" s="2216">
        <v>3000</v>
      </c>
      <c r="N100" s="102" t="s">
        <v>5391</v>
      </c>
    </row>
    <row r="101" spans="1:35" ht="58.5" customHeight="1">
      <c r="B101" s="2901" t="str">
        <f t="shared" si="3"/>
        <v>604.T10.20</v>
      </c>
      <c r="D101" s="1148"/>
      <c r="J101" s="102"/>
      <c r="L101" s="696" t="s">
        <v>5392</v>
      </c>
      <c r="M101" s="2644"/>
      <c r="N101" s="109" t="s">
        <v>5393</v>
      </c>
    </row>
    <row r="102" spans="1:35" ht="58.5" customHeight="1">
      <c r="B102" s="2901" t="str">
        <f t="shared" si="3"/>
        <v>2000003457</v>
      </c>
      <c r="C102" s="1216" t="s">
        <v>5394</v>
      </c>
      <c r="D102" s="1167">
        <v>8800</v>
      </c>
      <c r="E102" s="109" t="s">
        <v>5395</v>
      </c>
      <c r="F102" s="102" t="s">
        <v>3401</v>
      </c>
      <c r="H102" s="1216" t="s">
        <v>5396</v>
      </c>
      <c r="I102" s="109" t="s">
        <v>5271</v>
      </c>
      <c r="J102" s="2904" t="s">
        <v>19</v>
      </c>
      <c r="K102" s="109" t="s">
        <v>172</v>
      </c>
      <c r="L102" s="696" t="s">
        <v>5397</v>
      </c>
      <c r="M102" s="2249">
        <v>5000</v>
      </c>
      <c r="N102" s="109" t="s">
        <v>5398</v>
      </c>
      <c r="O102" s="2542"/>
      <c r="P102" s="1853"/>
      <c r="Q102" s="3163" t="s">
        <v>5323</v>
      </c>
    </row>
    <row r="103" spans="1:35" ht="58.5" customHeight="1">
      <c r="B103" s="2901" t="str">
        <f t="shared" si="3"/>
        <v>592B.T10.2</v>
      </c>
      <c r="C103" s="102" t="s">
        <v>3399</v>
      </c>
      <c r="F103" s="102" t="s">
        <v>3401</v>
      </c>
      <c r="I103" s="3460" t="s">
        <v>5399</v>
      </c>
      <c r="J103" s="2904" t="s">
        <v>19</v>
      </c>
      <c r="K103" s="109" t="s">
        <v>172</v>
      </c>
      <c r="L103" s="696" t="s">
        <v>5400</v>
      </c>
      <c r="M103" s="2216">
        <v>2500</v>
      </c>
      <c r="N103" s="109" t="s">
        <v>5401</v>
      </c>
    </row>
    <row r="104" spans="1:35" ht="58.5" customHeight="1">
      <c r="B104" s="2901" t="str">
        <f t="shared" si="3"/>
        <v>592D.T10.2</v>
      </c>
      <c r="C104" s="102" t="s">
        <v>3399</v>
      </c>
      <c r="F104" s="102" t="s">
        <v>3401</v>
      </c>
      <c r="I104" s="109" t="s">
        <v>5402</v>
      </c>
      <c r="J104" s="2904" t="s">
        <v>19</v>
      </c>
      <c r="K104" s="109" t="s">
        <v>172</v>
      </c>
      <c r="L104" s="143" t="s">
        <v>5403</v>
      </c>
      <c r="M104" s="2216">
        <v>750</v>
      </c>
      <c r="N104" s="109" t="s">
        <v>5389</v>
      </c>
    </row>
    <row r="105" spans="1:35" ht="58.5" customHeight="1">
      <c r="B105" s="2901" t="str">
        <f t="shared" si="3"/>
        <v>spot</v>
      </c>
      <c r="C105" s="102" t="s">
        <v>3399</v>
      </c>
      <c r="F105" s="102" t="s">
        <v>3401</v>
      </c>
      <c r="I105" s="109" t="s">
        <v>5402</v>
      </c>
      <c r="J105" s="2904" t="s">
        <v>19</v>
      </c>
      <c r="K105" s="109" t="s">
        <v>172</v>
      </c>
      <c r="L105" s="143" t="s">
        <v>5404</v>
      </c>
      <c r="M105" s="2216">
        <v>550</v>
      </c>
      <c r="N105" s="102" t="s">
        <v>5405</v>
      </c>
    </row>
    <row r="106" spans="1:35" ht="58.5" customHeight="1">
      <c r="B106" s="2901" t="str">
        <f t="shared" si="3"/>
        <v>2200002291</v>
      </c>
      <c r="C106" s="608"/>
      <c r="I106" s="109" t="s">
        <v>5275</v>
      </c>
      <c r="J106" s="2904" t="s">
        <v>19</v>
      </c>
      <c r="K106" s="109" t="s">
        <v>172</v>
      </c>
      <c r="L106" s="696" t="s">
        <v>5406</v>
      </c>
      <c r="M106" s="2216">
        <v>3600</v>
      </c>
      <c r="N106" s="109" t="s">
        <v>5407</v>
      </c>
    </row>
    <row r="107" spans="1:35" ht="58.5" customHeight="1">
      <c r="B107" s="2901" t="str">
        <f t="shared" si="3"/>
        <v>2200002292</v>
      </c>
      <c r="C107" s="1777"/>
      <c r="D107" s="1148"/>
      <c r="J107" s="2904" t="s">
        <v>19</v>
      </c>
      <c r="K107" s="109" t="s">
        <v>172</v>
      </c>
      <c r="L107" s="696" t="s">
        <v>5283</v>
      </c>
      <c r="M107" s="2644">
        <v>6500</v>
      </c>
      <c r="N107" s="109" t="s">
        <v>5408</v>
      </c>
    </row>
    <row r="108" spans="1:35" ht="58.5" customHeight="1">
      <c r="B108" s="2901" t="str">
        <f t="shared" si="3"/>
        <v>2000003512</v>
      </c>
      <c r="I108" s="109" t="s">
        <v>5409</v>
      </c>
      <c r="J108" s="2904" t="s">
        <v>19</v>
      </c>
      <c r="K108" s="109" t="s">
        <v>172</v>
      </c>
      <c r="L108" s="696" t="s">
        <v>5410</v>
      </c>
      <c r="M108" s="2216">
        <v>7000</v>
      </c>
      <c r="N108" s="109" t="s">
        <v>5411</v>
      </c>
    </row>
    <row r="109" spans="1:35" ht="58.5" customHeight="1">
      <c r="B109" s="2901" t="str">
        <f t="shared" si="3"/>
        <v>2000003483</v>
      </c>
      <c r="I109" s="109" t="s">
        <v>5271</v>
      </c>
      <c r="J109" s="2904" t="s">
        <v>19</v>
      </c>
      <c r="K109" s="109" t="s">
        <v>172</v>
      </c>
      <c r="L109" s="143" t="s">
        <v>5412</v>
      </c>
      <c r="M109" s="2216">
        <v>10000</v>
      </c>
      <c r="N109" s="109" t="s">
        <v>5413</v>
      </c>
    </row>
    <row r="110" spans="1:35" ht="58.5" customHeight="1">
      <c r="A110" s="3526"/>
      <c r="B110" s="2901" t="str">
        <f t="shared" si="3"/>
        <v>2200002236</v>
      </c>
      <c r="C110" s="2904"/>
      <c r="D110" s="2827"/>
      <c r="E110" s="1216"/>
      <c r="F110" s="2904"/>
      <c r="G110" s="1216"/>
      <c r="H110" s="1216"/>
      <c r="I110" s="2886" t="s">
        <v>5253</v>
      </c>
      <c r="J110" s="2904" t="s">
        <v>19</v>
      </c>
      <c r="K110" s="2114" t="s">
        <v>123</v>
      </c>
      <c r="L110" s="696" t="s">
        <v>5414</v>
      </c>
      <c r="M110" s="2644">
        <v>1727</v>
      </c>
      <c r="N110" s="2114" t="s">
        <v>5415</v>
      </c>
      <c r="O110" s="2542"/>
      <c r="P110" s="3527"/>
      <c r="R110" s="2167"/>
      <c r="S110" s="2167"/>
      <c r="T110" s="2167"/>
      <c r="U110" s="2167"/>
      <c r="V110" s="2167"/>
      <c r="W110" s="2167"/>
      <c r="X110" s="2167"/>
      <c r="Y110" s="2167"/>
      <c r="Z110" s="2167"/>
      <c r="AA110" s="2167"/>
      <c r="AB110" s="2167"/>
      <c r="AC110" s="2167"/>
      <c r="AD110" s="2167"/>
      <c r="AE110" s="2167"/>
      <c r="AF110" s="2167"/>
      <c r="AG110" s="2167"/>
      <c r="AH110" s="2167"/>
      <c r="AI110" s="2167"/>
    </row>
    <row r="111" spans="1:35" ht="58.5" customHeight="1">
      <c r="B111" s="2901" t="str">
        <f t="shared" si="3"/>
        <v>592B.T10.2</v>
      </c>
      <c r="J111" s="2904" t="s">
        <v>19</v>
      </c>
      <c r="K111" s="109" t="s">
        <v>172</v>
      </c>
      <c r="L111" s="143" t="s">
        <v>5416</v>
      </c>
      <c r="M111" s="2216">
        <v>2500</v>
      </c>
      <c r="N111" s="109" t="s">
        <v>5417</v>
      </c>
    </row>
    <row r="112" spans="1:35" ht="58.5" customHeight="1">
      <c r="B112" s="2901" t="str">
        <f t="shared" si="3"/>
        <v>2000003519</v>
      </c>
      <c r="I112" s="3612" t="s">
        <v>5418</v>
      </c>
      <c r="J112" s="2904" t="s">
        <v>19</v>
      </c>
      <c r="K112" s="109" t="s">
        <v>172</v>
      </c>
      <c r="L112" s="143" t="s">
        <v>5419</v>
      </c>
      <c r="M112" s="2216">
        <v>1000</v>
      </c>
      <c r="N112" s="109" t="s">
        <v>5420</v>
      </c>
    </row>
    <row r="113" spans="2:2" ht="58.5" customHeight="1">
      <c r="B113" s="2901" t="str">
        <f t="shared" ref="B113:B176" si="4">TEXT(LEFT(L113,10),"0000000000")</f>
        <v/>
      </c>
    </row>
    <row r="114" spans="2:2" ht="58.5" customHeight="1">
      <c r="B114" s="2901" t="str">
        <f t="shared" si="4"/>
        <v/>
      </c>
    </row>
    <row r="115" spans="2:2" ht="58.5" customHeight="1">
      <c r="B115" s="2901" t="str">
        <f t="shared" si="4"/>
        <v/>
      </c>
    </row>
    <row r="116" spans="2:2" ht="58.5" customHeight="1">
      <c r="B116" s="2901" t="str">
        <f t="shared" si="4"/>
        <v/>
      </c>
    </row>
    <row r="117" spans="2:2" ht="58.5" customHeight="1">
      <c r="B117" s="2901" t="str">
        <f t="shared" si="4"/>
        <v/>
      </c>
    </row>
    <row r="118" spans="2:2" ht="58.5" customHeight="1">
      <c r="B118" s="2901" t="str">
        <f t="shared" si="4"/>
        <v/>
      </c>
    </row>
    <row r="119" spans="2:2" ht="58.5" customHeight="1">
      <c r="B119" s="2901" t="str">
        <f t="shared" si="4"/>
        <v/>
      </c>
    </row>
    <row r="120" spans="2:2" ht="58.5" customHeight="1">
      <c r="B120" s="2901" t="str">
        <f t="shared" si="4"/>
        <v/>
      </c>
    </row>
    <row r="121" spans="2:2" ht="58.5" customHeight="1">
      <c r="B121" s="2901" t="str">
        <f t="shared" si="4"/>
        <v/>
      </c>
    </row>
    <row r="122" spans="2:2" ht="58.5" customHeight="1">
      <c r="B122" s="2901" t="str">
        <f t="shared" si="4"/>
        <v/>
      </c>
    </row>
    <row r="123" spans="2:2" ht="58.5" customHeight="1">
      <c r="B123" s="2901" t="str">
        <f t="shared" si="4"/>
        <v/>
      </c>
    </row>
    <row r="124" spans="2:2" ht="58.5" customHeight="1">
      <c r="B124" s="2901" t="str">
        <f t="shared" si="4"/>
        <v/>
      </c>
    </row>
    <row r="125" spans="2:2" ht="58.5" customHeight="1">
      <c r="B125" s="2901" t="str">
        <f t="shared" si="4"/>
        <v/>
      </c>
    </row>
    <row r="126" spans="2:2" ht="58.5" customHeight="1">
      <c r="B126" s="2901" t="str">
        <f t="shared" si="4"/>
        <v/>
      </c>
    </row>
    <row r="127" spans="2:2" ht="58.5" customHeight="1">
      <c r="B127" s="2901" t="str">
        <f t="shared" si="4"/>
        <v/>
      </c>
    </row>
    <row r="128" spans="2:2" ht="58.5" customHeight="1">
      <c r="B128" s="2901" t="str">
        <f t="shared" si="4"/>
        <v/>
      </c>
    </row>
    <row r="129" spans="2:2" ht="58.5" customHeight="1">
      <c r="B129" s="2901" t="str">
        <f t="shared" si="4"/>
        <v/>
      </c>
    </row>
    <row r="130" spans="2:2" ht="58.5" customHeight="1">
      <c r="B130" s="2901" t="str">
        <f t="shared" si="4"/>
        <v/>
      </c>
    </row>
    <row r="131" spans="2:2" ht="58.5" customHeight="1">
      <c r="B131" s="2901" t="str">
        <f t="shared" si="4"/>
        <v/>
      </c>
    </row>
    <row r="132" spans="2:2" ht="58.5" customHeight="1">
      <c r="B132" s="2901" t="str">
        <f t="shared" si="4"/>
        <v/>
      </c>
    </row>
    <row r="133" spans="2:2" ht="58.5" customHeight="1">
      <c r="B133" s="2901" t="str">
        <f t="shared" si="4"/>
        <v/>
      </c>
    </row>
    <row r="134" spans="2:2" ht="58.5" customHeight="1">
      <c r="B134" s="2901" t="str">
        <f t="shared" si="4"/>
        <v/>
      </c>
    </row>
    <row r="135" spans="2:2" ht="58.5" customHeight="1">
      <c r="B135" s="2901" t="str">
        <f t="shared" si="4"/>
        <v/>
      </c>
    </row>
    <row r="136" spans="2:2" ht="58.5" customHeight="1">
      <c r="B136" s="2901" t="str">
        <f t="shared" si="4"/>
        <v/>
      </c>
    </row>
    <row r="137" spans="2:2" ht="58.5" customHeight="1">
      <c r="B137" s="2901" t="str">
        <f t="shared" si="4"/>
        <v/>
      </c>
    </row>
    <row r="138" spans="2:2" ht="58.5" customHeight="1">
      <c r="B138" s="2901" t="str">
        <f t="shared" si="4"/>
        <v/>
      </c>
    </row>
    <row r="139" spans="2:2" ht="58.5" customHeight="1">
      <c r="B139" s="2901" t="str">
        <f t="shared" si="4"/>
        <v/>
      </c>
    </row>
    <row r="140" spans="2:2" ht="58.5" customHeight="1">
      <c r="B140" s="2901" t="str">
        <f t="shared" si="4"/>
        <v/>
      </c>
    </row>
    <row r="141" spans="2:2" ht="58.5" customHeight="1">
      <c r="B141" s="2901" t="str">
        <f t="shared" si="4"/>
        <v/>
      </c>
    </row>
    <row r="142" spans="2:2" ht="58.5" customHeight="1">
      <c r="B142" s="2901" t="str">
        <f t="shared" si="4"/>
        <v/>
      </c>
    </row>
    <row r="143" spans="2:2" ht="58.5" customHeight="1">
      <c r="B143" s="2901" t="str">
        <f t="shared" si="4"/>
        <v/>
      </c>
    </row>
    <row r="144" spans="2:2" ht="58.5" customHeight="1">
      <c r="B144" s="2901" t="str">
        <f t="shared" si="4"/>
        <v/>
      </c>
    </row>
    <row r="145" spans="2:2" ht="58.5" customHeight="1">
      <c r="B145" s="2901" t="str">
        <f t="shared" si="4"/>
        <v/>
      </c>
    </row>
    <row r="146" spans="2:2" ht="58.5" customHeight="1">
      <c r="B146" s="2901" t="str">
        <f t="shared" si="4"/>
        <v/>
      </c>
    </row>
    <row r="147" spans="2:2" ht="58.5" customHeight="1">
      <c r="B147" s="2901" t="str">
        <f t="shared" si="4"/>
        <v/>
      </c>
    </row>
    <row r="148" spans="2:2" ht="58.5" customHeight="1">
      <c r="B148" s="2901" t="str">
        <f t="shared" si="4"/>
        <v/>
      </c>
    </row>
    <row r="149" spans="2:2" ht="58.5" customHeight="1">
      <c r="B149" s="2901" t="str">
        <f t="shared" si="4"/>
        <v/>
      </c>
    </row>
    <row r="150" spans="2:2" ht="58.5" customHeight="1">
      <c r="B150" s="2901" t="str">
        <f t="shared" si="4"/>
        <v/>
      </c>
    </row>
    <row r="151" spans="2:2" ht="58.5" customHeight="1">
      <c r="B151" s="2901" t="str">
        <f t="shared" si="4"/>
        <v/>
      </c>
    </row>
    <row r="152" spans="2:2" ht="58.5" customHeight="1">
      <c r="B152" s="2901" t="str">
        <f t="shared" si="4"/>
        <v/>
      </c>
    </row>
    <row r="153" spans="2:2" ht="58.5" customHeight="1">
      <c r="B153" s="2901" t="str">
        <f t="shared" si="4"/>
        <v/>
      </c>
    </row>
    <row r="154" spans="2:2" ht="58.5" customHeight="1">
      <c r="B154" s="2901" t="str">
        <f t="shared" si="4"/>
        <v/>
      </c>
    </row>
    <row r="155" spans="2:2" ht="58.5" customHeight="1">
      <c r="B155" s="2901" t="str">
        <f t="shared" si="4"/>
        <v/>
      </c>
    </row>
    <row r="156" spans="2:2" ht="58.5" customHeight="1">
      <c r="B156" s="2901" t="str">
        <f t="shared" si="4"/>
        <v/>
      </c>
    </row>
    <row r="157" spans="2:2" ht="58.5" customHeight="1">
      <c r="B157" s="2901" t="str">
        <f t="shared" si="4"/>
        <v/>
      </c>
    </row>
    <row r="158" spans="2:2" ht="58.5" customHeight="1">
      <c r="B158" s="2901" t="str">
        <f t="shared" si="4"/>
        <v/>
      </c>
    </row>
    <row r="159" spans="2:2" ht="58.5" customHeight="1">
      <c r="B159" s="2901" t="str">
        <f t="shared" si="4"/>
        <v/>
      </c>
    </row>
    <row r="160" spans="2:2" ht="58.5" customHeight="1">
      <c r="B160" s="2901" t="str">
        <f t="shared" si="4"/>
        <v/>
      </c>
    </row>
    <row r="161" spans="2:2" ht="58.5" customHeight="1">
      <c r="B161" s="2901" t="str">
        <f t="shared" si="4"/>
        <v/>
      </c>
    </row>
    <row r="162" spans="2:2" ht="58.5" customHeight="1">
      <c r="B162" s="2901" t="str">
        <f t="shared" si="4"/>
        <v/>
      </c>
    </row>
    <row r="163" spans="2:2" ht="58.5" customHeight="1">
      <c r="B163" s="2901" t="str">
        <f t="shared" si="4"/>
        <v/>
      </c>
    </row>
    <row r="164" spans="2:2" ht="58.5" customHeight="1">
      <c r="B164" s="2901" t="str">
        <f t="shared" si="4"/>
        <v/>
      </c>
    </row>
    <row r="165" spans="2:2" ht="58.5" customHeight="1">
      <c r="B165" s="2901" t="str">
        <f t="shared" si="4"/>
        <v/>
      </c>
    </row>
    <row r="166" spans="2:2" ht="58.5" customHeight="1">
      <c r="B166" s="2901" t="str">
        <f t="shared" si="4"/>
        <v/>
      </c>
    </row>
    <row r="167" spans="2:2" ht="58.5" customHeight="1">
      <c r="B167" s="2901" t="str">
        <f t="shared" si="4"/>
        <v/>
      </c>
    </row>
    <row r="168" spans="2:2" ht="58.5" customHeight="1">
      <c r="B168" s="2901" t="str">
        <f t="shared" si="4"/>
        <v/>
      </c>
    </row>
    <row r="169" spans="2:2" ht="58.5" customHeight="1">
      <c r="B169" s="2901" t="str">
        <f t="shared" si="4"/>
        <v/>
      </c>
    </row>
    <row r="170" spans="2:2" ht="58.5" customHeight="1">
      <c r="B170" s="2901" t="str">
        <f t="shared" si="4"/>
        <v/>
      </c>
    </row>
    <row r="171" spans="2:2" ht="58.5" customHeight="1">
      <c r="B171" s="2901" t="str">
        <f t="shared" si="4"/>
        <v/>
      </c>
    </row>
    <row r="172" spans="2:2" ht="58.5" customHeight="1">
      <c r="B172" s="2901" t="str">
        <f t="shared" si="4"/>
        <v/>
      </c>
    </row>
    <row r="173" spans="2:2" ht="58.5" customHeight="1">
      <c r="B173" s="2901" t="str">
        <f t="shared" si="4"/>
        <v/>
      </c>
    </row>
    <row r="174" spans="2:2" ht="58.5" customHeight="1">
      <c r="B174" s="2901" t="str">
        <f t="shared" si="4"/>
        <v/>
      </c>
    </row>
    <row r="175" spans="2:2" ht="58.5" customHeight="1">
      <c r="B175" s="2901" t="str">
        <f t="shared" si="4"/>
        <v/>
      </c>
    </row>
    <row r="176" spans="2:2" ht="58.5" customHeight="1">
      <c r="B176" s="2901" t="str">
        <f t="shared" si="4"/>
        <v/>
      </c>
    </row>
    <row r="177" spans="2:2" ht="58.5" customHeight="1">
      <c r="B177" s="2901" t="str">
        <f t="shared" ref="B177:B240" si="5">TEXT(LEFT(L177,10),"0000000000")</f>
        <v/>
      </c>
    </row>
    <row r="178" spans="2:2" ht="58.5" customHeight="1">
      <c r="B178" s="2901" t="str">
        <f t="shared" si="5"/>
        <v/>
      </c>
    </row>
    <row r="179" spans="2:2" ht="58.5" customHeight="1">
      <c r="B179" s="2901" t="str">
        <f t="shared" si="5"/>
        <v/>
      </c>
    </row>
    <row r="180" spans="2:2" ht="58.5" customHeight="1">
      <c r="B180" s="2901" t="str">
        <f t="shared" si="5"/>
        <v/>
      </c>
    </row>
    <row r="181" spans="2:2" ht="58.5" customHeight="1">
      <c r="B181" s="2901" t="str">
        <f t="shared" si="5"/>
        <v/>
      </c>
    </row>
    <row r="182" spans="2:2" ht="58.5" customHeight="1">
      <c r="B182" s="2901" t="str">
        <f t="shared" si="5"/>
        <v/>
      </c>
    </row>
    <row r="183" spans="2:2" ht="58.5" customHeight="1">
      <c r="B183" s="2901" t="str">
        <f t="shared" si="5"/>
        <v/>
      </c>
    </row>
    <row r="184" spans="2:2" ht="58.5" customHeight="1">
      <c r="B184" s="2901" t="str">
        <f t="shared" si="5"/>
        <v/>
      </c>
    </row>
    <row r="185" spans="2:2" ht="58.5" customHeight="1">
      <c r="B185" s="2901" t="str">
        <f t="shared" si="5"/>
        <v/>
      </c>
    </row>
    <row r="186" spans="2:2" ht="58.5" customHeight="1">
      <c r="B186" s="2901" t="str">
        <f t="shared" si="5"/>
        <v/>
      </c>
    </row>
    <row r="187" spans="2:2" ht="58.5" customHeight="1">
      <c r="B187" s="2901" t="str">
        <f t="shared" si="5"/>
        <v/>
      </c>
    </row>
    <row r="188" spans="2:2" ht="58.5" customHeight="1">
      <c r="B188" s="2901" t="str">
        <f t="shared" si="5"/>
        <v/>
      </c>
    </row>
    <row r="189" spans="2:2" ht="58.5" customHeight="1">
      <c r="B189" s="2901" t="str">
        <f t="shared" si="5"/>
        <v/>
      </c>
    </row>
    <row r="190" spans="2:2" ht="58.5" customHeight="1">
      <c r="B190" s="2901" t="str">
        <f t="shared" si="5"/>
        <v/>
      </c>
    </row>
    <row r="191" spans="2:2" ht="58.5" customHeight="1">
      <c r="B191" s="2901" t="str">
        <f t="shared" si="5"/>
        <v/>
      </c>
    </row>
    <row r="192" spans="2:2" ht="58.5" customHeight="1">
      <c r="B192" s="2901" t="str">
        <f t="shared" si="5"/>
        <v/>
      </c>
    </row>
    <row r="193" spans="2:2" ht="58.5" customHeight="1">
      <c r="B193" s="2901" t="str">
        <f t="shared" si="5"/>
        <v/>
      </c>
    </row>
    <row r="194" spans="2:2" ht="58.5" customHeight="1">
      <c r="B194" s="2901" t="str">
        <f t="shared" si="5"/>
        <v/>
      </c>
    </row>
    <row r="195" spans="2:2" ht="58.5" customHeight="1">
      <c r="B195" s="2901" t="str">
        <f t="shared" si="5"/>
        <v/>
      </c>
    </row>
    <row r="196" spans="2:2" ht="58.5" customHeight="1">
      <c r="B196" s="2901" t="str">
        <f t="shared" si="5"/>
        <v/>
      </c>
    </row>
    <row r="197" spans="2:2" ht="58.5" customHeight="1">
      <c r="B197" s="2901" t="str">
        <f t="shared" si="5"/>
        <v/>
      </c>
    </row>
    <row r="198" spans="2:2" ht="58.5" customHeight="1">
      <c r="B198" s="2901" t="str">
        <f t="shared" si="5"/>
        <v/>
      </c>
    </row>
    <row r="199" spans="2:2" ht="58.5" customHeight="1">
      <c r="B199" s="2901" t="str">
        <f t="shared" si="5"/>
        <v/>
      </c>
    </row>
    <row r="200" spans="2:2" ht="58.5" customHeight="1">
      <c r="B200" s="2901" t="str">
        <f t="shared" si="5"/>
        <v/>
      </c>
    </row>
    <row r="201" spans="2:2" ht="58.5" customHeight="1">
      <c r="B201" s="2901" t="str">
        <f t="shared" si="5"/>
        <v/>
      </c>
    </row>
    <row r="202" spans="2:2" ht="58.5" customHeight="1">
      <c r="B202" s="2901" t="str">
        <f t="shared" si="5"/>
        <v/>
      </c>
    </row>
    <row r="203" spans="2:2" ht="58.5" customHeight="1">
      <c r="B203" s="2901" t="str">
        <f t="shared" si="5"/>
        <v/>
      </c>
    </row>
    <row r="204" spans="2:2" ht="58.5" customHeight="1">
      <c r="B204" s="2901" t="str">
        <f t="shared" si="5"/>
        <v/>
      </c>
    </row>
    <row r="205" spans="2:2" ht="58.5" customHeight="1">
      <c r="B205" s="2901" t="str">
        <f t="shared" si="5"/>
        <v/>
      </c>
    </row>
    <row r="206" spans="2:2" ht="58.5" customHeight="1">
      <c r="B206" s="2901" t="str">
        <f t="shared" si="5"/>
        <v/>
      </c>
    </row>
    <row r="207" spans="2:2" ht="58.5" customHeight="1">
      <c r="B207" s="2901" t="str">
        <f t="shared" si="5"/>
        <v/>
      </c>
    </row>
    <row r="208" spans="2:2" ht="58.5" customHeight="1">
      <c r="B208" s="2901" t="str">
        <f t="shared" si="5"/>
        <v/>
      </c>
    </row>
    <row r="209" spans="2:2" ht="58.5" customHeight="1">
      <c r="B209" s="2901" t="str">
        <f t="shared" si="5"/>
        <v/>
      </c>
    </row>
    <row r="210" spans="2:2" ht="58.5" customHeight="1">
      <c r="B210" s="2901" t="str">
        <f t="shared" si="5"/>
        <v/>
      </c>
    </row>
    <row r="211" spans="2:2" ht="58.5" customHeight="1">
      <c r="B211" s="2901" t="str">
        <f t="shared" si="5"/>
        <v/>
      </c>
    </row>
    <row r="212" spans="2:2" ht="58.5" customHeight="1">
      <c r="B212" s="2901" t="str">
        <f t="shared" si="5"/>
        <v/>
      </c>
    </row>
    <row r="213" spans="2:2" ht="58.5" customHeight="1">
      <c r="B213" s="2901" t="str">
        <f t="shared" si="5"/>
        <v/>
      </c>
    </row>
    <row r="214" spans="2:2" ht="58.5" customHeight="1">
      <c r="B214" s="2901" t="str">
        <f t="shared" si="5"/>
        <v/>
      </c>
    </row>
    <row r="215" spans="2:2" ht="58.5" customHeight="1">
      <c r="B215" s="2901" t="str">
        <f t="shared" si="5"/>
        <v/>
      </c>
    </row>
    <row r="216" spans="2:2" ht="58.5" customHeight="1">
      <c r="B216" s="2901" t="str">
        <f t="shared" si="5"/>
        <v/>
      </c>
    </row>
    <row r="217" spans="2:2" ht="58.5" customHeight="1">
      <c r="B217" s="2901" t="str">
        <f t="shared" si="5"/>
        <v/>
      </c>
    </row>
    <row r="218" spans="2:2" ht="58.5" customHeight="1">
      <c r="B218" s="2901" t="str">
        <f t="shared" si="5"/>
        <v/>
      </c>
    </row>
    <row r="219" spans="2:2" ht="58.5" customHeight="1">
      <c r="B219" s="2901" t="str">
        <f t="shared" si="5"/>
        <v/>
      </c>
    </row>
    <row r="220" spans="2:2" ht="58.5" customHeight="1">
      <c r="B220" s="2901" t="str">
        <f t="shared" si="5"/>
        <v/>
      </c>
    </row>
    <row r="221" spans="2:2" ht="58.5" customHeight="1">
      <c r="B221" s="2901" t="str">
        <f t="shared" si="5"/>
        <v/>
      </c>
    </row>
    <row r="222" spans="2:2" ht="58.5" customHeight="1">
      <c r="B222" s="2901" t="str">
        <f t="shared" si="5"/>
        <v/>
      </c>
    </row>
    <row r="223" spans="2:2" ht="58.5" customHeight="1">
      <c r="B223" s="2901" t="str">
        <f t="shared" si="5"/>
        <v/>
      </c>
    </row>
    <row r="224" spans="2:2" ht="58.5" customHeight="1">
      <c r="B224" s="2901" t="str">
        <f t="shared" si="5"/>
        <v/>
      </c>
    </row>
    <row r="225" spans="2:2" ht="58.5" customHeight="1">
      <c r="B225" s="2901" t="str">
        <f t="shared" si="5"/>
        <v/>
      </c>
    </row>
    <row r="226" spans="2:2" ht="58.5" customHeight="1">
      <c r="B226" s="2901" t="str">
        <f t="shared" si="5"/>
        <v/>
      </c>
    </row>
    <row r="227" spans="2:2" ht="58.5" customHeight="1">
      <c r="B227" s="2901" t="str">
        <f t="shared" si="5"/>
        <v/>
      </c>
    </row>
    <row r="228" spans="2:2" ht="58.5" customHeight="1">
      <c r="B228" s="2901" t="str">
        <f t="shared" si="5"/>
        <v/>
      </c>
    </row>
    <row r="229" spans="2:2" ht="58.5" customHeight="1">
      <c r="B229" s="2901" t="str">
        <f t="shared" si="5"/>
        <v/>
      </c>
    </row>
    <row r="230" spans="2:2" ht="58.5" customHeight="1">
      <c r="B230" s="2901" t="str">
        <f t="shared" si="5"/>
        <v/>
      </c>
    </row>
    <row r="231" spans="2:2" ht="58.5" customHeight="1">
      <c r="B231" s="2901" t="str">
        <f t="shared" si="5"/>
        <v/>
      </c>
    </row>
    <row r="232" spans="2:2" ht="58.5" customHeight="1">
      <c r="B232" s="2901" t="str">
        <f t="shared" si="5"/>
        <v/>
      </c>
    </row>
    <row r="233" spans="2:2" ht="58.5" customHeight="1">
      <c r="B233" s="2901" t="str">
        <f t="shared" si="5"/>
        <v/>
      </c>
    </row>
    <row r="234" spans="2:2" ht="58.5" customHeight="1">
      <c r="B234" s="2901" t="str">
        <f t="shared" si="5"/>
        <v/>
      </c>
    </row>
    <row r="235" spans="2:2" ht="58.5" customHeight="1">
      <c r="B235" s="2901" t="str">
        <f t="shared" si="5"/>
        <v/>
      </c>
    </row>
    <row r="236" spans="2:2" ht="58.5" customHeight="1">
      <c r="B236" s="2901" t="str">
        <f t="shared" si="5"/>
        <v/>
      </c>
    </row>
    <row r="237" spans="2:2" ht="58.5" customHeight="1">
      <c r="B237" s="2901" t="str">
        <f t="shared" si="5"/>
        <v/>
      </c>
    </row>
    <row r="238" spans="2:2" ht="58.5" customHeight="1">
      <c r="B238" s="2901" t="str">
        <f t="shared" si="5"/>
        <v/>
      </c>
    </row>
    <row r="239" spans="2:2" ht="58.5" customHeight="1">
      <c r="B239" s="2901" t="str">
        <f t="shared" si="5"/>
        <v/>
      </c>
    </row>
    <row r="240" spans="2:2" ht="58.5" customHeight="1">
      <c r="B240" s="2901" t="str">
        <f t="shared" si="5"/>
        <v/>
      </c>
    </row>
    <row r="241" spans="2:2" ht="58.5" customHeight="1">
      <c r="B241" s="2901" t="str">
        <f t="shared" ref="B241:B298" si="6">TEXT(LEFT(L241,10),"0000000000")</f>
        <v/>
      </c>
    </row>
    <row r="242" spans="2:2" ht="58.5" customHeight="1">
      <c r="B242" s="2901" t="str">
        <f t="shared" si="6"/>
        <v/>
      </c>
    </row>
    <row r="243" spans="2:2" ht="58.5" customHeight="1">
      <c r="B243" s="2901" t="str">
        <f t="shared" si="6"/>
        <v/>
      </c>
    </row>
    <row r="244" spans="2:2" ht="58.5" customHeight="1">
      <c r="B244" s="2901" t="str">
        <f t="shared" si="6"/>
        <v/>
      </c>
    </row>
    <row r="245" spans="2:2" ht="58.5" customHeight="1">
      <c r="B245" s="2901" t="str">
        <f t="shared" si="6"/>
        <v/>
      </c>
    </row>
    <row r="246" spans="2:2" ht="58.5" customHeight="1">
      <c r="B246" s="2901" t="str">
        <f t="shared" si="6"/>
        <v/>
      </c>
    </row>
    <row r="247" spans="2:2" ht="58.5" customHeight="1">
      <c r="B247" s="2901" t="str">
        <f t="shared" si="6"/>
        <v/>
      </c>
    </row>
    <row r="248" spans="2:2" ht="58.5" customHeight="1">
      <c r="B248" s="2901" t="str">
        <f t="shared" si="6"/>
        <v/>
      </c>
    </row>
    <row r="249" spans="2:2" ht="58.5" customHeight="1">
      <c r="B249" s="2901" t="str">
        <f t="shared" si="6"/>
        <v/>
      </c>
    </row>
    <row r="250" spans="2:2" ht="58.5" customHeight="1">
      <c r="B250" s="2901" t="str">
        <f t="shared" si="6"/>
        <v/>
      </c>
    </row>
    <row r="251" spans="2:2" ht="58.5" customHeight="1">
      <c r="B251" s="2901" t="str">
        <f t="shared" si="6"/>
        <v/>
      </c>
    </row>
    <row r="252" spans="2:2" ht="58.5" customHeight="1">
      <c r="B252" s="2901" t="str">
        <f t="shared" si="6"/>
        <v/>
      </c>
    </row>
    <row r="253" spans="2:2" ht="58.5" customHeight="1">
      <c r="B253" s="2901" t="str">
        <f t="shared" si="6"/>
        <v/>
      </c>
    </row>
    <row r="254" spans="2:2" ht="58.5" customHeight="1">
      <c r="B254" s="2901" t="str">
        <f t="shared" si="6"/>
        <v/>
      </c>
    </row>
    <row r="255" spans="2:2" ht="58.5" customHeight="1">
      <c r="B255" s="2901" t="str">
        <f t="shared" si="6"/>
        <v/>
      </c>
    </row>
    <row r="256" spans="2:2" ht="58.5" customHeight="1">
      <c r="B256" s="2901" t="str">
        <f t="shared" si="6"/>
        <v/>
      </c>
    </row>
    <row r="257" spans="2:2" ht="58.5" customHeight="1">
      <c r="B257" s="2901" t="str">
        <f t="shared" si="6"/>
        <v/>
      </c>
    </row>
    <row r="258" spans="2:2" ht="58.5" customHeight="1">
      <c r="B258" s="2901" t="str">
        <f t="shared" si="6"/>
        <v/>
      </c>
    </row>
    <row r="259" spans="2:2" ht="58.5" customHeight="1">
      <c r="B259" s="2901" t="str">
        <f t="shared" si="6"/>
        <v/>
      </c>
    </row>
    <row r="260" spans="2:2" ht="58.5" customHeight="1">
      <c r="B260" s="2901" t="str">
        <f t="shared" si="6"/>
        <v/>
      </c>
    </row>
    <row r="261" spans="2:2" ht="58.5" customHeight="1">
      <c r="B261" s="2901" t="str">
        <f t="shared" si="6"/>
        <v/>
      </c>
    </row>
    <row r="262" spans="2:2" ht="58.5" customHeight="1">
      <c r="B262" s="2901" t="str">
        <f t="shared" si="6"/>
        <v/>
      </c>
    </row>
    <row r="263" spans="2:2" ht="58.5" customHeight="1">
      <c r="B263" s="2901" t="str">
        <f t="shared" si="6"/>
        <v/>
      </c>
    </row>
    <row r="264" spans="2:2" ht="58.5" customHeight="1">
      <c r="B264" s="2901" t="str">
        <f t="shared" si="6"/>
        <v/>
      </c>
    </row>
    <row r="265" spans="2:2" ht="58.5" customHeight="1">
      <c r="B265" s="2901" t="str">
        <f t="shared" si="6"/>
        <v/>
      </c>
    </row>
    <row r="266" spans="2:2" ht="58.5" customHeight="1">
      <c r="B266" s="2901" t="str">
        <f t="shared" si="6"/>
        <v/>
      </c>
    </row>
    <row r="267" spans="2:2" ht="58.5" customHeight="1">
      <c r="B267" s="2901" t="str">
        <f t="shared" si="6"/>
        <v/>
      </c>
    </row>
    <row r="268" spans="2:2" ht="58.5" customHeight="1">
      <c r="B268" s="2901" t="str">
        <f t="shared" si="6"/>
        <v/>
      </c>
    </row>
    <row r="269" spans="2:2" ht="58.5" customHeight="1">
      <c r="B269" s="2901" t="str">
        <f t="shared" si="6"/>
        <v/>
      </c>
    </row>
    <row r="270" spans="2:2" ht="58.5" customHeight="1">
      <c r="B270" s="2901" t="str">
        <f t="shared" si="6"/>
        <v/>
      </c>
    </row>
    <row r="271" spans="2:2" ht="58.5" customHeight="1">
      <c r="B271" s="2901" t="str">
        <f t="shared" si="6"/>
        <v/>
      </c>
    </row>
    <row r="272" spans="2:2" ht="58.5" customHeight="1">
      <c r="B272" s="2901" t="str">
        <f t="shared" si="6"/>
        <v/>
      </c>
    </row>
    <row r="273" spans="2:2" ht="58.5" customHeight="1">
      <c r="B273" s="2901" t="str">
        <f t="shared" si="6"/>
        <v/>
      </c>
    </row>
    <row r="274" spans="2:2" ht="58.5" customHeight="1">
      <c r="B274" s="2901" t="str">
        <f t="shared" si="6"/>
        <v/>
      </c>
    </row>
    <row r="275" spans="2:2" ht="58.5" customHeight="1">
      <c r="B275" s="2901" t="str">
        <f t="shared" si="6"/>
        <v/>
      </c>
    </row>
    <row r="276" spans="2:2" ht="58.5" customHeight="1">
      <c r="B276" s="2901" t="str">
        <f t="shared" si="6"/>
        <v/>
      </c>
    </row>
    <row r="277" spans="2:2" ht="58.5" customHeight="1">
      <c r="B277" s="2901" t="str">
        <f t="shared" si="6"/>
        <v/>
      </c>
    </row>
    <row r="278" spans="2:2" ht="58.5" customHeight="1">
      <c r="B278" s="2901" t="str">
        <f t="shared" si="6"/>
        <v/>
      </c>
    </row>
    <row r="279" spans="2:2" ht="58.5" customHeight="1">
      <c r="B279" s="2901" t="str">
        <f t="shared" si="6"/>
        <v/>
      </c>
    </row>
    <row r="280" spans="2:2" ht="58.5" customHeight="1">
      <c r="B280" s="2901" t="str">
        <f t="shared" si="6"/>
        <v/>
      </c>
    </row>
    <row r="281" spans="2:2" ht="58.5" customHeight="1">
      <c r="B281" s="2901" t="str">
        <f t="shared" si="6"/>
        <v/>
      </c>
    </row>
    <row r="282" spans="2:2" ht="58.5" customHeight="1">
      <c r="B282" s="2901" t="str">
        <f t="shared" si="6"/>
        <v/>
      </c>
    </row>
    <row r="283" spans="2:2" ht="58.5" customHeight="1">
      <c r="B283" s="2901" t="str">
        <f t="shared" si="6"/>
        <v/>
      </c>
    </row>
    <row r="284" spans="2:2" ht="58.5" customHeight="1">
      <c r="B284" s="2901" t="str">
        <f t="shared" si="6"/>
        <v/>
      </c>
    </row>
    <row r="285" spans="2:2" ht="58.5" customHeight="1">
      <c r="B285" s="2901" t="str">
        <f t="shared" si="6"/>
        <v/>
      </c>
    </row>
    <row r="286" spans="2:2" ht="58.5" customHeight="1">
      <c r="B286" s="2901" t="str">
        <f t="shared" si="6"/>
        <v/>
      </c>
    </row>
    <row r="287" spans="2:2" ht="58.5" customHeight="1">
      <c r="B287" s="2901" t="str">
        <f t="shared" si="6"/>
        <v/>
      </c>
    </row>
    <row r="288" spans="2:2" ht="58.5" customHeight="1">
      <c r="B288" s="2901" t="str">
        <f t="shared" si="6"/>
        <v/>
      </c>
    </row>
    <row r="289" spans="2:14" ht="58.5" customHeight="1">
      <c r="B289" s="2901" t="str">
        <f t="shared" si="6"/>
        <v/>
      </c>
    </row>
    <row r="290" spans="2:14" ht="58.5" customHeight="1">
      <c r="B290" s="2901" t="str">
        <f t="shared" si="6"/>
        <v/>
      </c>
    </row>
    <row r="291" spans="2:14" ht="58.5" customHeight="1">
      <c r="B291" s="2901" t="str">
        <f t="shared" si="6"/>
        <v/>
      </c>
    </row>
    <row r="292" spans="2:14" ht="58.5" customHeight="1">
      <c r="B292" s="2901" t="str">
        <f t="shared" si="6"/>
        <v/>
      </c>
    </row>
    <row r="293" spans="2:14" ht="58.5" customHeight="1">
      <c r="B293" s="2901" t="str">
        <f t="shared" si="6"/>
        <v/>
      </c>
    </row>
    <row r="294" spans="2:14" ht="58.5" customHeight="1">
      <c r="B294" s="2901" t="str">
        <f t="shared" si="6"/>
        <v/>
      </c>
    </row>
    <row r="295" spans="2:14" ht="58.5" customHeight="1">
      <c r="B295" s="2901" t="str">
        <f t="shared" si="6"/>
        <v/>
      </c>
    </row>
    <row r="296" spans="2:14" ht="58.5" customHeight="1">
      <c r="B296" s="2901" t="str">
        <f t="shared" si="6"/>
        <v/>
      </c>
    </row>
    <row r="297" spans="2:14" ht="58.5" customHeight="1">
      <c r="B297" s="2901" t="str">
        <f t="shared" si="6"/>
        <v/>
      </c>
    </row>
    <row r="298" spans="2:14" ht="58.5" customHeight="1">
      <c r="B298" s="2901" t="str">
        <f t="shared" si="6"/>
        <v/>
      </c>
    </row>
    <row r="299" spans="2:14" ht="58.5" customHeight="1">
      <c r="B299" s="2901" t="str">
        <f>TEXT(LEFT(L299,10),"0000000000")</f>
        <v>2200002293</v>
      </c>
      <c r="J299" s="2904" t="s">
        <v>19</v>
      </c>
      <c r="K299" s="109" t="s">
        <v>172</v>
      </c>
      <c r="L299" s="696" t="s">
        <v>5421</v>
      </c>
      <c r="M299" s="2216">
        <v>1900</v>
      </c>
      <c r="N299" s="109" t="s">
        <v>5422</v>
      </c>
    </row>
  </sheetData>
  <autoFilter ref="A3:AI307" xr:uid="{DD385387-0778-406B-BE47-1387A6C4D5B5}"/>
  <mergeCells count="3">
    <mergeCell ref="A1:Q1"/>
    <mergeCell ref="A2:C2"/>
    <mergeCell ref="S2:V2"/>
  </mergeCells>
  <conditionalFormatting sqref="S31">
    <cfRule type="duplicateValues" dxfId="375" priority="169"/>
    <cfRule type="duplicateValues" dxfId="374" priority="170"/>
    <cfRule type="duplicateValues" dxfId="373" priority="171"/>
    <cfRule type="duplicateValues" dxfId="372" priority="172"/>
  </conditionalFormatting>
  <conditionalFormatting sqref="S71">
    <cfRule type="duplicateValues" dxfId="371" priority="75"/>
    <cfRule type="duplicateValues" dxfId="370" priority="76"/>
    <cfRule type="duplicateValues" dxfId="369" priority="77"/>
    <cfRule type="duplicateValues" dxfId="368" priority="78"/>
  </conditionalFormatting>
  <conditionalFormatting sqref="S70">
    <cfRule type="duplicateValues" dxfId="367" priority="54"/>
    <cfRule type="duplicateValues" dxfId="366" priority="55"/>
    <cfRule type="duplicateValues" dxfId="365" priority="56"/>
    <cfRule type="duplicateValues" dxfId="364" priority="57"/>
  </conditionalFormatting>
  <conditionalFormatting sqref="B52:B1048576 B38:B50 B1:B36">
    <cfRule type="duplicateValues" dxfId="363" priority="31"/>
  </conditionalFormatting>
  <conditionalFormatting sqref="B51">
    <cfRule type="duplicateValues" dxfId="362" priority="18"/>
    <cfRule type="duplicateValues" dxfId="361" priority="19"/>
    <cfRule type="duplicateValues" dxfId="360" priority="20"/>
    <cfRule type="duplicateValues" dxfId="359" priority="21"/>
  </conditionalFormatting>
  <conditionalFormatting sqref="B51">
    <cfRule type="duplicateValues" dxfId="358" priority="22"/>
    <cfRule type="duplicateValues" dxfId="357" priority="23"/>
    <cfRule type="duplicateValues" dxfId="356" priority="24"/>
    <cfRule type="duplicateValues" dxfId="355" priority="25"/>
  </conditionalFormatting>
  <conditionalFormatting sqref="B51">
    <cfRule type="duplicateValues" dxfId="354" priority="26"/>
  </conditionalFormatting>
  <conditionalFormatting sqref="B51">
    <cfRule type="duplicateValues" dxfId="353" priority="27"/>
    <cfRule type="duplicateValues" dxfId="352" priority="28"/>
    <cfRule type="duplicateValues" dxfId="351" priority="29"/>
    <cfRule type="duplicateValues" dxfId="350" priority="30"/>
  </conditionalFormatting>
  <conditionalFormatting sqref="B37">
    <cfRule type="duplicateValues" dxfId="349" priority="5"/>
    <cfRule type="duplicateValues" dxfId="348" priority="6"/>
    <cfRule type="duplicateValues" dxfId="347" priority="7"/>
    <cfRule type="duplicateValues" dxfId="346" priority="8"/>
  </conditionalFormatting>
  <conditionalFormatting sqref="B37">
    <cfRule type="duplicateValues" dxfId="345" priority="9"/>
    <cfRule type="duplicateValues" dxfId="344" priority="10"/>
    <cfRule type="duplicateValues" dxfId="343" priority="11"/>
    <cfRule type="duplicateValues" dxfId="342" priority="12"/>
  </conditionalFormatting>
  <conditionalFormatting sqref="B37">
    <cfRule type="duplicateValues" dxfId="341" priority="1"/>
    <cfRule type="duplicateValues" dxfId="340" priority="2"/>
    <cfRule type="duplicateValues" dxfId="339" priority="3"/>
    <cfRule type="duplicateValues" dxfId="338" priority="4"/>
  </conditionalFormatting>
  <conditionalFormatting sqref="B37">
    <cfRule type="duplicateValues" dxfId="337" priority="13"/>
  </conditionalFormatting>
  <conditionalFormatting sqref="B37">
    <cfRule type="duplicateValues" dxfId="336" priority="14"/>
    <cfRule type="duplicateValues" dxfId="335" priority="15"/>
    <cfRule type="duplicateValues" dxfId="334" priority="16"/>
    <cfRule type="duplicateValues" dxfId="333" priority="17"/>
  </conditionalFormatting>
  <pageMargins left="0.7" right="0.7" top="0.75" bottom="0.75" header="0.3" footer="0.3"/>
  <pageSetup paperSize="9" scale="40" orientation="landscape"/>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159B02-6362-46DA-920F-5BAD62A2C6C7}">
  <sheetPr>
    <tabColor rgb="FFFFC000"/>
    <pageSetUpPr fitToPage="1"/>
  </sheetPr>
  <dimension ref="A1:AI294"/>
  <sheetViews>
    <sheetView tabSelected="1" zoomScale="70" zoomScaleNormal="70" workbookViewId="0">
      <pane xSplit="5" ySplit="3" topLeftCell="F166" activePane="bottomRight" state="frozen"/>
      <selection pane="topRight"/>
      <selection pane="bottomLeft"/>
      <selection pane="bottomRight" activeCell="B3" sqref="B3"/>
    </sheetView>
  </sheetViews>
  <sheetFormatPr defaultColWidth="32.140625" defaultRowHeight="58.5" customHeight="1"/>
  <cols>
    <col min="1" max="1" width="7.5703125" style="738" customWidth="1"/>
    <col min="2" max="2" width="25" style="763" customWidth="1"/>
    <col min="3" max="3" width="37.42578125" style="3" customWidth="1"/>
    <col min="4" max="4" width="17.42578125" style="2023" customWidth="1"/>
    <col min="5" max="5" width="19" style="271" customWidth="1"/>
    <col min="6" max="6" width="32.140625" style="1" customWidth="1"/>
    <col min="7" max="7" width="19.42578125" style="271" customWidth="1"/>
    <col min="8" max="8" width="15.85546875" style="271" customWidth="1"/>
    <col min="9" max="9" width="27.85546875" style="271" customWidth="1"/>
    <col min="10" max="10" width="32.140625" style="271" customWidth="1"/>
    <col min="11" max="11" width="27.42578125" style="271" customWidth="1"/>
    <col min="12" max="12" width="88.140625" style="9" customWidth="1"/>
    <col min="13" max="13" width="25.5703125" style="2937" customWidth="1"/>
    <col min="14" max="14" width="63.140625" style="1" customWidth="1"/>
    <col min="15" max="15" width="23.140625" style="1" customWidth="1"/>
    <col min="16" max="16" width="66" style="2260" customWidth="1"/>
    <col min="17" max="17" width="45.140625" style="3164" customWidth="1"/>
    <col min="18" max="16384" width="32.140625" style="3"/>
  </cols>
  <sheetData>
    <row r="1" spans="1:35" ht="74.25" customHeight="1">
      <c r="A1" s="3739" t="s">
        <v>5185</v>
      </c>
      <c r="B1" s="3740"/>
      <c r="C1" s="3740"/>
      <c r="D1" s="3740"/>
      <c r="E1" s="3740"/>
      <c r="F1" s="3740"/>
      <c r="G1" s="3740"/>
      <c r="H1" s="3740"/>
      <c r="I1" s="3740"/>
      <c r="J1" s="3740"/>
      <c r="K1" s="3740"/>
      <c r="L1" s="3740"/>
      <c r="M1" s="3740"/>
      <c r="N1" s="3740"/>
      <c r="O1" s="3740"/>
      <c r="P1" s="3740"/>
      <c r="Q1" s="3741"/>
    </row>
    <row r="2" spans="1:35" s="2709" customFormat="1" ht="58.5" customHeight="1">
      <c r="A2" s="3742" t="s">
        <v>5186</v>
      </c>
      <c r="B2" s="3743"/>
      <c r="C2" s="3743"/>
      <c r="D2" s="3058">
        <f>SUBTOTAL(9,D4:D2708)</f>
        <v>554530</v>
      </c>
      <c r="E2" s="2890"/>
      <c r="F2" s="2888"/>
      <c r="G2" s="2889" t="s">
        <v>5187</v>
      </c>
      <c r="H2" s="2889"/>
      <c r="I2" s="2890"/>
      <c r="J2" s="2890"/>
      <c r="K2" s="2891"/>
      <c r="L2" s="2892">
        <f ca="1">TODAY()</f>
        <v>45960</v>
      </c>
      <c r="M2" s="3058">
        <f>SUBTOTAL(9,M4:M2708)</f>
        <v>551724</v>
      </c>
      <c r="N2" s="2893" t="s">
        <v>5188</v>
      </c>
      <c r="O2" s="3013"/>
      <c r="P2" s="2940"/>
      <c r="Q2" s="3368" t="s">
        <v>5170</v>
      </c>
      <c r="R2" s="3"/>
      <c r="S2" s="3726" t="s">
        <v>5189</v>
      </c>
      <c r="T2" s="3726"/>
      <c r="U2" s="3726"/>
      <c r="V2" s="3726"/>
      <c r="W2" s="3"/>
      <c r="X2" s="3"/>
      <c r="Y2" s="3"/>
      <c r="Z2" s="3"/>
      <c r="AA2" s="3"/>
    </row>
    <row r="3" spans="1:35" s="2709" customFormat="1" ht="58.5" customHeight="1">
      <c r="A3" s="3249" t="s">
        <v>1</v>
      </c>
      <c r="B3" s="3151" t="s">
        <v>5190</v>
      </c>
      <c r="C3" s="3152" t="s">
        <v>5191</v>
      </c>
      <c r="D3" s="3235" t="s">
        <v>5423</v>
      </c>
      <c r="E3" s="3152" t="s">
        <v>3389</v>
      </c>
      <c r="F3" s="3153" t="s">
        <v>5</v>
      </c>
      <c r="G3" s="3152" t="s">
        <v>3390</v>
      </c>
      <c r="H3" s="3152" t="s">
        <v>5193</v>
      </c>
      <c r="I3" s="3154" t="s">
        <v>5194</v>
      </c>
      <c r="J3" s="3152" t="s">
        <v>5195</v>
      </c>
      <c r="K3" s="3152" t="s">
        <v>9</v>
      </c>
      <c r="L3" s="3155" t="s">
        <v>5196</v>
      </c>
      <c r="M3" s="3156" t="s">
        <v>5197</v>
      </c>
      <c r="N3" s="3157" t="s">
        <v>5198</v>
      </c>
      <c r="O3" s="3158" t="s">
        <v>5199</v>
      </c>
      <c r="P3" s="3159" t="s">
        <v>11</v>
      </c>
      <c r="Q3" s="3369" t="s">
        <v>5200</v>
      </c>
      <c r="R3" s="2709" t="s">
        <v>5201</v>
      </c>
      <c r="S3" s="2705" t="s">
        <v>5202</v>
      </c>
      <c r="T3" s="2705" t="s">
        <v>5203</v>
      </c>
      <c r="U3" s="2705" t="s">
        <v>5204</v>
      </c>
      <c r="V3" s="2705" t="s">
        <v>5205</v>
      </c>
    </row>
    <row r="4" spans="1:35" s="2150" customFormat="1" ht="58.5" customHeight="1">
      <c r="A4" s="3744">
        <v>1</v>
      </c>
      <c r="B4" s="3210" t="str">
        <f t="shared" ref="B4:B35" si="0">TEXT(LEFT(L4,10),"0000000000")</f>
        <v>2200002207</v>
      </c>
      <c r="C4" s="1902" t="s">
        <v>5424</v>
      </c>
      <c r="D4" s="2607">
        <v>2950</v>
      </c>
      <c r="E4" s="1902" t="s">
        <v>5425</v>
      </c>
      <c r="F4" s="1902" t="s">
        <v>84</v>
      </c>
      <c r="G4" s="1921" t="s">
        <v>5426</v>
      </c>
      <c r="H4" s="1921" t="s">
        <v>5427</v>
      </c>
      <c r="I4" s="2279" t="s">
        <v>5253</v>
      </c>
      <c r="J4" s="1902" t="s">
        <v>19</v>
      </c>
      <c r="K4" s="1921" t="s">
        <v>101</v>
      </c>
      <c r="L4" s="1862" t="s">
        <v>5428</v>
      </c>
      <c r="M4" s="3055">
        <v>1311</v>
      </c>
      <c r="N4" s="2915" t="s">
        <v>5429</v>
      </c>
      <c r="O4" s="1902"/>
      <c r="P4" s="1745"/>
      <c r="Q4" s="3265">
        <v>1</v>
      </c>
    </row>
    <row r="5" spans="1:35" s="1548" customFormat="1" ht="58.5" customHeight="1">
      <c r="A5" s="3744"/>
      <c r="B5" s="3210" t="str">
        <f t="shared" si="0"/>
        <v>2200002208</v>
      </c>
      <c r="C5" s="1493" t="s">
        <v>93</v>
      </c>
      <c r="D5" s="1494"/>
      <c r="E5" s="1902"/>
      <c r="F5" s="1493" t="s">
        <v>84</v>
      </c>
      <c r="G5" s="1495"/>
      <c r="H5" s="1495"/>
      <c r="I5" s="1568" t="s">
        <v>5253</v>
      </c>
      <c r="J5" s="1493" t="s">
        <v>19</v>
      </c>
      <c r="K5" s="1495" t="s">
        <v>101</v>
      </c>
      <c r="L5" s="1496" t="s">
        <v>5430</v>
      </c>
      <c r="M5" s="3051">
        <v>1485</v>
      </c>
      <c r="N5" s="2915" t="s">
        <v>5431</v>
      </c>
      <c r="O5" s="1493"/>
      <c r="P5" s="2590"/>
      <c r="Q5" s="3265">
        <v>1</v>
      </c>
    </row>
    <row r="6" spans="1:35" s="1467" customFormat="1" ht="58.5" customHeight="1">
      <c r="A6" s="3744"/>
      <c r="B6" s="3210" t="str">
        <f t="shared" si="0"/>
        <v>2200002197</v>
      </c>
      <c r="C6" s="1493" t="s">
        <v>93</v>
      </c>
      <c r="D6" s="2607"/>
      <c r="E6" s="1921"/>
      <c r="F6" s="1493" t="s">
        <v>84</v>
      </c>
      <c r="G6" s="1495"/>
      <c r="H6" s="1495"/>
      <c r="I6" s="1568" t="s">
        <v>5253</v>
      </c>
      <c r="J6" s="1495" t="s">
        <v>1612</v>
      </c>
      <c r="K6" s="1495" t="s">
        <v>101</v>
      </c>
      <c r="L6" s="1547" t="s">
        <v>5432</v>
      </c>
      <c r="M6" s="3051">
        <v>154</v>
      </c>
      <c r="N6" s="2196" t="s">
        <v>5429</v>
      </c>
      <c r="O6" s="1493"/>
      <c r="P6" s="1548"/>
      <c r="Q6" s="3265">
        <v>1</v>
      </c>
      <c r="R6" s="1748">
        <v>3</v>
      </c>
    </row>
    <row r="7" spans="1:35" s="2150" customFormat="1" ht="58.5" customHeight="1">
      <c r="A7" s="3745">
        <v>2</v>
      </c>
      <c r="B7" s="3210" t="str">
        <f t="shared" si="0"/>
        <v>2400001285</v>
      </c>
      <c r="C7" s="3033" t="s">
        <v>5433</v>
      </c>
      <c r="D7" s="3237">
        <v>3000</v>
      </c>
      <c r="E7" s="3035" t="s">
        <v>5434</v>
      </c>
      <c r="F7" s="3033" t="s">
        <v>3421</v>
      </c>
      <c r="G7" s="3035" t="s">
        <v>5435</v>
      </c>
      <c r="H7" s="3270" t="s">
        <v>5436</v>
      </c>
      <c r="I7" s="3035" t="s">
        <v>5437</v>
      </c>
      <c r="J7" s="3033" t="s">
        <v>19</v>
      </c>
      <c r="K7" s="3035" t="s">
        <v>5438</v>
      </c>
      <c r="L7" s="2912" t="s">
        <v>5439</v>
      </c>
      <c r="M7" s="3050">
        <v>1000</v>
      </c>
      <c r="N7" s="2196" t="s">
        <v>5440</v>
      </c>
      <c r="O7" s="3033"/>
      <c r="P7" s="3037"/>
      <c r="Q7" s="3265">
        <v>1</v>
      </c>
    </row>
    <row r="8" spans="1:35" s="1548" customFormat="1" ht="58.5" customHeight="1">
      <c r="A8" s="3745"/>
      <c r="B8" s="3210" t="str">
        <f t="shared" si="0"/>
        <v>2400001286</v>
      </c>
      <c r="C8" s="3023" t="s">
        <v>3859</v>
      </c>
      <c r="D8" s="3238"/>
      <c r="E8" s="3035"/>
      <c r="F8" s="3023" t="s">
        <v>3421</v>
      </c>
      <c r="G8" s="3021"/>
      <c r="H8" s="3021"/>
      <c r="I8" s="3035" t="s">
        <v>5437</v>
      </c>
      <c r="J8" s="3023" t="s">
        <v>19</v>
      </c>
      <c r="K8" s="3021" t="s">
        <v>5438</v>
      </c>
      <c r="L8" s="2880" t="s">
        <v>5441</v>
      </c>
      <c r="M8" s="3054">
        <v>1000</v>
      </c>
      <c r="N8" s="2196" t="s">
        <v>5440</v>
      </c>
      <c r="O8" s="3033"/>
      <c r="P8" s="3037"/>
      <c r="Q8" s="3265">
        <v>1</v>
      </c>
      <c r="R8" s="2150"/>
      <c r="S8" s="2150"/>
      <c r="T8" s="2150"/>
      <c r="U8" s="2150"/>
      <c r="V8" s="2150"/>
      <c r="W8" s="2150"/>
      <c r="X8" s="2150"/>
      <c r="Y8" s="2150"/>
      <c r="Z8" s="2150"/>
      <c r="AA8" s="2150"/>
      <c r="AB8" s="2150"/>
    </row>
    <row r="9" spans="1:35" s="1548" customFormat="1" ht="58.5" customHeight="1">
      <c r="A9" s="3745"/>
      <c r="B9" s="3210" t="str">
        <f t="shared" si="0"/>
        <v>2400001287</v>
      </c>
      <c r="C9" s="3023" t="s">
        <v>3859</v>
      </c>
      <c r="D9" s="3238"/>
      <c r="E9" s="3035"/>
      <c r="F9" s="3023" t="s">
        <v>3421</v>
      </c>
      <c r="G9" s="3021"/>
      <c r="H9" s="3021"/>
      <c r="I9" s="3035" t="s">
        <v>5437</v>
      </c>
      <c r="J9" s="3023" t="s">
        <v>19</v>
      </c>
      <c r="K9" s="3021" t="s">
        <v>5438</v>
      </c>
      <c r="L9" s="2880" t="s">
        <v>5442</v>
      </c>
      <c r="M9" s="3054">
        <v>1000</v>
      </c>
      <c r="N9" s="2196" t="s">
        <v>5440</v>
      </c>
      <c r="O9" s="3033"/>
      <c r="P9" s="3037"/>
      <c r="Q9" s="3265">
        <v>1</v>
      </c>
      <c r="R9" s="2150"/>
      <c r="S9" s="2150"/>
      <c r="T9" s="2150"/>
      <c r="U9" s="2150"/>
      <c r="V9" s="2150"/>
      <c r="W9" s="2150"/>
      <c r="X9" s="2150"/>
      <c r="Y9" s="2150"/>
      <c r="Z9" s="2150"/>
      <c r="AA9" s="2150"/>
      <c r="AB9" s="2150"/>
    </row>
    <row r="10" spans="1:35" s="2150" customFormat="1" ht="70.5" customHeight="1">
      <c r="A10" s="3728">
        <v>3</v>
      </c>
      <c r="B10" s="3210" t="str">
        <f t="shared" si="0"/>
        <v>2200002220</v>
      </c>
      <c r="C10" s="3033" t="s">
        <v>3425</v>
      </c>
      <c r="D10" s="3237">
        <v>3700</v>
      </c>
      <c r="E10" s="3035" t="s">
        <v>5443</v>
      </c>
      <c r="F10" s="3023" t="s">
        <v>89</v>
      </c>
      <c r="G10" s="3035"/>
      <c r="H10" s="3035"/>
      <c r="I10" s="3021" t="s">
        <v>5253</v>
      </c>
      <c r="J10" s="3023" t="s">
        <v>19</v>
      </c>
      <c r="K10" s="3021" t="s">
        <v>101</v>
      </c>
      <c r="L10" s="2880" t="s">
        <v>5444</v>
      </c>
      <c r="M10" s="3054">
        <v>458</v>
      </c>
      <c r="N10" s="2915" t="s">
        <v>5445</v>
      </c>
      <c r="O10" s="3033"/>
      <c r="P10" s="3229"/>
      <c r="Q10" s="3358">
        <v>1</v>
      </c>
    </row>
    <row r="11" spans="1:35" s="1467" customFormat="1" ht="58.5" customHeight="1">
      <c r="A11" s="3728"/>
      <c r="B11" s="3210" t="str">
        <f t="shared" si="0"/>
        <v>2200002221</v>
      </c>
      <c r="C11" s="3023" t="s">
        <v>3425</v>
      </c>
      <c r="D11" s="3238"/>
      <c r="E11" s="3035"/>
      <c r="F11" s="3023" t="s">
        <v>89</v>
      </c>
      <c r="G11" s="3021"/>
      <c r="H11" s="3021"/>
      <c r="I11" s="1495" t="s">
        <v>5253</v>
      </c>
      <c r="J11" s="1495" t="s">
        <v>19</v>
      </c>
      <c r="K11" s="3021" t="s">
        <v>101</v>
      </c>
      <c r="L11" s="2880" t="s">
        <v>5446</v>
      </c>
      <c r="M11" s="3054">
        <v>3242</v>
      </c>
      <c r="N11" s="2915" t="s">
        <v>5447</v>
      </c>
      <c r="O11" s="3023"/>
      <c r="P11" s="3024"/>
      <c r="Q11" s="3358" t="s">
        <v>5210</v>
      </c>
      <c r="AD11" s="1548"/>
      <c r="AE11" s="1548"/>
      <c r="AF11" s="1548"/>
      <c r="AG11" s="1548"/>
      <c r="AH11" s="1548"/>
    </row>
    <row r="12" spans="1:35" s="2150" customFormat="1" ht="58.5" customHeight="1">
      <c r="A12" s="3738">
        <v>4</v>
      </c>
      <c r="B12" s="3210" t="str">
        <f t="shared" si="0"/>
        <v>2000003344</v>
      </c>
      <c r="C12" s="3033" t="s">
        <v>52</v>
      </c>
      <c r="D12" s="1494">
        <v>4620</v>
      </c>
      <c r="E12" s="1921" t="s">
        <v>5425</v>
      </c>
      <c r="F12" s="1493" t="s">
        <v>16</v>
      </c>
      <c r="G12" s="1495" t="s">
        <v>5448</v>
      </c>
      <c r="H12" s="1748" t="s">
        <v>5449</v>
      </c>
      <c r="I12" s="3075" t="s">
        <v>5253</v>
      </c>
      <c r="J12" s="3023" t="s">
        <v>19</v>
      </c>
      <c r="K12" s="1921" t="s">
        <v>74</v>
      </c>
      <c r="L12" s="2162" t="s">
        <v>5450</v>
      </c>
      <c r="M12" s="3084">
        <v>1450</v>
      </c>
      <c r="N12" s="2915" t="s">
        <v>5257</v>
      </c>
      <c r="O12" s="1493"/>
      <c r="P12" s="2590"/>
      <c r="Q12" s="3265" t="s">
        <v>5210</v>
      </c>
      <c r="R12" s="1548"/>
      <c r="S12" s="1548"/>
      <c r="T12" s="1548"/>
      <c r="U12" s="1548"/>
      <c r="V12" s="1548"/>
      <c r="W12" s="1548"/>
      <c r="X12" s="1548"/>
      <c r="Y12" s="1548"/>
      <c r="Z12" s="1548"/>
      <c r="AA12" s="1548"/>
      <c r="AB12" s="1548"/>
      <c r="AC12" s="1548"/>
      <c r="AD12" s="1467"/>
      <c r="AE12" s="1467"/>
      <c r="AF12" s="1467"/>
      <c r="AG12" s="1467"/>
      <c r="AH12" s="1467"/>
      <c r="AI12" s="1467"/>
    </row>
    <row r="13" spans="1:35" s="1548" customFormat="1" ht="58.5" customHeight="1">
      <c r="A13" s="3738"/>
      <c r="B13" s="3210" t="str">
        <f t="shared" si="0"/>
        <v>2000003341</v>
      </c>
      <c r="C13" s="3023" t="s">
        <v>52</v>
      </c>
      <c r="D13" s="1494"/>
      <c r="E13" s="1921"/>
      <c r="F13" s="1493" t="s">
        <v>16</v>
      </c>
      <c r="G13" s="1495"/>
      <c r="H13" s="1495"/>
      <c r="I13" s="3075" t="s">
        <v>5253</v>
      </c>
      <c r="J13" s="3023" t="s">
        <v>19</v>
      </c>
      <c r="K13" s="1495" t="s">
        <v>74</v>
      </c>
      <c r="L13" s="3266" t="s">
        <v>5451</v>
      </c>
      <c r="M13" s="3242">
        <v>850</v>
      </c>
      <c r="N13" s="2915" t="s">
        <v>5452</v>
      </c>
      <c r="O13" s="1493"/>
      <c r="P13" s="2590"/>
      <c r="Q13" s="3267" t="s">
        <v>5210</v>
      </c>
      <c r="R13" s="1559"/>
      <c r="S13" s="1559"/>
      <c r="T13" s="1559"/>
      <c r="U13" s="1559"/>
      <c r="V13" s="1559"/>
      <c r="AD13" s="1467"/>
      <c r="AE13" s="1467"/>
      <c r="AF13" s="1467"/>
      <c r="AG13" s="1467"/>
      <c r="AH13" s="1467"/>
      <c r="AI13" s="1467"/>
    </row>
    <row r="14" spans="1:35" s="2150" customFormat="1" ht="58.5" customHeight="1">
      <c r="A14" s="3738"/>
      <c r="B14" s="3210" t="str">
        <f t="shared" si="0"/>
        <v>2000003372</v>
      </c>
      <c r="C14" s="3023" t="s">
        <v>52</v>
      </c>
      <c r="D14" s="3238"/>
      <c r="E14" s="3021"/>
      <c r="F14" s="1493" t="s">
        <v>16</v>
      </c>
      <c r="G14" s="3021"/>
      <c r="H14" s="3021"/>
      <c r="I14" s="3075" t="s">
        <v>5253</v>
      </c>
      <c r="J14" s="3023" t="s">
        <v>19</v>
      </c>
      <c r="K14" s="3021" t="s">
        <v>74</v>
      </c>
      <c r="L14" s="3268" t="s">
        <v>5453</v>
      </c>
      <c r="M14" s="3269">
        <v>400</v>
      </c>
      <c r="N14" s="2915" t="s">
        <v>5454</v>
      </c>
      <c r="O14" s="3033"/>
      <c r="P14" s="3229"/>
      <c r="Q14" s="3358">
        <v>1</v>
      </c>
    </row>
    <row r="15" spans="1:35" s="2150" customFormat="1" ht="58.5" customHeight="1">
      <c r="A15" s="3738"/>
      <c r="B15" s="3210" t="str">
        <f t="shared" si="0"/>
        <v>2000003389</v>
      </c>
      <c r="C15" s="3023" t="s">
        <v>52</v>
      </c>
      <c r="D15" s="3238"/>
      <c r="E15" s="3021"/>
      <c r="F15" s="1493" t="s">
        <v>16</v>
      </c>
      <c r="G15" s="3021"/>
      <c r="H15" s="3021"/>
      <c r="I15" s="3075" t="s">
        <v>5253</v>
      </c>
      <c r="J15" s="3023" t="s">
        <v>19</v>
      </c>
      <c r="K15" s="3021" t="s">
        <v>74</v>
      </c>
      <c r="L15" s="3268" t="s">
        <v>5455</v>
      </c>
      <c r="M15" s="3269">
        <v>1400</v>
      </c>
      <c r="N15" s="2915" t="s">
        <v>5456</v>
      </c>
      <c r="O15" s="3033"/>
      <c r="P15" s="3229"/>
      <c r="Q15" s="3358">
        <v>1</v>
      </c>
    </row>
    <row r="16" spans="1:35" s="2150" customFormat="1" ht="58.5" customHeight="1">
      <c r="A16" s="3738"/>
      <c r="B16" s="3210" t="str">
        <f t="shared" si="0"/>
        <v>2000003390</v>
      </c>
      <c r="C16" s="3023" t="s">
        <v>52</v>
      </c>
      <c r="D16" s="3238"/>
      <c r="E16" s="3021"/>
      <c r="F16" s="1493" t="s">
        <v>16</v>
      </c>
      <c r="G16" s="3021"/>
      <c r="H16" s="3021"/>
      <c r="I16" s="3075" t="s">
        <v>5253</v>
      </c>
      <c r="J16" s="3023" t="s">
        <v>19</v>
      </c>
      <c r="K16" s="3021" t="s">
        <v>74</v>
      </c>
      <c r="L16" s="3268" t="s">
        <v>5457</v>
      </c>
      <c r="M16" s="3269">
        <v>520</v>
      </c>
      <c r="N16" s="2915" t="s">
        <v>5454</v>
      </c>
      <c r="O16" s="3033"/>
      <c r="P16" s="3229"/>
      <c r="Q16" s="3358">
        <v>1</v>
      </c>
    </row>
    <row r="17" spans="1:34" s="2150" customFormat="1" ht="58.5" customHeight="1">
      <c r="A17" s="3745">
        <v>5</v>
      </c>
      <c r="B17" s="3210" t="str">
        <f t="shared" si="0"/>
        <v>2200002214</v>
      </c>
      <c r="C17" s="1921" t="s">
        <v>3556</v>
      </c>
      <c r="D17" s="3271">
        <v>4300</v>
      </c>
      <c r="E17" s="3035" t="s">
        <v>5458</v>
      </c>
      <c r="F17" s="1902" t="s">
        <v>54</v>
      </c>
      <c r="G17" s="3035" t="s">
        <v>5426</v>
      </c>
      <c r="H17" s="3035" t="s">
        <v>5459</v>
      </c>
      <c r="I17" s="1495" t="s">
        <v>5460</v>
      </c>
      <c r="J17" s="1902" t="s">
        <v>19</v>
      </c>
      <c r="K17" s="2187" t="s">
        <v>959</v>
      </c>
      <c r="L17" s="1862" t="s">
        <v>5461</v>
      </c>
      <c r="M17" s="2583">
        <v>2400</v>
      </c>
      <c r="N17" s="2915" t="s">
        <v>5462</v>
      </c>
      <c r="O17" s="3033"/>
      <c r="P17" s="3037"/>
      <c r="Q17" s="3358">
        <v>1</v>
      </c>
      <c r="R17" s="2643"/>
      <c r="S17" s="2643"/>
      <c r="T17" s="2643"/>
      <c r="U17" s="2643"/>
      <c r="V17" s="2643"/>
      <c r="W17" s="2643"/>
      <c r="X17" s="2643"/>
      <c r="Y17" s="2643"/>
      <c r="Z17" s="2643"/>
      <c r="AA17" s="2643"/>
      <c r="AB17" s="2643"/>
      <c r="AC17" s="2643"/>
    </row>
    <row r="18" spans="1:34" s="1548" customFormat="1" ht="58.5" customHeight="1">
      <c r="A18" s="3745"/>
      <c r="B18" s="3210" t="str">
        <f t="shared" si="0"/>
        <v>2000003349</v>
      </c>
      <c r="C18" s="3321" t="s">
        <v>3556</v>
      </c>
      <c r="D18" s="3273"/>
      <c r="E18" s="3021"/>
      <c r="F18" s="1493" t="s">
        <v>54</v>
      </c>
      <c r="G18" s="3021"/>
      <c r="H18" s="3021"/>
      <c r="I18" s="3075" t="s">
        <v>5253</v>
      </c>
      <c r="J18" s="1902" t="s">
        <v>19</v>
      </c>
      <c r="K18" s="2187" t="s">
        <v>959</v>
      </c>
      <c r="L18" s="3274" t="s">
        <v>5463</v>
      </c>
      <c r="M18" s="3054">
        <v>1000</v>
      </c>
      <c r="N18" s="2915" t="s">
        <v>5257</v>
      </c>
      <c r="O18" s="3023"/>
      <c r="P18" s="3024"/>
      <c r="Q18" s="3358">
        <v>1</v>
      </c>
      <c r="R18" s="1467"/>
      <c r="S18" s="1467"/>
      <c r="T18" s="1467"/>
      <c r="U18" s="1467"/>
      <c r="V18" s="1467"/>
      <c r="W18" s="1467"/>
      <c r="X18" s="1467"/>
      <c r="Y18" s="1467"/>
      <c r="Z18" s="1467"/>
      <c r="AA18" s="1467"/>
      <c r="AB18" s="1467"/>
      <c r="AC18" s="1467"/>
    </row>
    <row r="19" spans="1:34" s="1548" customFormat="1" ht="58.5" customHeight="1">
      <c r="A19" s="3745"/>
      <c r="B19" s="3210" t="str">
        <f t="shared" si="0"/>
        <v>2000003379</v>
      </c>
      <c r="C19" s="3321" t="s">
        <v>3556</v>
      </c>
      <c r="D19" s="1668"/>
      <c r="E19" s="1495"/>
      <c r="F19" s="1493" t="s">
        <v>54</v>
      </c>
      <c r="G19" s="1495"/>
      <c r="H19" s="1495"/>
      <c r="I19" s="3075" t="s">
        <v>5253</v>
      </c>
      <c r="J19" s="1902" t="s">
        <v>19</v>
      </c>
      <c r="K19" s="2187" t="s">
        <v>959</v>
      </c>
      <c r="L19" s="1600" t="s">
        <v>5464</v>
      </c>
      <c r="M19" s="2357">
        <v>400</v>
      </c>
      <c r="N19" s="2915" t="s">
        <v>5214</v>
      </c>
      <c r="O19" s="1493"/>
      <c r="P19" s="1859"/>
      <c r="Q19" s="3358">
        <v>1</v>
      </c>
      <c r="R19" s="1852"/>
    </row>
    <row r="20" spans="1:34" s="1467" customFormat="1" ht="58.5" customHeight="1">
      <c r="A20" s="3745"/>
      <c r="B20" s="3210" t="str">
        <f t="shared" si="0"/>
        <v>2200002215</v>
      </c>
      <c r="C20" s="3321" t="s">
        <v>3556</v>
      </c>
      <c r="D20" s="1668"/>
      <c r="E20" s="1495"/>
      <c r="F20" s="1493" t="s">
        <v>54</v>
      </c>
      <c r="G20" s="1495"/>
      <c r="H20" s="1495"/>
      <c r="I20" s="1495" t="s">
        <v>5460</v>
      </c>
      <c r="J20" s="1902" t="s">
        <v>19</v>
      </c>
      <c r="K20" s="2187" t="s">
        <v>959</v>
      </c>
      <c r="L20" s="1600" t="s">
        <v>5465</v>
      </c>
      <c r="M20" s="2357">
        <v>211</v>
      </c>
      <c r="N20" s="2915" t="s">
        <v>5466</v>
      </c>
      <c r="O20" s="1493"/>
      <c r="P20" s="1859"/>
      <c r="Q20" s="3358" t="s">
        <v>5210</v>
      </c>
      <c r="R20" s="1852"/>
    </row>
    <row r="21" spans="1:34" s="1467" customFormat="1" ht="58.5" customHeight="1">
      <c r="A21" s="3745"/>
      <c r="B21" s="3210" t="str">
        <f t="shared" si="0"/>
        <v>2200002150</v>
      </c>
      <c r="C21" s="3321" t="s">
        <v>3556</v>
      </c>
      <c r="D21" s="1668"/>
      <c r="E21" s="1495"/>
      <c r="F21" s="1493" t="s">
        <v>54</v>
      </c>
      <c r="G21" s="1495"/>
      <c r="H21" s="1495"/>
      <c r="I21" s="1495" t="s">
        <v>5460</v>
      </c>
      <c r="J21" s="1902" t="s">
        <v>19</v>
      </c>
      <c r="K21" s="2187" t="s">
        <v>959</v>
      </c>
      <c r="L21" s="2877" t="s">
        <v>5467</v>
      </c>
      <c r="M21" s="3275">
        <v>285</v>
      </c>
      <c r="N21" s="2915" t="s">
        <v>5468</v>
      </c>
      <c r="O21" s="1493"/>
      <c r="P21" s="1859"/>
      <c r="Q21" s="3358" t="s">
        <v>5210</v>
      </c>
      <c r="R21" s="1852"/>
    </row>
    <row r="22" spans="1:34" s="2643" customFormat="1" ht="58.5" customHeight="1">
      <c r="A22" s="3744">
        <v>6</v>
      </c>
      <c r="B22" s="3210" t="str">
        <f t="shared" si="0"/>
        <v>2000003339</v>
      </c>
      <c r="C22" s="3033" t="s">
        <v>5469</v>
      </c>
      <c r="D22" s="3237">
        <v>4200</v>
      </c>
      <c r="E22" s="3035" t="s">
        <v>5443</v>
      </c>
      <c r="F22" s="1902" t="s">
        <v>61</v>
      </c>
      <c r="G22" s="3041" t="s">
        <v>5470</v>
      </c>
      <c r="H22" s="3035" t="s">
        <v>5471</v>
      </c>
      <c r="I22" s="1921" t="s">
        <v>5253</v>
      </c>
      <c r="J22" s="1921" t="s">
        <v>19</v>
      </c>
      <c r="K22" s="3035" t="s">
        <v>74</v>
      </c>
      <c r="L22" s="2912" t="s">
        <v>5472</v>
      </c>
      <c r="M22" s="3050">
        <v>737</v>
      </c>
      <c r="N22" s="2915" t="s">
        <v>5473</v>
      </c>
      <c r="O22" s="3033"/>
      <c r="P22" s="3033"/>
      <c r="Q22" s="3358" t="s">
        <v>5210</v>
      </c>
      <c r="R22" s="3261"/>
    </row>
    <row r="23" spans="1:34" s="1467" customFormat="1" ht="58.5" customHeight="1">
      <c r="A23" s="3744"/>
      <c r="B23" s="3210" t="str">
        <f t="shared" si="0"/>
        <v>2000003373</v>
      </c>
      <c r="C23" s="3023" t="s">
        <v>5469</v>
      </c>
      <c r="D23" s="3238"/>
      <c r="E23" s="3035"/>
      <c r="F23" s="1493" t="s">
        <v>61</v>
      </c>
      <c r="G23" s="3022"/>
      <c r="H23" s="3021"/>
      <c r="I23" s="1495" t="s">
        <v>5253</v>
      </c>
      <c r="J23" s="3033" t="s">
        <v>19</v>
      </c>
      <c r="K23" s="3035" t="s">
        <v>74</v>
      </c>
      <c r="L23" s="3262" t="s">
        <v>5474</v>
      </c>
      <c r="M23" s="3263">
        <v>2000</v>
      </c>
      <c r="N23" s="2915" t="s">
        <v>5473</v>
      </c>
      <c r="O23" s="3023"/>
      <c r="P23" s="3023"/>
      <c r="Q23" s="3358" t="s">
        <v>5210</v>
      </c>
      <c r="R23" s="3264"/>
    </row>
    <row r="24" spans="1:34" s="1467" customFormat="1" ht="67.5" customHeight="1">
      <c r="A24" s="3744"/>
      <c r="B24" s="3210" t="str">
        <f t="shared" si="0"/>
        <v>2200002221</v>
      </c>
      <c r="C24" s="3023" t="s">
        <v>5469</v>
      </c>
      <c r="D24" s="3238"/>
      <c r="E24" s="3035"/>
      <c r="F24" s="1493" t="s">
        <v>61</v>
      </c>
      <c r="G24" s="3022"/>
      <c r="H24" s="3021"/>
      <c r="I24" s="3021" t="s">
        <v>5253</v>
      </c>
      <c r="J24" s="3023" t="s">
        <v>19</v>
      </c>
      <c r="K24" s="3021" t="s">
        <v>101</v>
      </c>
      <c r="L24" s="2880" t="s">
        <v>5475</v>
      </c>
      <c r="M24" s="3054">
        <v>1450</v>
      </c>
      <c r="N24" s="2915" t="s">
        <v>5447</v>
      </c>
      <c r="O24" s="3023"/>
      <c r="P24" s="3023"/>
      <c r="Q24" s="3358" t="s">
        <v>5210</v>
      </c>
      <c r="R24" s="3264"/>
    </row>
    <row r="25" spans="1:34" s="2643" customFormat="1" ht="58.5" customHeight="1">
      <c r="A25" s="3744">
        <v>7</v>
      </c>
      <c r="B25" s="3210" t="str">
        <f t="shared" si="0"/>
        <v>2000003368</v>
      </c>
      <c r="C25" s="3033" t="s">
        <v>5476</v>
      </c>
      <c r="D25" s="2607">
        <v>3250</v>
      </c>
      <c r="E25" s="3035" t="s">
        <v>5477</v>
      </c>
      <c r="F25" s="3033" t="s">
        <v>89</v>
      </c>
      <c r="G25" s="1921" t="s">
        <v>5478</v>
      </c>
      <c r="H25" s="3302" t="s">
        <v>5479</v>
      </c>
      <c r="I25" s="1921" t="s">
        <v>5253</v>
      </c>
      <c r="J25" s="1902" t="s">
        <v>19</v>
      </c>
      <c r="K25" s="3171" t="s">
        <v>5325</v>
      </c>
      <c r="L25" s="3303" t="s">
        <v>5480</v>
      </c>
      <c r="M25" s="3050">
        <v>1284</v>
      </c>
      <c r="N25" s="2915" t="s">
        <v>5481</v>
      </c>
      <c r="O25" s="1902"/>
      <c r="P25" s="1745"/>
      <c r="Q25" s="3265">
        <v>1</v>
      </c>
      <c r="R25" s="2150"/>
      <c r="S25" s="2150"/>
      <c r="T25" s="2150"/>
      <c r="U25" s="2150"/>
      <c r="V25" s="2150"/>
      <c r="W25" s="2150"/>
      <c r="X25" s="2150"/>
      <c r="Y25" s="2150"/>
      <c r="Z25" s="2150"/>
      <c r="AA25" s="2150"/>
      <c r="AB25" s="2150"/>
      <c r="AC25" s="2150"/>
      <c r="AD25" s="2150"/>
      <c r="AE25" s="2150"/>
      <c r="AF25" s="2150"/>
      <c r="AG25" s="2150"/>
      <c r="AH25" s="2150"/>
    </row>
    <row r="26" spans="1:34" s="1548" customFormat="1" ht="58.5" customHeight="1">
      <c r="A26" s="3744"/>
      <c r="B26" s="3210" t="str">
        <f t="shared" si="0"/>
        <v>2000003188</v>
      </c>
      <c r="C26" s="3023" t="s">
        <v>5476</v>
      </c>
      <c r="D26" s="1826"/>
      <c r="E26" s="3035"/>
      <c r="F26" s="3023" t="s">
        <v>89</v>
      </c>
      <c r="G26" s="1495"/>
      <c r="H26" s="1495"/>
      <c r="I26" s="1495" t="s">
        <v>5253</v>
      </c>
      <c r="J26" s="1493" t="s">
        <v>19</v>
      </c>
      <c r="K26" s="1495" t="s">
        <v>5325</v>
      </c>
      <c r="L26" s="2880" t="s">
        <v>5482</v>
      </c>
      <c r="M26" s="3051">
        <v>1800</v>
      </c>
      <c r="N26" s="2915" t="s">
        <v>5483</v>
      </c>
      <c r="O26" s="1493">
        <v>1700</v>
      </c>
      <c r="P26" s="2590"/>
      <c r="Q26" s="3265">
        <v>1</v>
      </c>
      <c r="R26" s="1790"/>
      <c r="S26" s="1790"/>
    </row>
    <row r="27" spans="1:34" s="1548" customFormat="1" ht="58.5" customHeight="1">
      <c r="A27" s="3744"/>
      <c r="B27" s="3210" t="str">
        <f t="shared" si="0"/>
        <v>2000003186</v>
      </c>
      <c r="C27" s="3023" t="s">
        <v>5476</v>
      </c>
      <c r="D27" s="1826"/>
      <c r="E27" s="3035"/>
      <c r="F27" s="3023" t="s">
        <v>89</v>
      </c>
      <c r="G27" s="1495"/>
      <c r="H27" s="1495"/>
      <c r="I27" s="1495" t="s">
        <v>5253</v>
      </c>
      <c r="J27" s="1493" t="s">
        <v>19</v>
      </c>
      <c r="K27" s="1495" t="s">
        <v>5325</v>
      </c>
      <c r="L27" s="2880" t="s">
        <v>5484</v>
      </c>
      <c r="M27" s="3051">
        <v>100</v>
      </c>
      <c r="N27" s="2915" t="s">
        <v>5214</v>
      </c>
      <c r="O27" s="3023"/>
      <c r="P27" s="2590"/>
      <c r="Q27" s="3265">
        <v>1</v>
      </c>
      <c r="R27" s="1790"/>
      <c r="S27" s="1790"/>
      <c r="T27" s="1493"/>
      <c r="U27" s="1493"/>
      <c r="V27" s="1493"/>
    </row>
    <row r="28" spans="1:34" s="1467" customFormat="1" ht="58.5" customHeight="1">
      <c r="A28" s="3744"/>
      <c r="B28" s="3210" t="str">
        <f t="shared" si="0"/>
        <v>2000003254</v>
      </c>
      <c r="C28" s="3023" t="s">
        <v>5476</v>
      </c>
      <c r="D28" s="1494"/>
      <c r="E28" s="3035"/>
      <c r="F28" s="3023" t="s">
        <v>89</v>
      </c>
      <c r="G28" s="1495"/>
      <c r="H28" s="1495"/>
      <c r="I28" s="1495" t="s">
        <v>5253</v>
      </c>
      <c r="J28" s="1493" t="s">
        <v>19</v>
      </c>
      <c r="K28" s="1495" t="s">
        <v>5325</v>
      </c>
      <c r="L28" s="3266" t="s">
        <v>5485</v>
      </c>
      <c r="M28" s="3051">
        <v>131</v>
      </c>
      <c r="N28" s="2915" t="s">
        <v>5214</v>
      </c>
      <c r="O28" s="1493"/>
      <c r="P28" s="2590"/>
      <c r="Q28" s="3265">
        <v>1</v>
      </c>
      <c r="R28" s="1548"/>
      <c r="S28" s="1548"/>
      <c r="T28" s="1548"/>
      <c r="U28" s="1548"/>
      <c r="V28" s="1548"/>
      <c r="W28" s="1548"/>
      <c r="X28" s="1548"/>
      <c r="Y28" s="1548"/>
      <c r="Z28" s="1548"/>
      <c r="AA28" s="1548"/>
      <c r="AB28" s="1548"/>
      <c r="AC28" s="1548"/>
      <c r="AD28" s="1548"/>
      <c r="AE28" s="1548"/>
      <c r="AF28" s="1548"/>
      <c r="AG28" s="1548"/>
      <c r="AH28" s="1548"/>
    </row>
    <row r="29" spans="1:34" s="1548" customFormat="1" ht="58.5" customHeight="1">
      <c r="A29" s="3246">
        <v>8</v>
      </c>
      <c r="B29" s="3210" t="str">
        <f t="shared" si="0"/>
        <v>2000003380</v>
      </c>
      <c r="C29" s="3033" t="s">
        <v>3460</v>
      </c>
      <c r="D29" s="3238">
        <v>4000</v>
      </c>
      <c r="E29" s="3035" t="s">
        <v>5443</v>
      </c>
      <c r="F29" s="3023" t="s">
        <v>61</v>
      </c>
      <c r="G29" s="3021" t="s">
        <v>5486</v>
      </c>
      <c r="H29" s="3021"/>
      <c r="I29" s="1495" t="s">
        <v>5253</v>
      </c>
      <c r="J29" s="3023" t="s">
        <v>19</v>
      </c>
      <c r="K29" s="3021" t="s">
        <v>253</v>
      </c>
      <c r="L29" s="2880" t="s">
        <v>5487</v>
      </c>
      <c r="M29" s="3247">
        <v>4000</v>
      </c>
      <c r="N29" s="2915" t="s">
        <v>5440</v>
      </c>
      <c r="O29" s="3023">
        <v>1000</v>
      </c>
      <c r="P29" s="3248"/>
      <c r="Q29" s="3358">
        <v>1</v>
      </c>
    </row>
    <row r="30" spans="1:34" s="2150" customFormat="1" ht="70.5" customHeight="1">
      <c r="A30" s="3728">
        <v>9</v>
      </c>
      <c r="B30" s="3210" t="str">
        <f t="shared" si="0"/>
        <v>2000003378</v>
      </c>
      <c r="C30" s="3033" t="s">
        <v>3495</v>
      </c>
      <c r="D30" s="3237">
        <v>9280</v>
      </c>
      <c r="E30" s="3035" t="s">
        <v>5488</v>
      </c>
      <c r="F30" s="3033" t="s">
        <v>3416</v>
      </c>
      <c r="G30" s="1921" t="s">
        <v>5489</v>
      </c>
      <c r="H30" s="1921" t="s">
        <v>5427</v>
      </c>
      <c r="I30" s="3035" t="s">
        <v>5253</v>
      </c>
      <c r="J30" s="3033" t="s">
        <v>19</v>
      </c>
      <c r="K30" s="3035" t="s">
        <v>63</v>
      </c>
      <c r="L30" s="3262" t="s">
        <v>5490</v>
      </c>
      <c r="M30" s="3305">
        <v>375</v>
      </c>
      <c r="N30" s="2196" t="s">
        <v>5440</v>
      </c>
      <c r="O30" s="3033"/>
      <c r="P30" s="3229"/>
      <c r="Q30" s="3358">
        <v>1</v>
      </c>
    </row>
    <row r="31" spans="1:34" s="1467" customFormat="1" ht="58.5" customHeight="1">
      <c r="A31" s="3728"/>
      <c r="B31" s="3210" t="str">
        <f t="shared" si="0"/>
        <v>2000003375</v>
      </c>
      <c r="C31" s="3023" t="s">
        <v>3495</v>
      </c>
      <c r="D31" s="3238"/>
      <c r="E31" s="3035"/>
      <c r="F31" s="3023" t="s">
        <v>3416</v>
      </c>
      <c r="G31" s="3021"/>
      <c r="H31" s="3021"/>
      <c r="I31" s="3035" t="s">
        <v>5253</v>
      </c>
      <c r="J31" s="1493" t="s">
        <v>19</v>
      </c>
      <c r="K31" s="3174" t="s">
        <v>63</v>
      </c>
      <c r="L31" s="3243" t="s">
        <v>5491</v>
      </c>
      <c r="M31" s="3054">
        <v>1044</v>
      </c>
      <c r="N31" s="2915" t="s">
        <v>5257</v>
      </c>
      <c r="O31" s="3023"/>
      <c r="P31" s="3024"/>
      <c r="Q31" s="3265">
        <v>1</v>
      </c>
    </row>
    <row r="32" spans="1:34" s="2150" customFormat="1" ht="58.5" customHeight="1">
      <c r="A32" s="3728"/>
      <c r="B32" s="3210" t="str">
        <f t="shared" si="0"/>
        <v>2000003413</v>
      </c>
      <c r="C32" s="3023" t="s">
        <v>3495</v>
      </c>
      <c r="D32" s="3237"/>
      <c r="E32" s="3035"/>
      <c r="F32" s="3023" t="s">
        <v>3416</v>
      </c>
      <c r="G32" s="3035"/>
      <c r="H32" s="3035"/>
      <c r="I32" s="3035" t="s">
        <v>5253</v>
      </c>
      <c r="J32" s="1902" t="s">
        <v>19</v>
      </c>
      <c r="K32" s="3171" t="s">
        <v>63</v>
      </c>
      <c r="L32" s="3207" t="s">
        <v>5492</v>
      </c>
      <c r="M32" s="3050">
        <v>2600</v>
      </c>
      <c r="N32" s="2196" t="s">
        <v>5440</v>
      </c>
      <c r="O32" s="3033"/>
      <c r="P32" s="3037"/>
      <c r="Q32" s="3358">
        <v>1</v>
      </c>
      <c r="R32" s="2643"/>
      <c r="S32" s="2643"/>
      <c r="T32" s="2643"/>
      <c r="U32" s="2643"/>
      <c r="V32" s="2643"/>
      <c r="W32" s="2643"/>
      <c r="X32" s="2643"/>
      <c r="Y32" s="2643"/>
      <c r="Z32" s="2643"/>
      <c r="AA32" s="2643"/>
      <c r="AB32" s="2643"/>
      <c r="AC32" s="2643"/>
    </row>
    <row r="33" spans="1:35" s="1548" customFormat="1" ht="58.5" customHeight="1">
      <c r="A33" s="3728"/>
      <c r="B33" s="3210" t="str">
        <f t="shared" si="0"/>
        <v>2000003386</v>
      </c>
      <c r="C33" s="3023" t="s">
        <v>3495</v>
      </c>
      <c r="D33" s="2757"/>
      <c r="F33" s="3023" t="s">
        <v>3416</v>
      </c>
      <c r="H33" s="3021"/>
      <c r="I33" s="3308" t="s">
        <v>5253</v>
      </c>
      <c r="J33" s="3023" t="s">
        <v>19</v>
      </c>
      <c r="K33" s="3021" t="s">
        <v>63</v>
      </c>
      <c r="L33" s="2880" t="s">
        <v>5493</v>
      </c>
      <c r="M33" s="3054">
        <v>500</v>
      </c>
      <c r="N33" s="2196" t="s">
        <v>5440</v>
      </c>
      <c r="O33" s="3023"/>
      <c r="P33" s="3138"/>
      <c r="Q33" s="3358">
        <v>1</v>
      </c>
      <c r="R33" s="1467"/>
      <c r="S33" s="1467"/>
      <c r="T33" s="1467"/>
      <c r="U33" s="1467"/>
      <c r="V33" s="1467"/>
      <c r="W33" s="1467"/>
      <c r="X33" s="1467"/>
      <c r="Y33" s="1467"/>
      <c r="Z33" s="1467"/>
      <c r="AA33" s="1467"/>
      <c r="AB33" s="1467"/>
      <c r="AC33" s="1467"/>
    </row>
    <row r="34" spans="1:35" s="1467" customFormat="1" ht="58.5" customHeight="1">
      <c r="A34" s="3728"/>
      <c r="B34" s="3210" t="str">
        <f t="shared" si="0"/>
        <v>2000003369</v>
      </c>
      <c r="C34" s="3023" t="s">
        <v>5494</v>
      </c>
      <c r="D34" s="1494"/>
      <c r="E34" s="1495"/>
      <c r="F34" s="3023" t="s">
        <v>3416</v>
      </c>
      <c r="G34" s="1495"/>
      <c r="H34" s="1495"/>
      <c r="I34" s="1624" t="s">
        <v>5253</v>
      </c>
      <c r="J34" s="1493" t="s">
        <v>19</v>
      </c>
      <c r="K34" s="1495" t="s">
        <v>123</v>
      </c>
      <c r="L34" s="1547" t="s">
        <v>5495</v>
      </c>
      <c r="M34" s="3051">
        <v>1700</v>
      </c>
      <c r="N34" s="2196" t="s">
        <v>5440</v>
      </c>
      <c r="O34" s="1493"/>
      <c r="P34" s="3257"/>
      <c r="Q34" s="3358">
        <v>1</v>
      </c>
      <c r="R34" s="3258"/>
      <c r="S34" s="3070"/>
      <c r="T34" s="1474"/>
      <c r="U34" s="3259"/>
      <c r="V34" s="1634"/>
      <c r="W34" s="1474"/>
      <c r="X34" s="2024"/>
      <c r="Y34" s="2024"/>
      <c r="Z34" s="1493"/>
      <c r="AA34" s="1495"/>
      <c r="AB34" s="1551"/>
      <c r="AC34" s="3260"/>
    </row>
    <row r="35" spans="1:35" s="2150" customFormat="1" ht="58.5" customHeight="1">
      <c r="A35" s="3728"/>
      <c r="B35" s="3210" t="str">
        <f t="shared" si="0"/>
        <v>2000003309</v>
      </c>
      <c r="C35" s="3023" t="s">
        <v>5494</v>
      </c>
      <c r="D35" s="3238"/>
      <c r="E35" s="3035"/>
      <c r="F35" s="3023" t="s">
        <v>3416</v>
      </c>
      <c r="G35" s="3021"/>
      <c r="H35" s="3021"/>
      <c r="I35" s="3021" t="s">
        <v>5253</v>
      </c>
      <c r="J35" s="3023" t="s">
        <v>19</v>
      </c>
      <c r="K35" s="3021" t="s">
        <v>123</v>
      </c>
      <c r="L35" s="2880" t="s">
        <v>5496</v>
      </c>
      <c r="M35" s="3054">
        <v>3000</v>
      </c>
      <c r="N35" s="2196" t="s">
        <v>5454</v>
      </c>
      <c r="O35" s="3023"/>
      <c r="P35" s="3138"/>
      <c r="Q35" s="3358">
        <v>1</v>
      </c>
      <c r="R35" s="1467"/>
      <c r="S35" s="1467"/>
      <c r="T35" s="1467"/>
      <c r="U35" s="1467"/>
      <c r="V35" s="1467"/>
      <c r="W35" s="1467"/>
      <c r="X35" s="1467"/>
      <c r="Y35" s="1467"/>
      <c r="Z35" s="1467"/>
      <c r="AA35" s="1467"/>
      <c r="AB35" s="1467"/>
    </row>
    <row r="36" spans="1:35" s="1467" customFormat="1" ht="58.5" customHeight="1">
      <c r="A36" s="3728">
        <v>10</v>
      </c>
      <c r="B36" s="3210" t="str">
        <f t="shared" ref="B36:B67" si="1">TEXT(LEFT(L36,10),"0000000000")</f>
        <v>2000003364</v>
      </c>
      <c r="C36" s="3033" t="s">
        <v>3275</v>
      </c>
      <c r="D36" s="2607">
        <v>10500</v>
      </c>
      <c r="E36" s="3035" t="s">
        <v>5497</v>
      </c>
      <c r="F36" s="3033" t="s">
        <v>3401</v>
      </c>
      <c r="G36" s="1921" t="s">
        <v>5498</v>
      </c>
      <c r="H36" s="1921" t="s">
        <v>5499</v>
      </c>
      <c r="I36" s="1921" t="s">
        <v>5253</v>
      </c>
      <c r="J36" s="3033" t="s">
        <v>19</v>
      </c>
      <c r="K36" s="1921" t="s">
        <v>123</v>
      </c>
      <c r="L36" s="2194" t="s">
        <v>5500</v>
      </c>
      <c r="M36" s="3055">
        <v>2040</v>
      </c>
      <c r="N36" s="2915" t="s">
        <v>5257</v>
      </c>
      <c r="O36" s="1902"/>
      <c r="P36" s="1745"/>
      <c r="Q36" s="3265">
        <v>1</v>
      </c>
      <c r="R36" s="2643"/>
      <c r="S36" s="2643"/>
      <c r="T36" s="2643"/>
      <c r="U36" s="2643"/>
      <c r="V36" s="2643"/>
    </row>
    <row r="37" spans="1:35" s="1548" customFormat="1" ht="58.5" customHeight="1">
      <c r="A37" s="3728"/>
      <c r="B37" s="3210" t="str">
        <f t="shared" si="1"/>
        <v>2000003308</v>
      </c>
      <c r="C37" s="3023" t="s">
        <v>3275</v>
      </c>
      <c r="D37" s="3238"/>
      <c r="E37" s="3035"/>
      <c r="F37" s="3023" t="s">
        <v>3401</v>
      </c>
      <c r="G37" s="3021"/>
      <c r="H37" s="3021"/>
      <c r="I37" s="3021" t="s">
        <v>5253</v>
      </c>
      <c r="J37" s="3023" t="s">
        <v>19</v>
      </c>
      <c r="K37" s="3021" t="s">
        <v>123</v>
      </c>
      <c r="L37" s="2880" t="s">
        <v>5501</v>
      </c>
      <c r="M37" s="3054">
        <v>1096</v>
      </c>
      <c r="N37" s="2196" t="s">
        <v>5454</v>
      </c>
      <c r="O37" s="3023"/>
      <c r="P37" s="3138"/>
      <c r="Q37" s="3358">
        <v>1</v>
      </c>
      <c r="R37" s="1467"/>
      <c r="S37" s="1467"/>
      <c r="T37" s="1467"/>
      <c r="U37" s="1467"/>
      <c r="V37" s="1467"/>
      <c r="W37" s="1467"/>
      <c r="X37" s="1467"/>
      <c r="Y37" s="1467"/>
      <c r="Z37" s="1467"/>
      <c r="AA37" s="1467"/>
      <c r="AB37" s="1467"/>
      <c r="AC37" s="1467"/>
    </row>
    <row r="38" spans="1:35" s="1467" customFormat="1" ht="58.5" customHeight="1">
      <c r="A38" s="3728"/>
      <c r="B38" s="3210" t="str">
        <f t="shared" si="1"/>
        <v>2000003307</v>
      </c>
      <c r="C38" s="3023" t="s">
        <v>3275</v>
      </c>
      <c r="D38" s="3238"/>
      <c r="E38" s="3035"/>
      <c r="F38" s="3023" t="s">
        <v>3401</v>
      </c>
      <c r="G38" s="3021"/>
      <c r="H38" s="3021"/>
      <c r="I38" s="3021" t="s">
        <v>5253</v>
      </c>
      <c r="J38" s="3023" t="s">
        <v>19</v>
      </c>
      <c r="K38" s="3021" t="s">
        <v>123</v>
      </c>
      <c r="L38" s="2880" t="s">
        <v>5502</v>
      </c>
      <c r="M38" s="3054">
        <v>2375</v>
      </c>
      <c r="N38" s="2915" t="s">
        <v>5279</v>
      </c>
      <c r="O38" s="3023"/>
      <c r="P38" s="3023"/>
      <c r="Q38" s="1748">
        <v>1</v>
      </c>
      <c r="R38" s="3059"/>
    </row>
    <row r="39" spans="1:35" s="1467" customFormat="1" ht="58.5" customHeight="1">
      <c r="A39" s="3728"/>
      <c r="B39" s="3210" t="str">
        <f t="shared" si="1"/>
        <v>2000003369</v>
      </c>
      <c r="C39" s="3023" t="s">
        <v>3275</v>
      </c>
      <c r="D39" s="1494"/>
      <c r="E39" s="1495"/>
      <c r="F39" s="3023" t="s">
        <v>3401</v>
      </c>
      <c r="G39" s="1495"/>
      <c r="H39" s="1495"/>
      <c r="I39" s="1624" t="s">
        <v>5253</v>
      </c>
      <c r="J39" s="1493" t="s">
        <v>19</v>
      </c>
      <c r="K39" s="1495" t="s">
        <v>123</v>
      </c>
      <c r="L39" s="1547" t="s">
        <v>5503</v>
      </c>
      <c r="M39" s="3051">
        <v>4200</v>
      </c>
      <c r="N39" s="2196" t="s">
        <v>5440</v>
      </c>
      <c r="O39" s="1493"/>
      <c r="P39" s="3257"/>
      <c r="Q39" s="3358">
        <v>1</v>
      </c>
      <c r="R39" s="3258"/>
      <c r="S39" s="3070"/>
      <c r="T39" s="1474"/>
      <c r="U39" s="3259"/>
      <c r="V39" s="1634"/>
      <c r="W39" s="1474"/>
      <c r="X39" s="2024"/>
      <c r="Y39" s="2024"/>
      <c r="Z39" s="1493"/>
      <c r="AA39" s="1495"/>
      <c r="AB39" s="1551"/>
      <c r="AC39" s="3260"/>
    </row>
    <row r="40" spans="1:35" s="1548" customFormat="1" ht="58.5" customHeight="1">
      <c r="A40" s="3728"/>
      <c r="B40" s="3210" t="str">
        <f t="shared" si="1"/>
        <v>2000003240</v>
      </c>
      <c r="C40" s="3023" t="s">
        <v>3275</v>
      </c>
      <c r="D40" s="2607"/>
      <c r="E40" s="1921"/>
      <c r="F40" s="3023" t="s">
        <v>3401</v>
      </c>
      <c r="G40" s="1921"/>
      <c r="H40" s="1921"/>
      <c r="I40" s="3112" t="s">
        <v>5253</v>
      </c>
      <c r="J40" s="1902" t="s">
        <v>19</v>
      </c>
      <c r="K40" s="1921" t="s">
        <v>4348</v>
      </c>
      <c r="L40" s="2912" t="s">
        <v>5504</v>
      </c>
      <c r="M40" s="3055">
        <v>170</v>
      </c>
      <c r="N40" s="2196" t="s">
        <v>5440</v>
      </c>
      <c r="O40" s="3023"/>
      <c r="P40" s="3138"/>
      <c r="Q40" s="3358" t="s">
        <v>5210</v>
      </c>
      <c r="R40" s="1467"/>
      <c r="S40" s="1467"/>
      <c r="T40" s="1467"/>
      <c r="U40" s="1467"/>
      <c r="V40" s="1467"/>
      <c r="W40" s="1467"/>
      <c r="X40" s="1467"/>
      <c r="Y40" s="1467"/>
      <c r="Z40" s="1467"/>
      <c r="AA40" s="1467"/>
      <c r="AB40" s="1467"/>
      <c r="AC40" s="1467"/>
    </row>
    <row r="41" spans="1:35" s="1548" customFormat="1" ht="58.5" customHeight="1">
      <c r="A41" s="3728"/>
      <c r="B41" s="3210" t="str">
        <f t="shared" si="1"/>
        <v>2000003242</v>
      </c>
      <c r="C41" s="3023" t="s">
        <v>3275</v>
      </c>
      <c r="D41" s="1494"/>
      <c r="E41" s="1921"/>
      <c r="F41" s="3023" t="s">
        <v>3401</v>
      </c>
      <c r="G41" s="1495"/>
      <c r="H41" s="1495"/>
      <c r="I41" s="1495" t="s">
        <v>5253</v>
      </c>
      <c r="J41" s="1493" t="s">
        <v>19</v>
      </c>
      <c r="K41" s="1495" t="s">
        <v>4348</v>
      </c>
      <c r="L41" s="2880" t="s">
        <v>5505</v>
      </c>
      <c r="M41" s="3051">
        <v>620</v>
      </c>
      <c r="N41" s="2196" t="s">
        <v>5440</v>
      </c>
      <c r="O41" s="3023"/>
      <c r="P41" s="3138"/>
      <c r="Q41" s="3358" t="s">
        <v>5210</v>
      </c>
      <c r="R41" s="1467"/>
      <c r="S41" s="1467"/>
      <c r="T41" s="1467"/>
      <c r="U41" s="1467"/>
      <c r="V41" s="1467"/>
      <c r="W41" s="1467"/>
      <c r="X41" s="1467"/>
      <c r="Y41" s="1467"/>
      <c r="Z41" s="1467"/>
      <c r="AA41" s="1467"/>
      <c r="AB41" s="1467"/>
      <c r="AC41" s="1467"/>
    </row>
    <row r="42" spans="1:35" s="2643" customFormat="1" ht="58.5" customHeight="1">
      <c r="A42" s="3729">
        <v>11</v>
      </c>
      <c r="B42" s="3291" t="str">
        <f t="shared" si="1"/>
        <v>2200002219</v>
      </c>
      <c r="C42" s="3294" t="s">
        <v>193</v>
      </c>
      <c r="D42" s="3237">
        <v>11900</v>
      </c>
      <c r="E42" s="3306" t="s">
        <v>5497</v>
      </c>
      <c r="F42" s="3033" t="s">
        <v>3416</v>
      </c>
      <c r="G42" s="1921" t="s">
        <v>5506</v>
      </c>
      <c r="H42" s="1921" t="s">
        <v>5507</v>
      </c>
      <c r="I42" s="3112" t="s">
        <v>5253</v>
      </c>
      <c r="J42" s="1902" t="s">
        <v>19</v>
      </c>
      <c r="K42" s="1921" t="s">
        <v>1138</v>
      </c>
      <c r="L42" s="3207" t="s">
        <v>5508</v>
      </c>
      <c r="M42" s="3054">
        <v>258</v>
      </c>
      <c r="N42" s="3035" t="s">
        <v>5466</v>
      </c>
      <c r="O42" s="1902"/>
      <c r="P42" s="1911"/>
      <c r="Q42" s="3370" t="s">
        <v>5210</v>
      </c>
      <c r="R42" s="2263"/>
    </row>
    <row r="43" spans="1:35" s="2643" customFormat="1" ht="58.5" customHeight="1">
      <c r="A43" s="3730"/>
      <c r="B43" s="3291" t="str">
        <f t="shared" si="1"/>
        <v>2200002212</v>
      </c>
      <c r="C43" s="3021" t="s">
        <v>193</v>
      </c>
      <c r="D43" s="3273"/>
      <c r="E43" s="3021"/>
      <c r="F43" s="3023" t="s">
        <v>3416</v>
      </c>
      <c r="G43" s="1495"/>
      <c r="H43" s="1495"/>
      <c r="I43" s="1495" t="s">
        <v>5460</v>
      </c>
      <c r="J43" s="1493" t="s">
        <v>19</v>
      </c>
      <c r="K43" s="1495" t="s">
        <v>1138</v>
      </c>
      <c r="L43" s="1600" t="s">
        <v>5509</v>
      </c>
      <c r="M43" s="2357">
        <v>1600</v>
      </c>
      <c r="N43" s="3035" t="s">
        <v>5257</v>
      </c>
      <c r="O43" s="1902"/>
      <c r="P43" s="1911"/>
      <c r="Q43" s="3370" t="s">
        <v>5210</v>
      </c>
      <c r="R43" s="2263"/>
    </row>
    <row r="44" spans="1:35" s="2643" customFormat="1" ht="58.5" customHeight="1">
      <c r="A44" s="3730"/>
      <c r="B44" s="3291" t="str">
        <f t="shared" si="1"/>
        <v>2000003355</v>
      </c>
      <c r="C44" s="3021" t="s">
        <v>193</v>
      </c>
      <c r="D44" s="3273"/>
      <c r="E44" s="3021"/>
      <c r="F44" s="3023" t="s">
        <v>3416</v>
      </c>
      <c r="G44" s="1495"/>
      <c r="H44" s="1495"/>
      <c r="I44" s="1495" t="s">
        <v>5460</v>
      </c>
      <c r="J44" s="1493" t="s">
        <v>19</v>
      </c>
      <c r="K44" s="1495" t="s">
        <v>1138</v>
      </c>
      <c r="L44" s="3243" t="s">
        <v>5510</v>
      </c>
      <c r="M44" s="3054">
        <v>9200</v>
      </c>
      <c r="N44" s="3035" t="s">
        <v>5257</v>
      </c>
      <c r="O44" s="1493"/>
      <c r="P44" s="1547"/>
      <c r="Q44" s="3370" t="s">
        <v>5210</v>
      </c>
      <c r="R44" s="1545"/>
      <c r="S44" s="1467"/>
      <c r="T44" s="1467"/>
      <c r="U44" s="1467"/>
      <c r="V44" s="1467"/>
      <c r="W44" s="1467"/>
      <c r="X44" s="1467"/>
      <c r="Y44" s="1467"/>
      <c r="Z44" s="1467"/>
      <c r="AA44" s="1467"/>
      <c r="AB44" s="1467"/>
      <c r="AC44" s="1467"/>
      <c r="AD44" s="1467"/>
      <c r="AE44" s="1467"/>
      <c r="AF44" s="1467"/>
      <c r="AG44" s="1467"/>
      <c r="AH44" s="1467"/>
      <c r="AI44" s="1467"/>
    </row>
    <row r="45" spans="1:35" s="1467" customFormat="1" ht="114.75" customHeight="1">
      <c r="A45" s="3731"/>
      <c r="B45" s="3291" t="str">
        <f t="shared" si="1"/>
        <v>2000003387</v>
      </c>
      <c r="C45" s="3021" t="s">
        <v>193</v>
      </c>
      <c r="D45" s="3273"/>
      <c r="E45" s="3021"/>
      <c r="F45" s="3023" t="s">
        <v>3416</v>
      </c>
      <c r="G45" s="1495"/>
      <c r="H45" s="1495"/>
      <c r="I45" s="3075" t="s">
        <v>5253</v>
      </c>
      <c r="J45" s="1493" t="s">
        <v>19</v>
      </c>
      <c r="K45" s="1495" t="s">
        <v>1138</v>
      </c>
      <c r="L45" s="3274" t="s">
        <v>5511</v>
      </c>
      <c r="M45" s="3247">
        <v>800</v>
      </c>
      <c r="N45" s="1921" t="s">
        <v>5454</v>
      </c>
      <c r="O45" s="1493"/>
      <c r="P45" s="1547"/>
      <c r="Q45" s="3370" t="s">
        <v>5210</v>
      </c>
      <c r="R45" s="1545"/>
    </row>
    <row r="46" spans="1:35" s="2122" customFormat="1" ht="58.5" customHeight="1">
      <c r="A46" s="3738">
        <v>12</v>
      </c>
      <c r="B46" s="3291" t="str">
        <f t="shared" si="1"/>
        <v>2000003311</v>
      </c>
      <c r="C46" s="3039" t="s">
        <v>5512</v>
      </c>
      <c r="D46" s="1868">
        <v>4350</v>
      </c>
      <c r="E46" s="2118" t="s">
        <v>5488</v>
      </c>
      <c r="F46" s="1630" t="s">
        <v>3416</v>
      </c>
      <c r="G46" s="1851" t="s">
        <v>5513</v>
      </c>
      <c r="H46" s="3168" t="s">
        <v>5514</v>
      </c>
      <c r="I46" s="1851" t="s">
        <v>5253</v>
      </c>
      <c r="J46" s="3042" t="s">
        <v>19</v>
      </c>
      <c r="K46" s="1851" t="s">
        <v>74</v>
      </c>
      <c r="L46" s="1628" t="s">
        <v>5515</v>
      </c>
      <c r="M46" s="3141">
        <v>2866</v>
      </c>
      <c r="N46" s="2196" t="s">
        <v>5454</v>
      </c>
      <c r="O46" s="1630"/>
      <c r="P46" s="2603"/>
      <c r="Q46" s="3371">
        <v>1</v>
      </c>
      <c r="R46" s="1882"/>
      <c r="S46" s="1882"/>
      <c r="T46" s="1883"/>
      <c r="U46" s="1883"/>
      <c r="V46" s="1883"/>
      <c r="W46" s="1883"/>
      <c r="X46" s="1883"/>
      <c r="Y46" s="1883"/>
      <c r="Z46" s="1883"/>
      <c r="AA46" s="1883"/>
      <c r="AB46" s="1883"/>
      <c r="AC46" s="1883"/>
    </row>
    <row r="47" spans="1:35" s="2643" customFormat="1" ht="58.5" customHeight="1">
      <c r="A47" s="3738"/>
      <c r="B47" s="3210" t="str">
        <f t="shared" si="1"/>
        <v>2200002221</v>
      </c>
      <c r="C47" s="3023" t="s">
        <v>5512</v>
      </c>
      <c r="D47" s="2483"/>
      <c r="E47" s="1495"/>
      <c r="F47" s="1493" t="s">
        <v>3416</v>
      </c>
      <c r="G47" s="1495"/>
      <c r="H47" s="1495"/>
      <c r="I47" s="1495" t="s">
        <v>5253</v>
      </c>
      <c r="J47" s="1493" t="s">
        <v>19</v>
      </c>
      <c r="K47" s="1495" t="s">
        <v>101</v>
      </c>
      <c r="L47" s="2880" t="s">
        <v>5446</v>
      </c>
      <c r="M47" s="3247">
        <v>1405</v>
      </c>
      <c r="N47" s="2915" t="s">
        <v>5447</v>
      </c>
      <c r="O47" s="1493"/>
      <c r="P47" s="1843"/>
      <c r="Q47" s="3358" t="s">
        <v>5210</v>
      </c>
      <c r="R47" s="3070"/>
    </row>
    <row r="48" spans="1:35" s="2150" customFormat="1" ht="58.5" customHeight="1">
      <c r="A48" s="3246">
        <v>13</v>
      </c>
      <c r="B48" s="3210" t="str">
        <f t="shared" si="1"/>
        <v>2000003402</v>
      </c>
      <c r="C48" s="3033" t="s">
        <v>3460</v>
      </c>
      <c r="D48" s="3237">
        <v>4000</v>
      </c>
      <c r="E48" s="3035" t="s">
        <v>5477</v>
      </c>
      <c r="F48" s="3033" t="s">
        <v>61</v>
      </c>
      <c r="G48" s="3035" t="s">
        <v>5516</v>
      </c>
      <c r="H48" s="3035" t="s">
        <v>5517</v>
      </c>
      <c r="I48" s="3304" t="s">
        <v>5253</v>
      </c>
      <c r="J48" s="3033" t="s">
        <v>19</v>
      </c>
      <c r="K48" s="3035" t="s">
        <v>74</v>
      </c>
      <c r="L48" s="2912" t="s">
        <v>5518</v>
      </c>
      <c r="M48" s="3305">
        <v>4000</v>
      </c>
      <c r="N48" s="2915" t="s">
        <v>5454</v>
      </c>
      <c r="O48" s="3033"/>
      <c r="P48" s="3229"/>
      <c r="Q48" s="3358">
        <v>1</v>
      </c>
    </row>
    <row r="49" spans="1:29" s="1548" customFormat="1" ht="58.5" customHeight="1">
      <c r="A49" s="3728">
        <v>14</v>
      </c>
      <c r="B49" s="3210" t="str">
        <f t="shared" si="1"/>
        <v>2000003371</v>
      </c>
      <c r="C49" s="3033" t="s">
        <v>211</v>
      </c>
      <c r="D49" s="3237">
        <v>4000</v>
      </c>
      <c r="E49" s="3035" t="s">
        <v>5477</v>
      </c>
      <c r="F49" s="3033" t="s">
        <v>61</v>
      </c>
      <c r="G49" s="3035" t="s">
        <v>5489</v>
      </c>
      <c r="H49" s="3035" t="s">
        <v>5517</v>
      </c>
      <c r="I49" s="3082" t="s">
        <v>5253</v>
      </c>
      <c r="J49" s="3033" t="s">
        <v>19</v>
      </c>
      <c r="K49" s="3035" t="s">
        <v>74</v>
      </c>
      <c r="L49" s="3307" t="s">
        <v>5519</v>
      </c>
      <c r="M49" s="3263">
        <v>1000</v>
      </c>
      <c r="N49" s="2915" t="s">
        <v>5454</v>
      </c>
      <c r="O49" s="3023"/>
      <c r="P49" s="3248"/>
      <c r="Q49" s="3358">
        <v>1</v>
      </c>
    </row>
    <row r="50" spans="1:29" s="2150" customFormat="1" ht="58.5" customHeight="1">
      <c r="A50" s="3728"/>
      <c r="B50" s="3210" t="str">
        <f t="shared" si="1"/>
        <v>2000003372</v>
      </c>
      <c r="C50" s="3023" t="s">
        <v>211</v>
      </c>
      <c r="D50" s="3238"/>
      <c r="E50" s="3021"/>
      <c r="F50" s="3023" t="s">
        <v>61</v>
      </c>
      <c r="G50" s="3021"/>
      <c r="H50" s="3021"/>
      <c r="I50" s="3075" t="s">
        <v>5253</v>
      </c>
      <c r="J50" s="3023" t="s">
        <v>19</v>
      </c>
      <c r="K50" s="3021" t="s">
        <v>74</v>
      </c>
      <c r="L50" s="3268" t="s">
        <v>5453</v>
      </c>
      <c r="M50" s="3269">
        <v>1000</v>
      </c>
      <c r="N50" s="2915" t="s">
        <v>5454</v>
      </c>
      <c r="O50" s="3033"/>
      <c r="P50" s="3229"/>
      <c r="Q50" s="3358">
        <v>1</v>
      </c>
    </row>
    <row r="51" spans="1:29" s="2150" customFormat="1" ht="58.5" customHeight="1">
      <c r="A51" s="3728"/>
      <c r="B51" s="3210" t="str">
        <f t="shared" si="1"/>
        <v>2000003389</v>
      </c>
      <c r="C51" s="3023" t="s">
        <v>211</v>
      </c>
      <c r="D51" s="3238"/>
      <c r="E51" s="3021"/>
      <c r="F51" s="3023" t="s">
        <v>61</v>
      </c>
      <c r="G51" s="3021"/>
      <c r="H51" s="3021"/>
      <c r="I51" s="3075" t="s">
        <v>5253</v>
      </c>
      <c r="J51" s="3023" t="s">
        <v>19</v>
      </c>
      <c r="K51" s="3021" t="s">
        <v>74</v>
      </c>
      <c r="L51" s="3268" t="s">
        <v>5520</v>
      </c>
      <c r="M51" s="3269">
        <v>1700</v>
      </c>
      <c r="N51" s="2915" t="s">
        <v>5456</v>
      </c>
      <c r="O51" s="3033"/>
      <c r="P51" s="3229"/>
      <c r="Q51" s="3358">
        <v>1</v>
      </c>
    </row>
    <row r="52" spans="1:29" s="2150" customFormat="1" ht="58.5" customHeight="1">
      <c r="A52" s="3728"/>
      <c r="B52" s="3210" t="str">
        <f t="shared" si="1"/>
        <v>2000003390</v>
      </c>
      <c r="C52" s="3023" t="s">
        <v>211</v>
      </c>
      <c r="D52" s="3238"/>
      <c r="E52" s="3021"/>
      <c r="F52" s="3023" t="s">
        <v>61</v>
      </c>
      <c r="G52" s="3021"/>
      <c r="H52" s="3021"/>
      <c r="I52" s="3075" t="s">
        <v>5253</v>
      </c>
      <c r="J52" s="3023" t="s">
        <v>19</v>
      </c>
      <c r="K52" s="3021" t="s">
        <v>74</v>
      </c>
      <c r="L52" s="3268" t="s">
        <v>5521</v>
      </c>
      <c r="M52" s="3269">
        <v>480</v>
      </c>
      <c r="N52" s="2915" t="s">
        <v>5522</v>
      </c>
      <c r="O52" s="3033"/>
      <c r="P52" s="3229"/>
      <c r="Q52" s="3358">
        <v>1</v>
      </c>
    </row>
    <row r="53" spans="1:29" s="2150" customFormat="1" ht="58.5" customHeight="1">
      <c r="A53" s="3728">
        <v>15</v>
      </c>
      <c r="B53" s="3210" t="str">
        <f t="shared" si="1"/>
        <v>2000003383</v>
      </c>
      <c r="C53" s="3319" t="s">
        <v>3115</v>
      </c>
      <c r="D53" s="3320">
        <v>9800</v>
      </c>
      <c r="E53" s="3035" t="s">
        <v>5523</v>
      </c>
      <c r="F53" s="3033" t="s">
        <v>16</v>
      </c>
      <c r="G53" s="3035" t="s">
        <v>5524</v>
      </c>
      <c r="H53" s="3040" t="s">
        <v>5525</v>
      </c>
      <c r="I53" s="3021" t="s">
        <v>5253</v>
      </c>
      <c r="J53" s="3033" t="s">
        <v>19</v>
      </c>
      <c r="K53" s="3035" t="s">
        <v>20</v>
      </c>
      <c r="L53" s="3229" t="s">
        <v>5526</v>
      </c>
      <c r="M53" s="3305">
        <v>5800</v>
      </c>
      <c r="N53" s="2915" t="s">
        <v>5454</v>
      </c>
      <c r="O53" s="3033"/>
      <c r="P53" s="1745"/>
      <c r="Q53" s="3358">
        <v>1</v>
      </c>
      <c r="R53" s="2643"/>
      <c r="S53" s="2643"/>
      <c r="T53" s="2643"/>
      <c r="U53" s="2643"/>
      <c r="V53" s="2643"/>
      <c r="W53" s="2643"/>
      <c r="X53" s="2643"/>
      <c r="Y53" s="2643"/>
      <c r="Z53" s="2643"/>
      <c r="AA53" s="2643"/>
      <c r="AB53" s="2643"/>
      <c r="AC53" s="2643"/>
    </row>
    <row r="54" spans="1:29" s="2660" customFormat="1" ht="58.5" customHeight="1">
      <c r="A54" s="3728"/>
      <c r="B54" s="3210" t="str">
        <f t="shared" si="1"/>
        <v>2000003391</v>
      </c>
      <c r="C54" s="3321" t="s">
        <v>3115</v>
      </c>
      <c r="D54" s="3322"/>
      <c r="E54" s="3035" t="s">
        <v>5523</v>
      </c>
      <c r="F54" s="3316" t="s">
        <v>16</v>
      </c>
      <c r="G54" s="3139"/>
      <c r="H54" s="3139"/>
      <c r="I54" s="3139" t="s">
        <v>5253</v>
      </c>
      <c r="J54" s="1782" t="s">
        <v>19</v>
      </c>
      <c r="K54" s="3139" t="s">
        <v>1138</v>
      </c>
      <c r="L54" s="3266" t="s">
        <v>5527</v>
      </c>
      <c r="M54" s="3323">
        <v>4000</v>
      </c>
      <c r="N54" s="2915" t="s">
        <v>5454</v>
      </c>
      <c r="O54" s="3314"/>
      <c r="P54" s="1784"/>
      <c r="Q54" s="3318" t="s">
        <v>5210</v>
      </c>
    </row>
    <row r="55" spans="1:29" s="2676" customFormat="1" ht="58.5" customHeight="1">
      <c r="A55" s="3727">
        <v>16</v>
      </c>
      <c r="B55" s="3312" t="str">
        <f t="shared" si="1"/>
        <v>2000003404</v>
      </c>
      <c r="C55" s="2180" t="s">
        <v>3320</v>
      </c>
      <c r="D55" s="2664">
        <v>8850</v>
      </c>
      <c r="E55" s="2180" t="s">
        <v>5528</v>
      </c>
      <c r="F55" s="2667" t="s">
        <v>54</v>
      </c>
      <c r="G55" s="3313" t="s">
        <v>5529</v>
      </c>
      <c r="H55" s="2180" t="s">
        <v>5436</v>
      </c>
      <c r="I55" s="1560" t="s">
        <v>5253</v>
      </c>
      <c r="J55" s="3314" t="s">
        <v>19</v>
      </c>
      <c r="K55" s="3119" t="s">
        <v>1138</v>
      </c>
      <c r="L55" s="1862" t="s">
        <v>5530</v>
      </c>
      <c r="M55" s="2665">
        <v>3570</v>
      </c>
      <c r="N55" s="2915" t="s">
        <v>5531</v>
      </c>
      <c r="O55" s="2667"/>
      <c r="P55" s="2666"/>
      <c r="Q55" s="3318" t="s">
        <v>5210</v>
      </c>
      <c r="R55" s="2660"/>
      <c r="S55" s="2660"/>
      <c r="T55" s="2660"/>
      <c r="U55" s="2660"/>
      <c r="V55" s="2660"/>
      <c r="W55" s="2660"/>
      <c r="X55" s="2660"/>
      <c r="Y55" s="2660"/>
      <c r="Z55" s="2660"/>
      <c r="AA55" s="2660"/>
    </row>
    <row r="56" spans="1:29" s="1785" customFormat="1" ht="58.5" customHeight="1">
      <c r="A56" s="3727"/>
      <c r="B56" s="3315" t="str">
        <f t="shared" si="1"/>
        <v>2000003435</v>
      </c>
      <c r="C56" s="1780" t="s">
        <v>3320</v>
      </c>
      <c r="D56" s="1783"/>
      <c r="E56" s="1780"/>
      <c r="F56" s="1782" t="s">
        <v>54</v>
      </c>
      <c r="G56" s="1748"/>
      <c r="H56" s="1780"/>
      <c r="I56" s="1560" t="s">
        <v>5253</v>
      </c>
      <c r="J56" s="3316" t="s">
        <v>19</v>
      </c>
      <c r="K56" s="3139" t="s">
        <v>1138</v>
      </c>
      <c r="L56" s="1496" t="s">
        <v>5532</v>
      </c>
      <c r="M56" s="3317">
        <v>5280</v>
      </c>
      <c r="N56" s="2915" t="s">
        <v>5257</v>
      </c>
      <c r="O56" s="1782"/>
      <c r="P56" s="1784"/>
      <c r="Q56" s="3318" t="s">
        <v>5210</v>
      </c>
      <c r="R56" s="1821"/>
      <c r="S56" s="1821"/>
      <c r="T56" s="1821"/>
      <c r="U56" s="1821"/>
      <c r="V56" s="1821"/>
      <c r="W56" s="1821"/>
      <c r="X56" s="1821"/>
      <c r="Y56" s="1821"/>
      <c r="Z56" s="1821"/>
      <c r="AA56" s="1821"/>
    </row>
    <row r="57" spans="1:29" s="1548" customFormat="1" ht="58.5" customHeight="1">
      <c r="A57" s="3246">
        <v>17</v>
      </c>
      <c r="B57" s="3210" t="str">
        <f t="shared" si="1"/>
        <v>2000003402</v>
      </c>
      <c r="C57" s="3023" t="s">
        <v>3908</v>
      </c>
      <c r="D57" s="3238">
        <v>4300</v>
      </c>
      <c r="E57" s="3021" t="s">
        <v>5533</v>
      </c>
      <c r="F57" s="3023" t="s">
        <v>84</v>
      </c>
      <c r="G57" s="3021" t="s">
        <v>5534</v>
      </c>
      <c r="H57" s="3021" t="s">
        <v>5535</v>
      </c>
      <c r="I57" s="3329" t="s">
        <v>5253</v>
      </c>
      <c r="J57" s="3023" t="s">
        <v>19</v>
      </c>
      <c r="K57" s="3021" t="s">
        <v>74</v>
      </c>
      <c r="L57" s="2880" t="s">
        <v>5518</v>
      </c>
      <c r="M57" s="3247">
        <v>4300</v>
      </c>
      <c r="N57" s="2915" t="s">
        <v>5454</v>
      </c>
      <c r="O57" s="3023"/>
      <c r="P57" s="3248"/>
      <c r="Q57" s="3358">
        <v>1</v>
      </c>
    </row>
    <row r="58" spans="1:29" s="1548" customFormat="1" ht="70.5" customHeight="1">
      <c r="A58" s="3728">
        <v>18</v>
      </c>
      <c r="B58" s="3210" t="str">
        <f t="shared" si="1"/>
        <v>2000003380</v>
      </c>
      <c r="C58" s="3033" t="s">
        <v>4786</v>
      </c>
      <c r="D58" s="3238">
        <v>5820</v>
      </c>
      <c r="E58" s="3021" t="s">
        <v>5536</v>
      </c>
      <c r="F58" s="3023" t="s">
        <v>16</v>
      </c>
      <c r="G58" s="3021" t="s">
        <v>5537</v>
      </c>
      <c r="H58" s="3021" t="s">
        <v>5436</v>
      </c>
      <c r="I58" s="3021" t="s">
        <v>5253</v>
      </c>
      <c r="J58" s="3023" t="s">
        <v>19</v>
      </c>
      <c r="K58" s="3021" t="s">
        <v>253</v>
      </c>
      <c r="L58" s="2880" t="s">
        <v>5538</v>
      </c>
      <c r="M58" s="3247">
        <v>800</v>
      </c>
      <c r="N58" s="2196" t="s">
        <v>5440</v>
      </c>
      <c r="O58" s="3023"/>
      <c r="P58" s="3248"/>
      <c r="Q58" s="3358">
        <v>1</v>
      </c>
    </row>
    <row r="59" spans="1:29" s="1548" customFormat="1" ht="58.5" customHeight="1">
      <c r="A59" s="3728"/>
      <c r="B59" s="3324" t="str">
        <f t="shared" si="1"/>
        <v>2000003381</v>
      </c>
      <c r="C59" s="3023" t="s">
        <v>4786</v>
      </c>
      <c r="D59" s="3238"/>
      <c r="E59" s="3021"/>
      <c r="F59" s="3023" t="s">
        <v>16</v>
      </c>
      <c r="G59" s="3021"/>
      <c r="H59" s="3021"/>
      <c r="I59" s="3021" t="s">
        <v>5253</v>
      </c>
      <c r="J59" s="3023" t="s">
        <v>19</v>
      </c>
      <c r="K59" s="3021" t="s">
        <v>253</v>
      </c>
      <c r="L59" s="2880" t="s">
        <v>5539</v>
      </c>
      <c r="M59" s="3247">
        <v>5483</v>
      </c>
      <c r="N59" s="3030" t="s">
        <v>5257</v>
      </c>
      <c r="O59" s="3023"/>
      <c r="P59" s="3248"/>
      <c r="Q59" s="3358">
        <v>1</v>
      </c>
    </row>
    <row r="60" spans="1:29" s="2150" customFormat="1" ht="58.5" customHeight="1">
      <c r="A60" s="2436">
        <v>19</v>
      </c>
      <c r="B60" s="3210" t="str">
        <f t="shared" si="1"/>
        <v>2200002232</v>
      </c>
      <c r="C60" s="1902" t="s">
        <v>71</v>
      </c>
      <c r="D60" s="2179">
        <v>3720</v>
      </c>
      <c r="E60" s="1902" t="s">
        <v>5540</v>
      </c>
      <c r="F60" s="1902" t="s">
        <v>84</v>
      </c>
      <c r="G60" s="1921" t="s">
        <v>5541</v>
      </c>
      <c r="H60" s="3035" t="s">
        <v>5542</v>
      </c>
      <c r="I60" s="1921" t="s">
        <v>5253</v>
      </c>
      <c r="J60" s="1902" t="s">
        <v>19</v>
      </c>
      <c r="K60" s="1921" t="s">
        <v>101</v>
      </c>
      <c r="L60" s="3216" t="s">
        <v>5543</v>
      </c>
      <c r="M60" s="3096">
        <v>3720</v>
      </c>
      <c r="N60" s="2915" t="s">
        <v>5257</v>
      </c>
      <c r="O60" s="2429"/>
      <c r="P60" s="1745"/>
      <c r="Q60" s="3358" t="s">
        <v>5210</v>
      </c>
      <c r="AC60" s="2643"/>
    </row>
    <row r="61" spans="1:29" s="2643" customFormat="1" ht="58.5" customHeight="1">
      <c r="A61" s="3728">
        <v>20</v>
      </c>
      <c r="B61" s="3291" t="str">
        <f t="shared" si="1"/>
        <v>2000003405</v>
      </c>
      <c r="C61" s="3035" t="s">
        <v>5544</v>
      </c>
      <c r="D61" s="3330">
        <v>10650</v>
      </c>
      <c r="E61" s="3041" t="s">
        <v>5477</v>
      </c>
      <c r="F61" s="3186" t="s">
        <v>3401</v>
      </c>
      <c r="G61" s="3035" t="s">
        <v>5545</v>
      </c>
      <c r="H61" s="2261" t="s">
        <v>5436</v>
      </c>
      <c r="I61" s="1543" t="s">
        <v>5253</v>
      </c>
      <c r="J61" s="3186" t="s">
        <v>19</v>
      </c>
      <c r="K61" s="2187" t="s">
        <v>1138</v>
      </c>
      <c r="L61" s="1862" t="s">
        <v>5546</v>
      </c>
      <c r="M61" s="3317">
        <v>2950</v>
      </c>
      <c r="N61" s="2915" t="s">
        <v>5257</v>
      </c>
      <c r="O61" s="2263"/>
      <c r="P61" s="2565"/>
      <c r="Q61" s="3372" t="s">
        <v>5210</v>
      </c>
      <c r="R61" s="2626"/>
    </row>
    <row r="62" spans="1:29" s="2643" customFormat="1" ht="58.5" customHeight="1">
      <c r="A62" s="3728"/>
      <c r="B62" s="3291" t="str">
        <f t="shared" si="1"/>
        <v>2000003346</v>
      </c>
      <c r="C62" s="3021" t="s">
        <v>5544</v>
      </c>
      <c r="D62" s="3330"/>
      <c r="E62" s="3041"/>
      <c r="F62" s="3023" t="s">
        <v>3401</v>
      </c>
      <c r="G62" s="2187"/>
      <c r="H62" s="2187"/>
      <c r="I62" s="1543" t="s">
        <v>5253</v>
      </c>
      <c r="J62" s="3023" t="s">
        <v>19</v>
      </c>
      <c r="K62" s="2187" t="s">
        <v>1138</v>
      </c>
      <c r="L62" s="3243" t="s">
        <v>5547</v>
      </c>
      <c r="M62" s="3054">
        <v>700</v>
      </c>
      <c r="N62" s="2196" t="s">
        <v>5440</v>
      </c>
      <c r="O62" s="2263"/>
      <c r="P62" s="2565"/>
      <c r="Q62" s="3373" t="s">
        <v>5210</v>
      </c>
      <c r="R62" s="2626"/>
    </row>
    <row r="63" spans="1:29" s="2150" customFormat="1" ht="58.5" customHeight="1">
      <c r="A63" s="3728"/>
      <c r="B63" s="3210" t="str">
        <f t="shared" si="1"/>
        <v>2000003357</v>
      </c>
      <c r="C63" s="3325" t="s">
        <v>5544</v>
      </c>
      <c r="D63" s="3237"/>
      <c r="E63" s="3035"/>
      <c r="F63" s="3023" t="s">
        <v>3401</v>
      </c>
      <c r="G63" s="1921"/>
      <c r="H63" s="1921"/>
      <c r="I63" s="1543" t="s">
        <v>5253</v>
      </c>
      <c r="J63" s="3023" t="s">
        <v>19</v>
      </c>
      <c r="K63" s="2187" t="s">
        <v>1138</v>
      </c>
      <c r="L63" s="3243" t="s">
        <v>5548</v>
      </c>
      <c r="M63" s="3331">
        <v>7000</v>
      </c>
      <c r="N63" s="2915" t="s">
        <v>5440</v>
      </c>
      <c r="O63" s="1902"/>
      <c r="P63" s="1775"/>
      <c r="Q63" s="3373" t="s">
        <v>5210</v>
      </c>
      <c r="R63" s="2429"/>
    </row>
    <row r="64" spans="1:29" s="2150" customFormat="1" ht="58.5" customHeight="1">
      <c r="A64" s="3732">
        <v>21</v>
      </c>
      <c r="B64" s="3035" t="str">
        <f t="shared" si="1"/>
        <v>2200002162</v>
      </c>
      <c r="C64" s="3272" t="s">
        <v>5549</v>
      </c>
      <c r="D64" s="3237">
        <v>10750</v>
      </c>
      <c r="E64" s="3035" t="s">
        <v>5425</v>
      </c>
      <c r="F64" s="3033" t="s">
        <v>3401</v>
      </c>
      <c r="G64" s="3035" t="s">
        <v>5550</v>
      </c>
      <c r="H64" s="3040" t="s">
        <v>5551</v>
      </c>
      <c r="I64" s="1921" t="s">
        <v>5460</v>
      </c>
      <c r="J64" s="1902" t="s">
        <v>19</v>
      </c>
      <c r="K64" s="3119" t="s">
        <v>959</v>
      </c>
      <c r="L64" s="3136" t="s">
        <v>5552</v>
      </c>
      <c r="M64" s="3054">
        <v>8372</v>
      </c>
      <c r="N64" s="2915" t="s">
        <v>5257</v>
      </c>
      <c r="O64" s="3033"/>
      <c r="P64" s="3229"/>
      <c r="Q64" s="3373" t="s">
        <v>5210</v>
      </c>
    </row>
    <row r="65" spans="1:35" s="2643" customFormat="1" ht="58.5" customHeight="1">
      <c r="A65" s="3733"/>
      <c r="B65" s="3021" t="str">
        <f t="shared" si="1"/>
        <v>2000003395</v>
      </c>
      <c r="C65" s="3325" t="s">
        <v>5549</v>
      </c>
      <c r="D65" s="3238"/>
      <c r="E65" s="3021"/>
      <c r="F65" s="3042" t="s">
        <v>3401</v>
      </c>
      <c r="G65" s="3021"/>
      <c r="H65" s="3021"/>
      <c r="I65" s="1543" t="s">
        <v>5253</v>
      </c>
      <c r="J65" s="3023" t="s">
        <v>19</v>
      </c>
      <c r="K65" s="1495" t="s">
        <v>959</v>
      </c>
      <c r="L65" s="1496" t="s">
        <v>5553</v>
      </c>
      <c r="M65" s="3317">
        <v>850</v>
      </c>
      <c r="N65" s="2915" t="s">
        <v>5440</v>
      </c>
      <c r="O65" s="3023"/>
      <c r="P65" s="3248"/>
      <c r="Q65" s="3373" t="s">
        <v>5210</v>
      </c>
      <c r="R65" s="1467"/>
      <c r="S65" s="1467"/>
      <c r="T65" s="1467"/>
      <c r="U65" s="1467"/>
      <c r="V65" s="1467"/>
      <c r="W65" s="1467"/>
      <c r="X65" s="1467"/>
      <c r="Y65" s="1467"/>
      <c r="Z65" s="1467"/>
      <c r="AA65" s="1467"/>
      <c r="AB65" s="1467"/>
      <c r="AC65" s="1467"/>
      <c r="AD65" s="1467"/>
      <c r="AE65" s="1467"/>
      <c r="AF65" s="1467"/>
      <c r="AG65" s="1467"/>
      <c r="AH65" s="1467"/>
      <c r="AI65" s="1467"/>
    </row>
    <row r="66" spans="1:35" s="2643" customFormat="1" ht="58.5" customHeight="1">
      <c r="A66" s="3733"/>
      <c r="B66" s="3035" t="str">
        <f t="shared" si="1"/>
        <v>2200002199</v>
      </c>
      <c r="C66" s="3325" t="s">
        <v>5549</v>
      </c>
      <c r="D66" s="3326"/>
      <c r="E66" s="3168"/>
      <c r="F66" s="3042" t="s">
        <v>3401</v>
      </c>
      <c r="G66" s="3168"/>
      <c r="H66" s="3168"/>
      <c r="I66" s="2187"/>
      <c r="J66" s="3023" t="s">
        <v>19</v>
      </c>
      <c r="K66" s="1495" t="s">
        <v>959</v>
      </c>
      <c r="L66" s="2880" t="s">
        <v>5554</v>
      </c>
      <c r="M66" s="3247">
        <v>200</v>
      </c>
      <c r="N66" s="3327" t="s">
        <v>5466</v>
      </c>
      <c r="O66" s="3039"/>
      <c r="P66" s="3328"/>
      <c r="Q66" s="3373" t="s">
        <v>5210</v>
      </c>
    </row>
    <row r="67" spans="1:35" s="2643" customFormat="1" ht="58.5" customHeight="1">
      <c r="A67" s="3733"/>
      <c r="B67" s="3035" t="str">
        <f t="shared" si="1"/>
        <v>2200002213</v>
      </c>
      <c r="C67" s="3325" t="s">
        <v>5549</v>
      </c>
      <c r="D67" s="3326"/>
      <c r="E67" s="3168"/>
      <c r="F67" s="3042" t="s">
        <v>3401</v>
      </c>
      <c r="G67" s="3168"/>
      <c r="H67" s="3168"/>
      <c r="I67" s="1543" t="s">
        <v>5460</v>
      </c>
      <c r="J67" s="3023" t="s">
        <v>19</v>
      </c>
      <c r="K67" s="1495" t="s">
        <v>959</v>
      </c>
      <c r="L67" s="1497" t="s">
        <v>5555</v>
      </c>
      <c r="M67" s="2361">
        <v>165</v>
      </c>
      <c r="N67" s="3327" t="s">
        <v>5445</v>
      </c>
      <c r="O67" s="3039"/>
      <c r="P67" s="3328"/>
      <c r="Q67" s="3373" t="s">
        <v>5210</v>
      </c>
    </row>
    <row r="68" spans="1:35" s="2643" customFormat="1" ht="58.5" customHeight="1">
      <c r="A68" s="3733"/>
      <c r="B68" s="3035" t="str">
        <f t="shared" ref="B68:B99" si="2">TEXT(LEFT(L68,10),"0000000000")</f>
        <v>2200002219</v>
      </c>
      <c r="C68" s="3325" t="s">
        <v>5549</v>
      </c>
      <c r="D68" s="3237"/>
      <c r="E68" s="3035"/>
      <c r="F68" s="3042" t="s">
        <v>3401</v>
      </c>
      <c r="G68" s="3035"/>
      <c r="H68" s="3035"/>
      <c r="I68" s="1543" t="s">
        <v>5460</v>
      </c>
      <c r="J68" s="3023" t="s">
        <v>19</v>
      </c>
      <c r="K68" s="1495" t="s">
        <v>959</v>
      </c>
      <c r="L68" s="3243" t="s">
        <v>5556</v>
      </c>
      <c r="M68" s="3054">
        <v>1050</v>
      </c>
      <c r="N68" s="2915" t="s">
        <v>5466</v>
      </c>
      <c r="O68" s="3033"/>
      <c r="P68" s="3229"/>
      <c r="Q68" s="3373" t="s">
        <v>5210</v>
      </c>
    </row>
    <row r="69" spans="1:35" s="2643" customFormat="1" ht="58.5" customHeight="1">
      <c r="A69" s="3734"/>
      <c r="B69" s="3035" t="str">
        <f t="shared" si="2"/>
        <v>2200002218</v>
      </c>
      <c r="C69" s="3325" t="s">
        <v>5549</v>
      </c>
      <c r="D69" s="3237"/>
      <c r="E69" s="3035"/>
      <c r="F69" s="3042" t="s">
        <v>3401</v>
      </c>
      <c r="G69" s="3035"/>
      <c r="H69" s="3035"/>
      <c r="I69" s="1543" t="s">
        <v>5460</v>
      </c>
      <c r="J69" s="3023" t="s">
        <v>19</v>
      </c>
      <c r="K69" s="1495" t="s">
        <v>959</v>
      </c>
      <c r="L69" s="3243" t="s">
        <v>5557</v>
      </c>
      <c r="M69" s="3054">
        <v>113</v>
      </c>
      <c r="N69" s="2915" t="s">
        <v>5445</v>
      </c>
      <c r="O69" s="3033"/>
      <c r="P69" s="3229"/>
      <c r="Q69" s="3373" t="s">
        <v>5210</v>
      </c>
    </row>
    <row r="70" spans="1:35" s="1548" customFormat="1" ht="58.5" customHeight="1">
      <c r="A70" s="3729">
        <v>22</v>
      </c>
      <c r="B70" s="3324" t="str">
        <f t="shared" si="2"/>
        <v>2000003431</v>
      </c>
      <c r="C70" s="3033" t="s">
        <v>5558</v>
      </c>
      <c r="D70" s="3237">
        <v>10675</v>
      </c>
      <c r="E70" s="3035" t="s">
        <v>5536</v>
      </c>
      <c r="F70" s="3023" t="s">
        <v>3401</v>
      </c>
      <c r="G70" s="3021" t="s">
        <v>5559</v>
      </c>
      <c r="H70" s="3021" t="s">
        <v>5560</v>
      </c>
      <c r="I70" s="3021" t="s">
        <v>5561</v>
      </c>
      <c r="J70" s="3023" t="s">
        <v>19</v>
      </c>
      <c r="K70" s="3021" t="s">
        <v>63</v>
      </c>
      <c r="L70" s="2880" t="s">
        <v>5562</v>
      </c>
      <c r="M70" s="3247">
        <v>3000</v>
      </c>
      <c r="N70" s="2915" t="s">
        <v>5563</v>
      </c>
      <c r="O70" s="3023"/>
      <c r="P70" s="3248"/>
      <c r="Q70" s="3358" t="s">
        <v>5210</v>
      </c>
    </row>
    <row r="71" spans="1:35" s="1548" customFormat="1" ht="58.5" customHeight="1">
      <c r="A71" s="3730"/>
      <c r="B71" s="3210" t="str">
        <f t="shared" si="2"/>
        <v>2000003353</v>
      </c>
      <c r="C71" s="3023" t="s">
        <v>5558</v>
      </c>
      <c r="D71" s="2550"/>
      <c r="E71" s="3035"/>
      <c r="F71" s="3023" t="s">
        <v>3401</v>
      </c>
      <c r="G71" s="3021"/>
      <c r="H71" s="3021"/>
      <c r="I71" s="3075">
        <v>45698</v>
      </c>
      <c r="J71" s="3023" t="s">
        <v>19</v>
      </c>
      <c r="K71" s="3021" t="s">
        <v>63</v>
      </c>
      <c r="L71" s="2880" t="s">
        <v>5564</v>
      </c>
      <c r="M71" s="3054">
        <v>2000</v>
      </c>
      <c r="N71" s="2915" t="s">
        <v>5257</v>
      </c>
      <c r="O71" s="3023"/>
      <c r="P71" s="3357"/>
      <c r="Q71" s="3358">
        <v>1</v>
      </c>
      <c r="R71" s="1467"/>
      <c r="S71" s="1467"/>
      <c r="T71" s="1467"/>
      <c r="U71" s="1467"/>
      <c r="V71" s="1467"/>
      <c r="W71" s="1467"/>
      <c r="X71" s="1467"/>
      <c r="Y71" s="1467"/>
      <c r="Z71" s="1467"/>
      <c r="AA71" s="1467"/>
      <c r="AB71" s="1467"/>
      <c r="AC71" s="1467"/>
    </row>
    <row r="72" spans="1:35" s="1467" customFormat="1" ht="58.5" customHeight="1">
      <c r="A72" s="3730"/>
      <c r="B72" s="3210" t="str">
        <f t="shared" si="2"/>
        <v>2000003416</v>
      </c>
      <c r="C72" s="3023" t="s">
        <v>5558</v>
      </c>
      <c r="D72" s="1494"/>
      <c r="E72" s="1495"/>
      <c r="F72" s="3023" t="s">
        <v>3401</v>
      </c>
      <c r="G72" s="1495"/>
      <c r="H72" s="1495"/>
      <c r="I72" s="1624" t="s">
        <v>5253</v>
      </c>
      <c r="J72" s="1493" t="s">
        <v>19</v>
      </c>
      <c r="K72" s="1495" t="s">
        <v>63</v>
      </c>
      <c r="L72" s="1600" t="s">
        <v>5565</v>
      </c>
      <c r="M72" s="2357">
        <v>319</v>
      </c>
      <c r="N72" s="2915" t="s">
        <v>5440</v>
      </c>
      <c r="O72" s="1493"/>
      <c r="P72" s="1859"/>
      <c r="Q72" s="3358" t="s">
        <v>5210</v>
      </c>
      <c r="R72" s="1548"/>
      <c r="S72" s="1548"/>
      <c r="T72" s="1548"/>
      <c r="U72" s="1548"/>
      <c r="V72" s="1548"/>
      <c r="W72" s="1548"/>
      <c r="X72" s="1548"/>
      <c r="Y72" s="1548"/>
      <c r="Z72" s="1548"/>
      <c r="AA72" s="1548"/>
    </row>
    <row r="73" spans="1:35" s="2150" customFormat="1" ht="58.5" customHeight="1">
      <c r="A73" s="3730"/>
      <c r="B73" s="3210" t="str">
        <f t="shared" si="2"/>
        <v>2000003414</v>
      </c>
      <c r="C73" s="3023" t="s">
        <v>5558</v>
      </c>
      <c r="D73" s="3237"/>
      <c r="E73" s="3035"/>
      <c r="F73" s="3023" t="s">
        <v>3401</v>
      </c>
      <c r="G73" s="3035"/>
      <c r="H73" s="3035"/>
      <c r="I73" s="3082">
        <v>45698</v>
      </c>
      <c r="J73" s="1902" t="s">
        <v>19</v>
      </c>
      <c r="K73" s="3171" t="s">
        <v>63</v>
      </c>
      <c r="L73" s="3207" t="s">
        <v>5566</v>
      </c>
      <c r="M73" s="3050">
        <v>3500</v>
      </c>
      <c r="N73" s="2915" t="s">
        <v>5440</v>
      </c>
      <c r="O73" s="3033"/>
      <c r="P73" s="3037"/>
      <c r="Q73" s="3358">
        <v>1</v>
      </c>
      <c r="R73" s="2643"/>
      <c r="S73" s="2643"/>
      <c r="T73" s="2643"/>
      <c r="U73" s="2643"/>
      <c r="V73" s="2643"/>
      <c r="W73" s="2643"/>
      <c r="X73" s="2643"/>
      <c r="Y73" s="2643"/>
      <c r="Z73" s="2643"/>
      <c r="AA73" s="2643"/>
      <c r="AB73" s="2643"/>
      <c r="AC73" s="2643"/>
    </row>
    <row r="74" spans="1:35" s="2150" customFormat="1" ht="58.5" customHeight="1">
      <c r="A74" s="3731"/>
      <c r="B74" s="3210" t="str">
        <f t="shared" si="2"/>
        <v>2200002229</v>
      </c>
      <c r="C74" s="3023" t="s">
        <v>5558</v>
      </c>
      <c r="D74" s="3237"/>
      <c r="E74" s="3035"/>
      <c r="F74" s="3023" t="s">
        <v>3401</v>
      </c>
      <c r="G74" s="3035"/>
      <c r="H74" s="3035"/>
      <c r="I74" s="3075" t="s">
        <v>5253</v>
      </c>
      <c r="J74" s="1902" t="s">
        <v>19</v>
      </c>
      <c r="K74" s="3171" t="s">
        <v>63</v>
      </c>
      <c r="L74" s="3244" t="s">
        <v>5567</v>
      </c>
      <c r="M74" s="3050">
        <v>1875</v>
      </c>
      <c r="N74" s="2915" t="s">
        <v>5440</v>
      </c>
      <c r="O74" s="3033"/>
      <c r="P74" s="3037"/>
      <c r="Q74" s="3358" t="s">
        <v>5210</v>
      </c>
      <c r="R74" s="2643"/>
      <c r="S74" s="2643"/>
      <c r="T74" s="2643"/>
      <c r="U74" s="2643"/>
      <c r="V74" s="2643"/>
      <c r="W74" s="2643"/>
      <c r="X74" s="2643"/>
      <c r="Y74" s="2643"/>
      <c r="Z74" s="2643"/>
      <c r="AA74" s="2643"/>
      <c r="AB74" s="2643"/>
      <c r="AC74" s="2643"/>
    </row>
    <row r="75" spans="1:35" s="1548" customFormat="1" ht="58.5" customHeight="1">
      <c r="A75" s="3729">
        <v>23</v>
      </c>
      <c r="B75" s="3324" t="str">
        <f t="shared" si="2"/>
        <v>2000003371</v>
      </c>
      <c r="C75" s="3033" t="s">
        <v>4831</v>
      </c>
      <c r="D75" s="3237">
        <v>4350</v>
      </c>
      <c r="E75" s="3035" t="s">
        <v>5568</v>
      </c>
      <c r="F75" s="3023" t="s">
        <v>3416</v>
      </c>
      <c r="G75" s="3021" t="s">
        <v>5569</v>
      </c>
      <c r="H75" s="3021" t="s">
        <v>5570</v>
      </c>
      <c r="I75" s="3075" t="s">
        <v>5253</v>
      </c>
      <c r="J75" s="3023" t="s">
        <v>19</v>
      </c>
      <c r="K75" s="3021" t="s">
        <v>74</v>
      </c>
      <c r="L75" s="3268" t="s">
        <v>5571</v>
      </c>
      <c r="M75" s="3269">
        <v>750</v>
      </c>
      <c r="N75" s="2196" t="s">
        <v>5563</v>
      </c>
      <c r="O75" s="3023"/>
      <c r="P75" s="3248"/>
      <c r="Q75" s="3358">
        <v>1</v>
      </c>
    </row>
    <row r="76" spans="1:35" s="1548" customFormat="1" ht="58.5" customHeight="1">
      <c r="A76" s="3730"/>
      <c r="B76" s="3324" t="str">
        <f t="shared" si="2"/>
        <v>2000003434</v>
      </c>
      <c r="C76" s="3023" t="s">
        <v>4831</v>
      </c>
      <c r="D76" s="3237"/>
      <c r="E76" s="3035"/>
      <c r="F76" s="3023" t="s">
        <v>3416</v>
      </c>
      <c r="G76" s="3021"/>
      <c r="H76" s="3021"/>
      <c r="I76" s="3075" t="s">
        <v>5253</v>
      </c>
      <c r="J76" s="3023" t="s">
        <v>19</v>
      </c>
      <c r="K76" s="3021" t="s">
        <v>74</v>
      </c>
      <c r="L76" s="3268" t="s">
        <v>5572</v>
      </c>
      <c r="M76" s="3269">
        <v>200</v>
      </c>
      <c r="N76" s="2196" t="s">
        <v>5563</v>
      </c>
      <c r="O76" s="3023"/>
      <c r="P76" s="3248"/>
      <c r="Q76" s="3358" t="s">
        <v>5210</v>
      </c>
    </row>
    <row r="77" spans="1:35" s="2150" customFormat="1" ht="58.5" customHeight="1">
      <c r="A77" s="3730"/>
      <c r="B77" s="3210" t="str">
        <f t="shared" si="2"/>
        <v>2000003388</v>
      </c>
      <c r="C77" s="3023" t="s">
        <v>4831</v>
      </c>
      <c r="D77" s="3238"/>
      <c r="E77" s="3021"/>
      <c r="F77" s="3023" t="s">
        <v>3416</v>
      </c>
      <c r="G77" s="3021"/>
      <c r="H77" s="3021"/>
      <c r="I77" s="3075" t="s">
        <v>5253</v>
      </c>
      <c r="J77" s="3023" t="s">
        <v>19</v>
      </c>
      <c r="K77" s="3021" t="s">
        <v>74</v>
      </c>
      <c r="L77" s="3268" t="s">
        <v>5573</v>
      </c>
      <c r="M77" s="3269">
        <v>3250</v>
      </c>
      <c r="N77" s="2196" t="s">
        <v>5563</v>
      </c>
      <c r="O77" s="3033"/>
      <c r="P77" s="3229"/>
      <c r="Q77" s="3358">
        <v>1</v>
      </c>
    </row>
    <row r="78" spans="1:35" s="2643" customFormat="1" ht="58.5" customHeight="1">
      <c r="A78" s="3731"/>
      <c r="B78" s="3210" t="str">
        <f t="shared" si="2"/>
        <v>2200002230</v>
      </c>
      <c r="C78" s="3023" t="s">
        <v>4831</v>
      </c>
      <c r="D78" s="2607"/>
      <c r="E78" s="1902"/>
      <c r="F78" s="3023" t="s">
        <v>3416</v>
      </c>
      <c r="G78" s="1921"/>
      <c r="H78" s="1921"/>
      <c r="I78" s="1568" t="s">
        <v>5253</v>
      </c>
      <c r="J78" s="1493" t="s">
        <v>19</v>
      </c>
      <c r="K78" s="1495" t="s">
        <v>74</v>
      </c>
      <c r="L78" s="3108" t="s">
        <v>5574</v>
      </c>
      <c r="M78" s="3051">
        <v>150</v>
      </c>
      <c r="N78" s="2196" t="s">
        <v>5429</v>
      </c>
      <c r="O78" s="1902"/>
      <c r="P78" s="1745"/>
      <c r="Q78" s="3265" t="s">
        <v>5210</v>
      </c>
    </row>
    <row r="79" spans="1:35" s="2150" customFormat="1" ht="58.5" customHeight="1">
      <c r="A79" s="3735">
        <v>24</v>
      </c>
      <c r="B79" s="3210" t="str">
        <f t="shared" si="2"/>
        <v>2200002207</v>
      </c>
      <c r="C79" s="1902" t="s">
        <v>5575</v>
      </c>
      <c r="D79" s="2607">
        <v>3780</v>
      </c>
      <c r="E79" s="1902" t="s">
        <v>5536</v>
      </c>
      <c r="F79" s="1902" t="s">
        <v>61</v>
      </c>
      <c r="G79" s="1921" t="s">
        <v>5576</v>
      </c>
      <c r="H79" s="3021" t="s">
        <v>5436</v>
      </c>
      <c r="I79" s="1568" t="s">
        <v>5253</v>
      </c>
      <c r="J79" s="1493" t="s">
        <v>19</v>
      </c>
      <c r="K79" s="1495" t="s">
        <v>101</v>
      </c>
      <c r="L79" s="3108" t="s">
        <v>5577</v>
      </c>
      <c r="M79" s="3055">
        <v>290</v>
      </c>
      <c r="N79" s="2915" t="s">
        <v>5429</v>
      </c>
      <c r="O79" s="1902">
        <v>25</v>
      </c>
      <c r="P79" s="1745"/>
      <c r="Q79" s="3265">
        <v>1</v>
      </c>
    </row>
    <row r="80" spans="1:35" s="2643" customFormat="1" ht="58.5" customHeight="1">
      <c r="A80" s="3736"/>
      <c r="B80" s="3210" t="str">
        <f t="shared" si="2"/>
        <v>2200002229</v>
      </c>
      <c r="C80" s="1493" t="s">
        <v>5575</v>
      </c>
      <c r="D80" s="2607"/>
      <c r="E80" s="1902"/>
      <c r="F80" s="1493" t="s">
        <v>61</v>
      </c>
      <c r="G80" s="1921"/>
      <c r="H80" s="1921"/>
      <c r="I80" s="1568" t="s">
        <v>5253</v>
      </c>
      <c r="J80" s="1493" t="s">
        <v>19</v>
      </c>
      <c r="K80" s="1495" t="s">
        <v>101</v>
      </c>
      <c r="L80" s="3098" t="s">
        <v>5578</v>
      </c>
      <c r="M80" s="3055">
        <v>550</v>
      </c>
      <c r="N80" s="2915" t="s">
        <v>5429</v>
      </c>
      <c r="O80" s="1902"/>
      <c r="P80" s="1745"/>
      <c r="Q80" s="3265" t="s">
        <v>5210</v>
      </c>
    </row>
    <row r="81" spans="1:29" s="2643" customFormat="1" ht="58.5" customHeight="1">
      <c r="A81" s="3736"/>
      <c r="B81" s="3210" t="str">
        <f t="shared" si="2"/>
        <v>2200002228</v>
      </c>
      <c r="C81" s="1493" t="s">
        <v>5575</v>
      </c>
      <c r="D81" s="2607"/>
      <c r="E81" s="1902"/>
      <c r="F81" s="1493" t="s">
        <v>61</v>
      </c>
      <c r="G81" s="1921"/>
      <c r="H81" s="1921"/>
      <c r="I81" s="1568" t="s">
        <v>5253</v>
      </c>
      <c r="J81" s="1493" t="s">
        <v>19</v>
      </c>
      <c r="K81" s="1495" t="s">
        <v>101</v>
      </c>
      <c r="L81" s="3108" t="s">
        <v>5579</v>
      </c>
      <c r="M81" s="3055">
        <v>226</v>
      </c>
      <c r="N81" s="2915" t="s">
        <v>5580</v>
      </c>
      <c r="O81" s="1902"/>
      <c r="P81" s="1745"/>
      <c r="Q81" s="3265" t="s">
        <v>5210</v>
      </c>
    </row>
    <row r="82" spans="1:29" s="1548" customFormat="1" ht="58.5" customHeight="1">
      <c r="A82" s="3736"/>
      <c r="B82" s="3210" t="str">
        <f t="shared" si="2"/>
        <v>2000003400</v>
      </c>
      <c r="C82" s="1493" t="s">
        <v>5575</v>
      </c>
      <c r="F82" s="1493" t="s">
        <v>61</v>
      </c>
      <c r="G82" s="3021"/>
      <c r="H82" s="3021"/>
      <c r="I82" s="3021" t="s">
        <v>5581</v>
      </c>
      <c r="J82" s="3023" t="s">
        <v>19</v>
      </c>
      <c r="K82" s="3021" t="s">
        <v>74</v>
      </c>
      <c r="L82" s="2880" t="s">
        <v>5582</v>
      </c>
      <c r="M82" s="3247">
        <v>60</v>
      </c>
      <c r="N82" s="2196" t="s">
        <v>5563</v>
      </c>
      <c r="O82" s="3023"/>
      <c r="P82" s="3248"/>
      <c r="Q82" s="3358" t="s">
        <v>5210</v>
      </c>
    </row>
    <row r="83" spans="1:29" s="1548" customFormat="1" ht="58.5" customHeight="1">
      <c r="A83" s="3736"/>
      <c r="B83" s="3210" t="str">
        <f t="shared" si="2"/>
        <v>2000003401</v>
      </c>
      <c r="C83" s="1493" t="s">
        <v>5575</v>
      </c>
      <c r="D83" s="3238"/>
      <c r="E83" s="3021"/>
      <c r="F83" s="1493" t="s">
        <v>61</v>
      </c>
      <c r="G83" s="3021"/>
      <c r="H83" s="3021"/>
      <c r="I83" s="3021" t="s">
        <v>5581</v>
      </c>
      <c r="J83" s="3023" t="s">
        <v>19</v>
      </c>
      <c r="K83" s="3021" t="s">
        <v>74</v>
      </c>
      <c r="L83" s="3274" t="s">
        <v>5583</v>
      </c>
      <c r="M83" s="3247">
        <v>200</v>
      </c>
      <c r="N83" s="2196" t="s">
        <v>5563</v>
      </c>
      <c r="O83" s="3023"/>
      <c r="P83" s="3248"/>
      <c r="Q83" s="3358" t="s">
        <v>5210</v>
      </c>
    </row>
    <row r="84" spans="1:29" s="1548" customFormat="1" ht="58.5" customHeight="1">
      <c r="A84" s="3736"/>
      <c r="B84" s="3210" t="str">
        <f t="shared" si="2"/>
        <v>2000003402</v>
      </c>
      <c r="C84" s="1493" t="s">
        <v>5575</v>
      </c>
      <c r="D84" s="1494"/>
      <c r="E84" s="1495"/>
      <c r="F84" s="1493" t="s">
        <v>61</v>
      </c>
      <c r="G84" s="3021"/>
      <c r="H84" s="3021"/>
      <c r="I84" s="3329" t="s">
        <v>5253</v>
      </c>
      <c r="J84" s="3023" t="s">
        <v>19</v>
      </c>
      <c r="K84" s="3021" t="s">
        <v>74</v>
      </c>
      <c r="L84" s="2880" t="s">
        <v>5518</v>
      </c>
      <c r="M84" s="3338">
        <v>1874</v>
      </c>
      <c r="N84" s="2915" t="s">
        <v>5454</v>
      </c>
      <c r="O84" s="3023"/>
      <c r="P84" s="3248"/>
      <c r="Q84" s="3358" t="s">
        <v>5210</v>
      </c>
    </row>
    <row r="85" spans="1:29" s="2643" customFormat="1" ht="58.5" customHeight="1">
      <c r="A85" s="3736"/>
      <c r="B85" s="3210" t="str">
        <f t="shared" si="2"/>
        <v>2200002206</v>
      </c>
      <c r="C85" s="1493" t="s">
        <v>5575</v>
      </c>
      <c r="D85" s="2607"/>
      <c r="E85" s="1902"/>
      <c r="F85" s="1493" t="s">
        <v>61</v>
      </c>
      <c r="G85" s="1921"/>
      <c r="H85" s="1921"/>
      <c r="I85" s="1568" t="s">
        <v>5253</v>
      </c>
      <c r="J85" s="1493" t="s">
        <v>19</v>
      </c>
      <c r="K85" s="1495" t="s">
        <v>74</v>
      </c>
      <c r="L85" s="1496" t="s">
        <v>5584</v>
      </c>
      <c r="M85" s="3051">
        <v>93</v>
      </c>
      <c r="N85" s="2196" t="s">
        <v>5429</v>
      </c>
      <c r="O85" s="1902"/>
      <c r="P85" s="1745"/>
      <c r="Q85" s="3265" t="s">
        <v>5210</v>
      </c>
    </row>
    <row r="86" spans="1:29" s="2643" customFormat="1" ht="58.5" customHeight="1">
      <c r="A86" s="3736"/>
      <c r="B86" s="3210" t="str">
        <f t="shared" si="2"/>
        <v>2200002235</v>
      </c>
      <c r="C86" s="1493" t="s">
        <v>5575</v>
      </c>
      <c r="D86" s="2607"/>
      <c r="E86" s="1902"/>
      <c r="F86" s="1493" t="s">
        <v>61</v>
      </c>
      <c r="G86" s="1921"/>
      <c r="H86" s="1921"/>
      <c r="I86" s="1568" t="s">
        <v>5253</v>
      </c>
      <c r="J86" s="1493" t="s">
        <v>19</v>
      </c>
      <c r="K86" s="1495" t="s">
        <v>74</v>
      </c>
      <c r="L86" s="1496" t="s">
        <v>5585</v>
      </c>
      <c r="M86" s="3051">
        <v>90</v>
      </c>
      <c r="N86" s="2915" t="s">
        <v>5454</v>
      </c>
      <c r="O86" s="1902"/>
      <c r="P86" s="1745"/>
      <c r="Q86" s="3265" t="s">
        <v>5210</v>
      </c>
    </row>
    <row r="87" spans="1:29" s="2643" customFormat="1" ht="58.5" customHeight="1">
      <c r="A87" s="3737"/>
      <c r="B87" s="3210" t="str">
        <f t="shared" si="2"/>
        <v>2200002230</v>
      </c>
      <c r="C87" s="1493" t="s">
        <v>5575</v>
      </c>
      <c r="D87" s="2607"/>
      <c r="E87" s="1902"/>
      <c r="F87" s="1493" t="s">
        <v>61</v>
      </c>
      <c r="G87" s="1921"/>
      <c r="H87" s="1921"/>
      <c r="I87" s="1568" t="s">
        <v>5253</v>
      </c>
      <c r="J87" s="1493" t="s">
        <v>19</v>
      </c>
      <c r="K87" s="1495" t="s">
        <v>74</v>
      </c>
      <c r="L87" s="1496" t="s">
        <v>5586</v>
      </c>
      <c r="M87" s="3051">
        <v>514</v>
      </c>
      <c r="N87" s="2196" t="s">
        <v>5429</v>
      </c>
      <c r="O87" s="1902"/>
      <c r="P87" s="1745"/>
      <c r="Q87" s="3265" t="s">
        <v>5210</v>
      </c>
    </row>
    <row r="88" spans="1:29" s="2643" customFormat="1" ht="58.5" customHeight="1">
      <c r="A88" s="3729">
        <v>25</v>
      </c>
      <c r="B88" s="3210" t="str">
        <f t="shared" si="2"/>
        <v>2000003397</v>
      </c>
      <c r="C88" s="3033" t="s">
        <v>3109</v>
      </c>
      <c r="D88" s="2607">
        <v>18500</v>
      </c>
      <c r="E88" s="1921" t="s">
        <v>5540</v>
      </c>
      <c r="F88" s="3023" t="s">
        <v>3401</v>
      </c>
      <c r="G88" s="1921" t="s">
        <v>5587</v>
      </c>
      <c r="H88" s="1921" t="s">
        <v>5588</v>
      </c>
      <c r="I88" s="3021" t="s">
        <v>5253</v>
      </c>
      <c r="J88" s="3023" t="s">
        <v>19</v>
      </c>
      <c r="K88" s="1921" t="s">
        <v>123</v>
      </c>
      <c r="L88" s="2912" t="s">
        <v>5589</v>
      </c>
      <c r="M88" s="2583">
        <v>300</v>
      </c>
      <c r="N88" s="2196" t="s">
        <v>5563</v>
      </c>
      <c r="O88" s="1902"/>
      <c r="P88" s="1859"/>
      <c r="Q88" s="3358" t="s">
        <v>5323</v>
      </c>
      <c r="R88" s="1790"/>
      <c r="S88" s="2150"/>
      <c r="T88" s="2150"/>
      <c r="U88" s="2150"/>
      <c r="V88" s="2150"/>
      <c r="W88" s="2150"/>
      <c r="X88" s="2150"/>
      <c r="Y88" s="2150"/>
      <c r="Z88" s="2150"/>
      <c r="AA88" s="2150"/>
    </row>
    <row r="89" spans="1:29" s="1548" customFormat="1" ht="58.5" customHeight="1">
      <c r="A89" s="3730"/>
      <c r="B89" s="3210" t="str">
        <f t="shared" si="2"/>
        <v>2000003359</v>
      </c>
      <c r="C89" s="3023" t="s">
        <v>3109</v>
      </c>
      <c r="D89" s="1494"/>
      <c r="E89" s="1495"/>
      <c r="F89" s="3023" t="s">
        <v>3401</v>
      </c>
      <c r="G89" s="1495"/>
      <c r="H89" s="1495"/>
      <c r="I89" s="3075" t="s">
        <v>5253</v>
      </c>
      <c r="J89" s="3023" t="s">
        <v>19</v>
      </c>
      <c r="K89" s="3021" t="s">
        <v>123</v>
      </c>
      <c r="L89" s="2880" t="s">
        <v>5590</v>
      </c>
      <c r="M89" s="2357">
        <v>1500</v>
      </c>
      <c r="N89" s="2196" t="s">
        <v>5563</v>
      </c>
      <c r="O89" s="1493"/>
      <c r="P89" s="1859"/>
      <c r="Q89" s="3358" t="s">
        <v>5323</v>
      </c>
    </row>
    <row r="90" spans="1:29" s="1548" customFormat="1" ht="58.5" customHeight="1">
      <c r="A90" s="3730"/>
      <c r="B90" s="3210" t="str">
        <f t="shared" si="2"/>
        <v>2000003358</v>
      </c>
      <c r="C90" s="3023" t="s">
        <v>3109</v>
      </c>
      <c r="D90" s="3238"/>
      <c r="E90" s="3021"/>
      <c r="F90" s="3023" t="s">
        <v>3401</v>
      </c>
      <c r="G90" s="3021"/>
      <c r="H90" s="3021"/>
      <c r="I90" s="3075" t="s">
        <v>5253</v>
      </c>
      <c r="J90" s="3023" t="s">
        <v>19</v>
      </c>
      <c r="K90" s="3021" t="s">
        <v>123</v>
      </c>
      <c r="L90" s="3108" t="s">
        <v>5591</v>
      </c>
      <c r="M90" s="3247">
        <v>3500</v>
      </c>
      <c r="N90" s="2915" t="s">
        <v>5257</v>
      </c>
      <c r="O90" s="3023">
        <v>3731</v>
      </c>
      <c r="P90" s="3248"/>
      <c r="Q90" s="3358" t="s">
        <v>5323</v>
      </c>
    </row>
    <row r="91" spans="1:29" s="1548" customFormat="1" ht="58.5" customHeight="1">
      <c r="A91" s="3730"/>
      <c r="B91" s="3210" t="str">
        <f t="shared" si="2"/>
        <v>2000003322</v>
      </c>
      <c r="C91" s="3023" t="s">
        <v>3109</v>
      </c>
      <c r="D91" s="2757"/>
      <c r="E91" s="3035"/>
      <c r="F91" s="3023" t="s">
        <v>3401</v>
      </c>
      <c r="G91" s="3021"/>
      <c r="H91" s="3021"/>
      <c r="I91" s="3021" t="s">
        <v>5253</v>
      </c>
      <c r="J91" s="3023" t="s">
        <v>19</v>
      </c>
      <c r="K91" s="3021" t="s">
        <v>123</v>
      </c>
      <c r="L91" s="2880" t="s">
        <v>5592</v>
      </c>
      <c r="M91" s="3054">
        <v>1000</v>
      </c>
      <c r="N91" s="2915" t="s">
        <v>5257</v>
      </c>
      <c r="O91" s="3023"/>
      <c r="P91" s="3024"/>
      <c r="Q91" s="3358" t="s">
        <v>5323</v>
      </c>
      <c r="R91" s="1467"/>
      <c r="S91" s="1467"/>
      <c r="T91" s="1467"/>
      <c r="U91" s="1467"/>
      <c r="V91" s="1467"/>
      <c r="W91" s="1467"/>
      <c r="X91" s="1467"/>
      <c r="Y91" s="1467"/>
      <c r="Z91" s="1467"/>
      <c r="AA91" s="1467"/>
      <c r="AB91" s="1467"/>
      <c r="AC91" s="1467"/>
    </row>
    <row r="92" spans="1:29" s="1467" customFormat="1" ht="58.5" customHeight="1">
      <c r="A92" s="3730"/>
      <c r="B92" s="3210" t="str">
        <f t="shared" si="2"/>
        <v>2000003367</v>
      </c>
      <c r="C92" s="3023" t="s">
        <v>3109</v>
      </c>
      <c r="D92" s="1494"/>
      <c r="E92" s="1921" t="s">
        <v>5540</v>
      </c>
      <c r="F92" s="3023" t="s">
        <v>3401</v>
      </c>
      <c r="G92" s="1495"/>
      <c r="H92" s="1495"/>
      <c r="I92" s="3021" t="s">
        <v>5253</v>
      </c>
      <c r="J92" s="3023" t="s">
        <v>19</v>
      </c>
      <c r="K92" s="3298" t="s">
        <v>5593</v>
      </c>
      <c r="L92" s="3073" t="s">
        <v>5594</v>
      </c>
      <c r="M92" s="2357">
        <v>263</v>
      </c>
      <c r="N92" s="2915" t="s">
        <v>5257</v>
      </c>
      <c r="O92" s="1493"/>
      <c r="P92" s="1859"/>
      <c r="Q92" s="3373" t="s">
        <v>5323</v>
      </c>
      <c r="R92" s="1548"/>
      <c r="S92" s="1548"/>
      <c r="T92" s="1548"/>
      <c r="U92" s="1548"/>
      <c r="V92" s="1548"/>
      <c r="W92" s="1548"/>
      <c r="X92" s="1548"/>
      <c r="Y92" s="1548"/>
      <c r="Z92" s="1548"/>
      <c r="AA92" s="1548"/>
    </row>
    <row r="93" spans="1:29" s="2150" customFormat="1" ht="58.5" customHeight="1">
      <c r="A93" s="3730"/>
      <c r="B93" s="3210" t="str">
        <f t="shared" si="2"/>
        <v>2200002236</v>
      </c>
      <c r="C93" s="3023" t="s">
        <v>3109</v>
      </c>
      <c r="D93" s="3397"/>
      <c r="E93" s="1909" t="s">
        <v>5540</v>
      </c>
      <c r="F93" s="3023" t="s">
        <v>3401</v>
      </c>
      <c r="G93" s="1909"/>
      <c r="H93" s="1909"/>
      <c r="I93" s="3021" t="s">
        <v>5253</v>
      </c>
      <c r="J93" s="3023" t="s">
        <v>19</v>
      </c>
      <c r="K93" s="1921" t="s">
        <v>123</v>
      </c>
      <c r="L93" s="1547" t="s">
        <v>5595</v>
      </c>
      <c r="M93" s="2357">
        <v>8000</v>
      </c>
      <c r="N93" s="2196" t="s">
        <v>5563</v>
      </c>
      <c r="O93" s="2429"/>
      <c r="P93" s="3398"/>
      <c r="Q93" s="3358" t="s">
        <v>5323</v>
      </c>
    </row>
    <row r="94" spans="1:29" s="2150" customFormat="1" ht="58.5" customHeight="1">
      <c r="A94" s="3730"/>
      <c r="B94" s="3210" t="str">
        <f t="shared" si="2"/>
        <v>2000003421</v>
      </c>
      <c r="C94" s="3023" t="s">
        <v>3109</v>
      </c>
      <c r="D94" s="3238"/>
      <c r="E94" s="3021"/>
      <c r="F94" s="3023" t="s">
        <v>3401</v>
      </c>
      <c r="G94" s="3021"/>
      <c r="H94" s="3021"/>
      <c r="I94" s="3075" t="s">
        <v>5253</v>
      </c>
      <c r="J94" s="3023" t="s">
        <v>19</v>
      </c>
      <c r="K94" s="3021" t="s">
        <v>63</v>
      </c>
      <c r="L94" s="2880" t="s">
        <v>5596</v>
      </c>
      <c r="M94" s="3247">
        <v>200</v>
      </c>
      <c r="N94" s="2915" t="s">
        <v>5257</v>
      </c>
      <c r="O94" s="3033"/>
      <c r="P94" s="3229"/>
      <c r="Q94" s="3358" t="s">
        <v>5323</v>
      </c>
    </row>
    <row r="95" spans="1:29" s="2150" customFormat="1" ht="58.5" customHeight="1">
      <c r="A95" s="3731"/>
      <c r="B95" s="3210" t="str">
        <f t="shared" si="2"/>
        <v>2000003419</v>
      </c>
      <c r="C95" s="3023" t="s">
        <v>3109</v>
      </c>
      <c r="D95" s="3238"/>
      <c r="E95" s="3021"/>
      <c r="F95" s="3023" t="s">
        <v>3401</v>
      </c>
      <c r="G95" s="3021"/>
      <c r="H95" s="3021"/>
      <c r="I95" s="3075" t="s">
        <v>5253</v>
      </c>
      <c r="J95" s="3023" t="s">
        <v>19</v>
      </c>
      <c r="K95" s="3021" t="s">
        <v>63</v>
      </c>
      <c r="L95" s="2880" t="s">
        <v>5597</v>
      </c>
      <c r="M95" s="3247">
        <v>3440</v>
      </c>
      <c r="N95" s="2915" t="s">
        <v>5257</v>
      </c>
      <c r="O95" s="3033"/>
      <c r="P95" s="3229"/>
      <c r="Q95" s="3358" t="s">
        <v>5323</v>
      </c>
    </row>
    <row r="96" spans="1:29" s="2643" customFormat="1" ht="58.5" customHeight="1">
      <c r="A96" s="3728">
        <v>26</v>
      </c>
      <c r="B96" s="3210" t="str">
        <f t="shared" si="2"/>
        <v>2200002193</v>
      </c>
      <c r="C96" s="3272" t="s">
        <v>112</v>
      </c>
      <c r="D96" s="2480">
        <v>11650</v>
      </c>
      <c r="E96" s="1921" t="s">
        <v>5598</v>
      </c>
      <c r="F96" s="3033" t="s">
        <v>84</v>
      </c>
      <c r="G96" s="1921" t="s">
        <v>5599</v>
      </c>
      <c r="H96" s="1921" t="s">
        <v>5600</v>
      </c>
      <c r="I96" s="1921" t="s">
        <v>5460</v>
      </c>
      <c r="J96" s="1902" t="s">
        <v>19</v>
      </c>
      <c r="K96" s="1921" t="s">
        <v>1138</v>
      </c>
      <c r="L96" s="1862" t="s">
        <v>5601</v>
      </c>
      <c r="M96" s="3055">
        <v>9150</v>
      </c>
      <c r="N96" s="2196" t="s">
        <v>5563</v>
      </c>
      <c r="O96" s="1902"/>
      <c r="P96" s="1862"/>
      <c r="Q96" s="3358" t="s">
        <v>5210</v>
      </c>
      <c r="R96" s="3339"/>
    </row>
    <row r="97" spans="1:29" s="1559" customFormat="1" ht="58.5" customHeight="1">
      <c r="A97" s="3728"/>
      <c r="B97" s="3038" t="str">
        <f t="shared" si="2"/>
        <v>2200002192</v>
      </c>
      <c r="C97" s="3340" t="s">
        <v>112</v>
      </c>
      <c r="D97" s="3341"/>
      <c r="E97" s="3022"/>
      <c r="F97" s="3179" t="s">
        <v>84</v>
      </c>
      <c r="G97" s="3022"/>
      <c r="H97" s="3022"/>
      <c r="I97" s="1543" t="s">
        <v>5460</v>
      </c>
      <c r="J97" s="1545" t="s">
        <v>19</v>
      </c>
      <c r="K97" s="1543" t="s">
        <v>1138</v>
      </c>
      <c r="L97" s="3073" t="s">
        <v>5602</v>
      </c>
      <c r="M97" s="3342">
        <v>2500</v>
      </c>
      <c r="N97" s="3209" t="s">
        <v>5257</v>
      </c>
      <c r="O97" s="3179"/>
      <c r="P97" s="3343"/>
      <c r="Q97" s="3372">
        <v>1</v>
      </c>
      <c r="R97" s="1467"/>
      <c r="S97" s="1467"/>
      <c r="T97" s="1467"/>
      <c r="U97" s="1467"/>
      <c r="V97" s="1467"/>
      <c r="W97" s="1467"/>
      <c r="X97" s="1467"/>
      <c r="Y97" s="1467"/>
      <c r="Z97" s="1467"/>
      <c r="AA97" s="1467"/>
      <c r="AB97" s="1467"/>
      <c r="AC97" s="1467"/>
    </row>
    <row r="98" spans="1:29" s="2150" customFormat="1" ht="58.5" customHeight="1">
      <c r="A98" s="3729">
        <v>27</v>
      </c>
      <c r="B98" s="3210" t="str">
        <f t="shared" si="2"/>
        <v>2200002162</v>
      </c>
      <c r="C98" s="1902" t="s">
        <v>3399</v>
      </c>
      <c r="D98" s="2607">
        <v>8800</v>
      </c>
      <c r="E98" s="1921" t="s">
        <v>5603</v>
      </c>
      <c r="F98" s="1902" t="s">
        <v>3401</v>
      </c>
      <c r="G98" s="1921" t="s">
        <v>5604</v>
      </c>
      <c r="H98" s="1921" t="s">
        <v>5605</v>
      </c>
      <c r="I98" s="1921" t="s">
        <v>5460</v>
      </c>
      <c r="J98" s="1902" t="s">
        <v>19</v>
      </c>
      <c r="K98" s="2187" t="s">
        <v>1138</v>
      </c>
      <c r="L98" s="3136" t="s">
        <v>5552</v>
      </c>
      <c r="M98" s="3181">
        <v>4820</v>
      </c>
      <c r="N98" s="2915" t="s">
        <v>5606</v>
      </c>
      <c r="O98" s="1902"/>
      <c r="P98" s="1911"/>
      <c r="Q98" s="3370" t="s">
        <v>5323</v>
      </c>
      <c r="R98" s="1902"/>
    </row>
    <row r="99" spans="1:29" s="2590" customFormat="1" ht="58.5" customHeight="1">
      <c r="A99" s="3730"/>
      <c r="B99" s="3210" t="str">
        <f t="shared" si="2"/>
        <v>2000003394</v>
      </c>
      <c r="C99" s="1493" t="s">
        <v>3399</v>
      </c>
      <c r="D99" s="2795"/>
      <c r="E99" s="1748"/>
      <c r="F99" s="1493" t="s">
        <v>3401</v>
      </c>
      <c r="G99" s="1748"/>
      <c r="H99" s="1748"/>
      <c r="I99" s="1624" t="s">
        <v>5253</v>
      </c>
      <c r="J99" s="1493" t="s">
        <v>19</v>
      </c>
      <c r="K99" s="1543" t="s">
        <v>1138</v>
      </c>
      <c r="L99" s="1600" t="s">
        <v>5607</v>
      </c>
      <c r="M99" s="2646">
        <v>930</v>
      </c>
      <c r="N99" s="2196" t="s">
        <v>5563</v>
      </c>
      <c r="O99" s="1790"/>
      <c r="P99" s="2544"/>
      <c r="Q99" s="3372" t="s">
        <v>5323</v>
      </c>
      <c r="R99" s="1790"/>
    </row>
    <row r="100" spans="1:29" s="1467" customFormat="1" ht="58.5" customHeight="1">
      <c r="A100" s="3730"/>
      <c r="B100" s="3210" t="str">
        <f t="shared" ref="B100:B115" si="3">TEXT(LEFT(L100,10),"0000000000")</f>
        <v>2200002219</v>
      </c>
      <c r="C100" s="1493" t="s">
        <v>3399</v>
      </c>
      <c r="D100" s="3378"/>
      <c r="E100" s="3022"/>
      <c r="F100" s="1493" t="s">
        <v>3401</v>
      </c>
      <c r="G100" s="1543"/>
      <c r="H100" s="1543"/>
      <c r="I100" s="1495" t="s">
        <v>5460</v>
      </c>
      <c r="J100" s="3179" t="s">
        <v>19</v>
      </c>
      <c r="K100" s="1543" t="s">
        <v>1138</v>
      </c>
      <c r="L100" s="3243" t="s">
        <v>5608</v>
      </c>
      <c r="M100" s="3054">
        <v>745</v>
      </c>
      <c r="N100" s="2915" t="s">
        <v>5466</v>
      </c>
      <c r="O100" s="1545"/>
      <c r="P100" s="1828"/>
      <c r="Q100" s="3374" t="s">
        <v>5323</v>
      </c>
      <c r="R100" s="1545"/>
    </row>
    <row r="101" spans="1:29" s="1467" customFormat="1" ht="58.5" customHeight="1">
      <c r="A101" s="3730"/>
      <c r="B101" s="3210" t="str">
        <f t="shared" si="3"/>
        <v>2200002222</v>
      </c>
      <c r="C101" s="1782" t="s">
        <v>3399</v>
      </c>
      <c r="D101" s="1494"/>
      <c r="E101" s="1495"/>
      <c r="F101" s="1782" t="s">
        <v>3401</v>
      </c>
      <c r="G101" s="1495"/>
      <c r="H101" s="1495"/>
      <c r="I101" s="1495" t="s">
        <v>5460</v>
      </c>
      <c r="J101" s="3379" t="s">
        <v>19</v>
      </c>
      <c r="K101" s="1543" t="s">
        <v>1138</v>
      </c>
      <c r="L101" s="1600" t="s">
        <v>5609</v>
      </c>
      <c r="M101" s="2357">
        <v>332</v>
      </c>
      <c r="N101" s="2196" t="s">
        <v>5445</v>
      </c>
      <c r="O101" s="1493"/>
      <c r="P101" s="1859"/>
      <c r="Q101" s="3374" t="s">
        <v>5323</v>
      </c>
      <c r="R101" s="1548"/>
      <c r="S101" s="1548"/>
      <c r="T101" s="1548"/>
      <c r="U101" s="1548"/>
      <c r="V101" s="1548"/>
      <c r="W101" s="1548"/>
      <c r="X101" s="1548"/>
      <c r="Y101" s="1548"/>
      <c r="Z101" s="1548"/>
      <c r="AA101" s="1548"/>
    </row>
    <row r="102" spans="1:29" s="1467" customFormat="1" ht="58.5" customHeight="1">
      <c r="A102" s="3730"/>
      <c r="B102" s="3210" t="str">
        <f t="shared" si="3"/>
        <v>2200002223</v>
      </c>
      <c r="C102" s="1782" t="s">
        <v>3399</v>
      </c>
      <c r="D102" s="1494"/>
      <c r="E102" s="1495"/>
      <c r="F102" s="1782" t="s">
        <v>3401</v>
      </c>
      <c r="G102" s="1495"/>
      <c r="H102" s="1495"/>
      <c r="I102" s="1495" t="s">
        <v>5460</v>
      </c>
      <c r="J102" s="3379" t="s">
        <v>19</v>
      </c>
      <c r="K102" s="1543" t="s">
        <v>1138</v>
      </c>
      <c r="L102" s="1600" t="s">
        <v>5610</v>
      </c>
      <c r="M102" s="2357">
        <v>810</v>
      </c>
      <c r="N102" s="2915" t="s">
        <v>5466</v>
      </c>
      <c r="O102" s="1493"/>
      <c r="P102" s="1859"/>
      <c r="Q102" s="3374" t="s">
        <v>5323</v>
      </c>
      <c r="R102" s="1548"/>
      <c r="S102" s="1548"/>
      <c r="T102" s="1548"/>
      <c r="U102" s="1548"/>
      <c r="V102" s="1548"/>
      <c r="W102" s="1548"/>
      <c r="X102" s="1548"/>
      <c r="Y102" s="1548"/>
      <c r="Z102" s="1548"/>
      <c r="AA102" s="1548"/>
    </row>
    <row r="103" spans="1:29" s="1467" customFormat="1" ht="58.5" customHeight="1">
      <c r="A103" s="3730"/>
      <c r="B103" s="3210" t="str">
        <f t="shared" si="3"/>
        <v>2200002224</v>
      </c>
      <c r="C103" s="1782" t="s">
        <v>3399</v>
      </c>
      <c r="D103" s="1494"/>
      <c r="E103" s="1495"/>
      <c r="F103" s="1782" t="s">
        <v>3401</v>
      </c>
      <c r="G103" s="1495"/>
      <c r="H103" s="1495"/>
      <c r="I103" s="1495" t="s">
        <v>5460</v>
      </c>
      <c r="J103" s="3379" t="s">
        <v>19</v>
      </c>
      <c r="K103" s="1543" t="s">
        <v>1138</v>
      </c>
      <c r="L103" s="1600" t="s">
        <v>5611</v>
      </c>
      <c r="M103" s="2357">
        <v>125</v>
      </c>
      <c r="N103" s="2196" t="s">
        <v>5445</v>
      </c>
      <c r="O103" s="1493"/>
      <c r="P103" s="1859"/>
      <c r="Q103" s="3374" t="s">
        <v>5323</v>
      </c>
      <c r="R103" s="1548"/>
      <c r="S103" s="1548"/>
      <c r="T103" s="1548"/>
      <c r="U103" s="1548"/>
      <c r="V103" s="1548"/>
      <c r="W103" s="1548"/>
      <c r="X103" s="1548"/>
      <c r="Y103" s="1548"/>
      <c r="Z103" s="1548"/>
      <c r="AA103" s="1548"/>
    </row>
    <row r="104" spans="1:29" s="1467" customFormat="1" ht="58.5" customHeight="1">
      <c r="A104" s="3730"/>
      <c r="B104" s="3210" t="str">
        <f t="shared" si="3"/>
        <v>2200002225</v>
      </c>
      <c r="C104" s="1782" t="s">
        <v>3399</v>
      </c>
      <c r="D104" s="1494"/>
      <c r="E104" s="1495"/>
      <c r="F104" s="1782" t="s">
        <v>3401</v>
      </c>
      <c r="G104" s="1495"/>
      <c r="H104" s="1495"/>
      <c r="I104" s="1495" t="s">
        <v>5460</v>
      </c>
      <c r="J104" s="3379" t="s">
        <v>19</v>
      </c>
      <c r="K104" s="1543" t="s">
        <v>1138</v>
      </c>
      <c r="L104" s="1600" t="s">
        <v>5612</v>
      </c>
      <c r="M104" s="2357">
        <v>366</v>
      </c>
      <c r="N104" s="2915" t="s">
        <v>5466</v>
      </c>
      <c r="O104" s="1493"/>
      <c r="P104" s="1859"/>
      <c r="Q104" s="3374" t="s">
        <v>5323</v>
      </c>
      <c r="R104" s="1548"/>
      <c r="S104" s="1548"/>
      <c r="T104" s="1548"/>
      <c r="U104" s="1548"/>
      <c r="V104" s="1548"/>
      <c r="W104" s="1548"/>
      <c r="X104" s="1548"/>
      <c r="Y104" s="1548"/>
      <c r="Z104" s="1548"/>
      <c r="AA104" s="1548"/>
    </row>
    <row r="105" spans="1:29" s="1467" customFormat="1" ht="58.5" customHeight="1">
      <c r="A105" s="3731"/>
      <c r="B105" s="3210" t="str">
        <f t="shared" si="3"/>
        <v>2200002150</v>
      </c>
      <c r="C105" s="1782" t="s">
        <v>3399</v>
      </c>
      <c r="D105" s="1668"/>
      <c r="E105" s="1495"/>
      <c r="F105" s="1782" t="s">
        <v>3401</v>
      </c>
      <c r="G105" s="1495"/>
      <c r="H105" s="1495"/>
      <c r="I105" s="1495" t="s">
        <v>5460</v>
      </c>
      <c r="J105" s="1902" t="s">
        <v>19</v>
      </c>
      <c r="K105" s="1543" t="s">
        <v>1138</v>
      </c>
      <c r="L105" s="2877" t="s">
        <v>5467</v>
      </c>
      <c r="M105" s="3275">
        <v>670</v>
      </c>
      <c r="N105" s="2915" t="s">
        <v>5257</v>
      </c>
      <c r="O105" s="1493"/>
      <c r="P105" s="1859"/>
      <c r="Q105" s="3374" t="s">
        <v>5323</v>
      </c>
      <c r="R105" s="1852"/>
    </row>
    <row r="106" spans="1:29" s="2643" customFormat="1" ht="58.5" customHeight="1">
      <c r="A106" s="3732">
        <v>28</v>
      </c>
      <c r="B106" s="3210" t="str">
        <f t="shared" si="3"/>
        <v>2000003382</v>
      </c>
      <c r="C106" s="2667" t="s">
        <v>219</v>
      </c>
      <c r="D106" s="2767">
        <v>3750</v>
      </c>
      <c r="E106" s="1921" t="s">
        <v>5613</v>
      </c>
      <c r="F106" s="2667" t="s">
        <v>61</v>
      </c>
      <c r="G106" s="1921" t="s">
        <v>5614</v>
      </c>
      <c r="H106" s="1921"/>
      <c r="I106" s="1921" t="s">
        <v>5615</v>
      </c>
      <c r="J106" s="2667" t="s">
        <v>19</v>
      </c>
      <c r="K106" s="2187" t="s">
        <v>20</v>
      </c>
      <c r="L106" s="1862" t="s">
        <v>5616</v>
      </c>
      <c r="M106" s="2583">
        <v>1230</v>
      </c>
      <c r="N106" s="3209" t="s">
        <v>5257</v>
      </c>
      <c r="O106" s="1902"/>
      <c r="P106" s="1775"/>
      <c r="Q106" s="3374" t="s">
        <v>5323</v>
      </c>
      <c r="R106" s="2626"/>
    </row>
    <row r="107" spans="1:29" s="1467" customFormat="1" ht="58.5" customHeight="1">
      <c r="A107" s="3733"/>
      <c r="B107" s="3210" t="str">
        <f t="shared" si="3"/>
        <v>2200002246</v>
      </c>
      <c r="C107" s="1782" t="s">
        <v>219</v>
      </c>
      <c r="D107" s="1668"/>
      <c r="E107" s="1495"/>
      <c r="F107" s="1782" t="s">
        <v>61</v>
      </c>
      <c r="G107" s="1495"/>
      <c r="H107" s="1495"/>
      <c r="I107" s="1495" t="s">
        <v>5615</v>
      </c>
      <c r="J107" s="2667" t="s">
        <v>19</v>
      </c>
      <c r="K107" s="1543" t="s">
        <v>1138</v>
      </c>
      <c r="L107" s="2877" t="s">
        <v>5617</v>
      </c>
      <c r="M107" s="3275">
        <v>1982</v>
      </c>
      <c r="N107" s="2915" t="s">
        <v>5466</v>
      </c>
      <c r="O107" s="1493"/>
      <c r="P107" s="1859"/>
      <c r="Q107" s="3374" t="s">
        <v>5323</v>
      </c>
      <c r="R107" s="1852"/>
    </row>
    <row r="108" spans="1:29" s="1467" customFormat="1" ht="58.5" customHeight="1">
      <c r="A108" s="3733"/>
      <c r="B108" s="3210" t="str">
        <f t="shared" si="3"/>
        <v>2200002251</v>
      </c>
      <c r="C108" s="3356" t="s">
        <v>219</v>
      </c>
      <c r="D108" s="1668"/>
      <c r="E108" s="1495"/>
      <c r="F108" s="1782" t="s">
        <v>61</v>
      </c>
      <c r="G108" s="1495"/>
      <c r="H108" s="1495"/>
      <c r="I108" s="1495" t="s">
        <v>5615</v>
      </c>
      <c r="J108" s="2667" t="s">
        <v>19</v>
      </c>
      <c r="K108" s="1543" t="s">
        <v>1138</v>
      </c>
      <c r="L108" s="2877" t="s">
        <v>5618</v>
      </c>
      <c r="M108" s="3275">
        <v>228</v>
      </c>
      <c r="N108" s="2915" t="s">
        <v>5466</v>
      </c>
      <c r="O108" s="1493"/>
      <c r="P108" s="1859"/>
      <c r="Q108" s="3374" t="s">
        <v>5323</v>
      </c>
      <c r="R108" s="1852"/>
    </row>
    <row r="109" spans="1:29" s="1467" customFormat="1" ht="58.5" customHeight="1">
      <c r="A109" s="3733"/>
      <c r="B109" s="3210" t="str">
        <f t="shared" si="3"/>
        <v>2200002253</v>
      </c>
      <c r="C109" s="3356" t="s">
        <v>219</v>
      </c>
      <c r="D109" s="1668"/>
      <c r="E109" s="1495"/>
      <c r="F109" s="1782" t="s">
        <v>61</v>
      </c>
      <c r="G109" s="1495"/>
      <c r="H109" s="1495"/>
      <c r="I109" s="1495" t="s">
        <v>5615</v>
      </c>
      <c r="J109" s="2667" t="s">
        <v>19</v>
      </c>
      <c r="K109" s="1543" t="s">
        <v>1138</v>
      </c>
      <c r="L109" s="2877" t="s">
        <v>5619</v>
      </c>
      <c r="M109" s="3275">
        <v>176</v>
      </c>
      <c r="N109" s="2915" t="s">
        <v>5466</v>
      </c>
      <c r="O109" s="1493"/>
      <c r="P109" s="1859"/>
      <c r="Q109" s="3374" t="s">
        <v>5323</v>
      </c>
      <c r="R109" s="1852"/>
    </row>
    <row r="110" spans="1:29" s="1467" customFormat="1" ht="58.5" customHeight="1">
      <c r="A110" s="3734"/>
      <c r="B110" s="3210" t="str">
        <f t="shared" si="3"/>
        <v>2200002254</v>
      </c>
      <c r="C110" s="3356" t="s">
        <v>219</v>
      </c>
      <c r="D110" s="1668"/>
      <c r="E110" s="1495"/>
      <c r="F110" s="1782" t="s">
        <v>61</v>
      </c>
      <c r="G110" s="1495"/>
      <c r="H110" s="1495"/>
      <c r="I110" s="1495" t="s">
        <v>5615</v>
      </c>
      <c r="J110" s="2667" t="s">
        <v>19</v>
      </c>
      <c r="K110" s="1543" t="s">
        <v>1138</v>
      </c>
      <c r="L110" s="2877" t="s">
        <v>5620</v>
      </c>
      <c r="M110" s="3275">
        <v>134</v>
      </c>
      <c r="N110" s="2915" t="s">
        <v>5466</v>
      </c>
      <c r="O110" s="1493"/>
      <c r="P110" s="1859"/>
      <c r="Q110" s="3374" t="s">
        <v>5323</v>
      </c>
      <c r="R110" s="1852"/>
    </row>
    <row r="111" spans="1:29" s="1548" customFormat="1" ht="58.5" customHeight="1">
      <c r="A111" s="3746">
        <v>29</v>
      </c>
      <c r="B111" s="3210" t="str">
        <f t="shared" si="3"/>
        <v>2000003424</v>
      </c>
      <c r="C111" s="3033" t="s">
        <v>3275</v>
      </c>
      <c r="D111" s="1494">
        <v>10500</v>
      </c>
      <c r="E111" s="1495" t="s">
        <v>5395</v>
      </c>
      <c r="F111" s="3023" t="s">
        <v>3401</v>
      </c>
      <c r="G111" s="1495" t="s">
        <v>5621</v>
      </c>
      <c r="H111" s="1495"/>
      <c r="I111" s="1495" t="s">
        <v>5253</v>
      </c>
      <c r="J111" s="3023" t="s">
        <v>19</v>
      </c>
      <c r="K111" s="3021" t="s">
        <v>5325</v>
      </c>
      <c r="L111" s="2880" t="s">
        <v>5622</v>
      </c>
      <c r="M111" s="3051">
        <f>7560-3360</f>
        <v>4200</v>
      </c>
      <c r="N111" s="2196" t="s">
        <v>5563</v>
      </c>
      <c r="O111" s="1493"/>
      <c r="P111" s="1547"/>
      <c r="Q111" s="3370" t="s">
        <v>5323</v>
      </c>
      <c r="R111" s="3258"/>
      <c r="S111" s="1474"/>
      <c r="T111" s="1474"/>
      <c r="U111" s="3259"/>
      <c r="V111" s="1634"/>
      <c r="W111" s="1474"/>
      <c r="X111" s="2024"/>
      <c r="Y111" s="2024"/>
      <c r="Z111" s="1493"/>
      <c r="AA111" s="1495"/>
      <c r="AB111" s="1551"/>
      <c r="AC111" s="3260"/>
    </row>
    <row r="112" spans="1:29" s="1548" customFormat="1" ht="58.5" customHeight="1">
      <c r="A112" s="3747"/>
      <c r="B112" s="3210" t="str">
        <f t="shared" si="3"/>
        <v>2000003425</v>
      </c>
      <c r="C112" s="3023" t="s">
        <v>3275</v>
      </c>
      <c r="D112" s="3366"/>
      <c r="E112" s="3173"/>
      <c r="F112" s="3023" t="s">
        <v>3401</v>
      </c>
      <c r="G112" s="1495"/>
      <c r="H112" s="1495"/>
      <c r="I112" s="1495" t="s">
        <v>5253</v>
      </c>
      <c r="J112" s="3023" t="s">
        <v>19</v>
      </c>
      <c r="K112" s="3021" t="s">
        <v>5325</v>
      </c>
      <c r="L112" s="2880" t="s">
        <v>5623</v>
      </c>
      <c r="M112" s="3051">
        <v>3360</v>
      </c>
      <c r="N112" s="2196" t="s">
        <v>5563</v>
      </c>
      <c r="O112" s="1493"/>
      <c r="P112" s="1547"/>
      <c r="Q112" s="3370" t="s">
        <v>5323</v>
      </c>
      <c r="R112" s="3258"/>
      <c r="S112" s="1474"/>
      <c r="T112" s="1474"/>
      <c r="U112" s="3259"/>
      <c r="V112" s="1634"/>
      <c r="W112" s="1474"/>
      <c r="X112" s="2024"/>
      <c r="Y112" s="2024"/>
      <c r="Z112" s="1493"/>
      <c r="AA112" s="1495"/>
      <c r="AB112" s="1551"/>
      <c r="AC112" s="3260"/>
    </row>
    <row r="113" spans="1:35" s="2643" customFormat="1" ht="58.5" customHeight="1">
      <c r="A113" s="3747"/>
      <c r="B113" s="3210" t="str">
        <f t="shared" si="3"/>
        <v>2000003368</v>
      </c>
      <c r="C113" s="3023" t="s">
        <v>3275</v>
      </c>
      <c r="D113" s="2607"/>
      <c r="E113" s="3035"/>
      <c r="F113" s="3023" t="s">
        <v>3401</v>
      </c>
      <c r="G113" s="1921"/>
      <c r="H113" s="3302"/>
      <c r="I113" s="1495" t="s">
        <v>5253</v>
      </c>
      <c r="J113" s="1493" t="s">
        <v>19</v>
      </c>
      <c r="K113" s="3174" t="s">
        <v>5325</v>
      </c>
      <c r="L113" s="3274" t="s">
        <v>5624</v>
      </c>
      <c r="M113" s="3054">
        <v>82</v>
      </c>
      <c r="N113" s="2915" t="s">
        <v>5481</v>
      </c>
      <c r="O113" s="1902"/>
      <c r="P113" s="1745"/>
      <c r="Q113" s="3265" t="s">
        <v>5323</v>
      </c>
      <c r="R113" s="2150"/>
      <c r="S113" s="2150"/>
      <c r="T113" s="2150"/>
      <c r="U113" s="2150"/>
      <c r="V113" s="2150"/>
      <c r="W113" s="2150"/>
      <c r="X113" s="2150"/>
      <c r="Y113" s="2150"/>
      <c r="Z113" s="2150"/>
      <c r="AA113" s="2150"/>
      <c r="AB113" s="2150"/>
      <c r="AC113" s="2150"/>
      <c r="AD113" s="2150"/>
      <c r="AE113" s="2150"/>
      <c r="AF113" s="2150"/>
      <c r="AG113" s="2150"/>
      <c r="AH113" s="2150"/>
    </row>
    <row r="114" spans="1:35" s="1548" customFormat="1" ht="58.5" customHeight="1">
      <c r="A114" s="3747"/>
      <c r="B114" s="3035" t="str">
        <f t="shared" si="3"/>
        <v>2000003444</v>
      </c>
      <c r="C114" s="3023" t="s">
        <v>3275</v>
      </c>
      <c r="D114" s="1494"/>
      <c r="E114" s="1495"/>
      <c r="F114" s="3023" t="s">
        <v>3401</v>
      </c>
      <c r="G114" s="1495"/>
      <c r="H114" s="1495"/>
      <c r="I114" s="1495" t="s">
        <v>5253</v>
      </c>
      <c r="J114" s="3023" t="s">
        <v>19</v>
      </c>
      <c r="K114" s="1495" t="s">
        <v>123</v>
      </c>
      <c r="L114" s="1547" t="s">
        <v>5625</v>
      </c>
      <c r="M114" s="3051">
        <v>2000</v>
      </c>
      <c r="N114" s="2196" t="s">
        <v>5563</v>
      </c>
      <c r="O114" s="1493"/>
      <c r="P114" s="1547"/>
      <c r="Q114" s="3370" t="s">
        <v>5323</v>
      </c>
      <c r="R114" s="3258"/>
      <c r="S114" s="1474"/>
      <c r="T114" s="1474"/>
      <c r="U114" s="3259"/>
      <c r="V114" s="1634"/>
      <c r="W114" s="1474"/>
      <c r="X114" s="2024"/>
      <c r="Y114" s="2024"/>
      <c r="Z114" s="1493"/>
      <c r="AA114" s="1495"/>
      <c r="AB114" s="1551"/>
      <c r="AC114" s="3260"/>
    </row>
    <row r="115" spans="1:35" s="1548" customFormat="1" ht="58.5" customHeight="1">
      <c r="A115" s="3748"/>
      <c r="B115" s="3041" t="str">
        <f t="shared" si="3"/>
        <v>2000003442</v>
      </c>
      <c r="C115" s="3179" t="s">
        <v>3275</v>
      </c>
      <c r="D115" s="2613"/>
      <c r="E115" s="1543"/>
      <c r="F115" s="3179" t="s">
        <v>3401</v>
      </c>
      <c r="G115" s="1543"/>
      <c r="H115" s="1543"/>
      <c r="I115" s="1543" t="s">
        <v>5253</v>
      </c>
      <c r="J115" s="3179" t="s">
        <v>19</v>
      </c>
      <c r="K115" s="1543" t="s">
        <v>123</v>
      </c>
      <c r="L115" s="1828" t="s">
        <v>5626</v>
      </c>
      <c r="M115" s="3051">
        <v>1000</v>
      </c>
      <c r="N115" s="2196" t="s">
        <v>5563</v>
      </c>
      <c r="O115" s="1493"/>
      <c r="P115" s="1547"/>
      <c r="Q115" s="3370" t="s">
        <v>5323</v>
      </c>
      <c r="R115" s="3258"/>
      <c r="S115" s="1474"/>
      <c r="T115" s="1474"/>
      <c r="U115" s="3259"/>
      <c r="V115" s="1634"/>
      <c r="W115" s="1474"/>
      <c r="X115" s="2024"/>
      <c r="Y115" s="2024"/>
      <c r="Z115" s="1493"/>
      <c r="AA115" s="1495"/>
      <c r="AB115" s="1551"/>
      <c r="AC115" s="3260"/>
    </row>
    <row r="116" spans="1:35" s="3384" customFormat="1" ht="58.5" customHeight="1">
      <c r="A116" s="3389"/>
      <c r="B116" s="3386"/>
      <c r="C116" s="3381" t="s">
        <v>2912</v>
      </c>
      <c r="D116" s="3387">
        <v>3940</v>
      </c>
      <c r="E116" s="3382" t="s">
        <v>5627</v>
      </c>
      <c r="F116" s="3381" t="s">
        <v>61</v>
      </c>
      <c r="G116" s="3383"/>
      <c r="H116" s="3382"/>
      <c r="I116" s="3382" t="s">
        <v>5615</v>
      </c>
      <c r="J116" s="3388"/>
      <c r="K116" s="3388"/>
      <c r="L116" s="3390" t="s">
        <v>216</v>
      </c>
      <c r="R116" s="3385"/>
    </row>
    <row r="117" spans="1:35" s="2150" customFormat="1" ht="58.5" customHeight="1">
      <c r="A117" s="3729">
        <v>3</v>
      </c>
      <c r="B117" s="3168" t="str">
        <f t="shared" ref="B117:B148" si="4">TEXT(LEFT(L117,10),"0000000000")</f>
        <v>2000003443</v>
      </c>
      <c r="C117" s="3039" t="s">
        <v>5628</v>
      </c>
      <c r="D117" s="2585">
        <v>12270</v>
      </c>
      <c r="E117" s="2118" t="s">
        <v>5629</v>
      </c>
      <c r="F117" s="3039" t="s">
        <v>3401</v>
      </c>
      <c r="G117" s="2118" t="s">
        <v>5630</v>
      </c>
      <c r="H117" s="2118"/>
      <c r="I117" s="1851" t="s">
        <v>5253</v>
      </c>
      <c r="J117" s="3039" t="s">
        <v>19</v>
      </c>
      <c r="K117" s="2118" t="s">
        <v>123</v>
      </c>
      <c r="L117" s="2402" t="s">
        <v>5631</v>
      </c>
      <c r="M117" s="3055">
        <v>2000</v>
      </c>
      <c r="N117" s="2196" t="s">
        <v>5563</v>
      </c>
      <c r="O117" s="1902"/>
      <c r="P117" s="1911">
        <v>1909</v>
      </c>
      <c r="Q117" s="3370" t="s">
        <v>5323</v>
      </c>
      <c r="R117" s="3362"/>
      <c r="S117" s="2659"/>
      <c r="T117" s="2659"/>
      <c r="U117" s="3363"/>
      <c r="V117" s="1904"/>
      <c r="W117" s="2659"/>
      <c r="X117" s="2424"/>
      <c r="Y117" s="2424"/>
      <c r="Z117" s="1902"/>
      <c r="AA117" s="1921"/>
      <c r="AB117" s="3364"/>
      <c r="AC117" s="3365"/>
    </row>
    <row r="118" spans="1:35" s="1548" customFormat="1" ht="58.5" customHeight="1">
      <c r="A118" s="3730"/>
      <c r="B118" s="3035" t="str">
        <f t="shared" si="4"/>
        <v>2000003445</v>
      </c>
      <c r="C118" s="3023" t="s">
        <v>5628</v>
      </c>
      <c r="D118" s="1494"/>
      <c r="E118" s="1495"/>
      <c r="F118" s="3023" t="s">
        <v>3401</v>
      </c>
      <c r="G118" s="1495"/>
      <c r="H118" s="1495"/>
      <c r="I118" s="1495" t="s">
        <v>5253</v>
      </c>
      <c r="J118" s="3023" t="s">
        <v>19</v>
      </c>
      <c r="K118" s="1495" t="s">
        <v>123</v>
      </c>
      <c r="L118" s="1547" t="s">
        <v>5632</v>
      </c>
      <c r="M118" s="3051">
        <v>2000</v>
      </c>
      <c r="N118" s="2196" t="s">
        <v>5563</v>
      </c>
      <c r="O118" s="1493"/>
      <c r="P118" s="1547">
        <v>1841</v>
      </c>
      <c r="Q118" s="3370" t="s">
        <v>5323</v>
      </c>
      <c r="R118" s="3258"/>
      <c r="S118" s="1474"/>
      <c r="T118" s="1474"/>
      <c r="U118" s="3259"/>
      <c r="V118" s="1634"/>
      <c r="W118" s="1474"/>
      <c r="X118" s="2024"/>
      <c r="Y118" s="2024"/>
      <c r="Z118" s="1493"/>
      <c r="AA118" s="1495"/>
      <c r="AB118" s="1551"/>
      <c r="AC118" s="3260"/>
    </row>
    <row r="119" spans="1:35" s="1548" customFormat="1" ht="58.5" customHeight="1">
      <c r="A119" s="3730"/>
      <c r="B119" s="3035" t="str">
        <f t="shared" si="4"/>
        <v>2000003442</v>
      </c>
      <c r="C119" s="3023" t="s">
        <v>5628</v>
      </c>
      <c r="D119" s="1494"/>
      <c r="E119" s="1495"/>
      <c r="F119" s="3023" t="s">
        <v>3401</v>
      </c>
      <c r="G119" s="1495"/>
      <c r="H119" s="1495"/>
      <c r="I119" s="1495" t="s">
        <v>5253</v>
      </c>
      <c r="J119" s="3023" t="s">
        <v>19</v>
      </c>
      <c r="K119" s="1495" t="s">
        <v>123</v>
      </c>
      <c r="L119" s="1600" t="s">
        <v>5633</v>
      </c>
      <c r="M119" s="3051">
        <v>1000</v>
      </c>
      <c r="N119" s="2196" t="s">
        <v>5563</v>
      </c>
      <c r="O119" s="1493"/>
      <c r="P119" s="1547"/>
      <c r="Q119" s="3370" t="s">
        <v>5323</v>
      </c>
      <c r="R119" s="3258"/>
      <c r="S119" s="1474"/>
      <c r="T119" s="1474"/>
      <c r="U119" s="3259"/>
      <c r="V119" s="1634"/>
      <c r="W119" s="1474"/>
      <c r="X119" s="2024"/>
      <c r="Y119" s="2024"/>
      <c r="Z119" s="1493"/>
      <c r="AA119" s="1495"/>
      <c r="AB119" s="1551"/>
      <c r="AC119" s="3260"/>
    </row>
    <row r="120" spans="1:35" s="2150" customFormat="1" ht="58.5" customHeight="1">
      <c r="A120" s="3731"/>
      <c r="B120" s="3035" t="str">
        <f t="shared" si="4"/>
        <v>2000003418</v>
      </c>
      <c r="C120" s="3023" t="s">
        <v>5628</v>
      </c>
      <c r="D120" s="3238"/>
      <c r="E120" s="3021"/>
      <c r="F120" s="3023" t="s">
        <v>3401</v>
      </c>
      <c r="G120" s="3021"/>
      <c r="H120" s="3021"/>
      <c r="I120" s="3021" t="s">
        <v>5253</v>
      </c>
      <c r="J120" s="3023" t="s">
        <v>19</v>
      </c>
      <c r="K120" s="3021" t="s">
        <v>63</v>
      </c>
      <c r="L120" s="2880" t="s">
        <v>5634</v>
      </c>
      <c r="M120" s="3247">
        <v>7300</v>
      </c>
      <c r="N120" s="3209" t="s">
        <v>5257</v>
      </c>
      <c r="O120" s="3033"/>
      <c r="P120" s="3229"/>
      <c r="Q120" s="3358" t="s">
        <v>5323</v>
      </c>
    </row>
    <row r="121" spans="1:35" s="2150" customFormat="1" ht="58.5" customHeight="1">
      <c r="A121" s="3729">
        <v>31</v>
      </c>
      <c r="B121" s="3035" t="str">
        <f t="shared" si="4"/>
        <v>2000003418</v>
      </c>
      <c r="C121" s="3033" t="s">
        <v>5635</v>
      </c>
      <c r="D121" s="3238">
        <v>10600</v>
      </c>
      <c r="E121" s="3021" t="s">
        <v>5636</v>
      </c>
      <c r="F121" s="3023" t="s">
        <v>3416</v>
      </c>
      <c r="G121" s="3021" t="s">
        <v>5637</v>
      </c>
      <c r="H121" s="3021"/>
      <c r="I121" s="3021" t="s">
        <v>5253</v>
      </c>
      <c r="J121" s="3023" t="s">
        <v>19</v>
      </c>
      <c r="K121" s="3021" t="s">
        <v>63</v>
      </c>
      <c r="L121" s="2880" t="s">
        <v>5638</v>
      </c>
      <c r="M121" s="3407">
        <f>9170-7300</f>
        <v>1870</v>
      </c>
      <c r="N121" s="3209" t="s">
        <v>5257</v>
      </c>
      <c r="O121" s="3033"/>
      <c r="P121" s="3229"/>
      <c r="Q121" s="3358" t="s">
        <v>5323</v>
      </c>
    </row>
    <row r="122" spans="1:35" s="1467" customFormat="1" ht="58.5" customHeight="1">
      <c r="A122" s="3730"/>
      <c r="B122" s="3035" t="str">
        <f t="shared" si="4"/>
        <v>2000003291</v>
      </c>
      <c r="C122" s="3023" t="s">
        <v>5635</v>
      </c>
      <c r="D122" s="1494"/>
      <c r="E122" s="1495"/>
      <c r="F122" s="3023" t="s">
        <v>3416</v>
      </c>
      <c r="G122" s="1495"/>
      <c r="H122" s="1495"/>
      <c r="I122" s="3075" t="s">
        <v>5253</v>
      </c>
      <c r="J122" s="1495" t="s">
        <v>19</v>
      </c>
      <c r="K122" s="1495" t="s">
        <v>63</v>
      </c>
      <c r="L122" s="2880" t="s">
        <v>5639</v>
      </c>
      <c r="M122" s="3051">
        <v>1800</v>
      </c>
      <c r="N122" s="2196" t="s">
        <v>5454</v>
      </c>
      <c r="O122" s="1493"/>
      <c r="P122" s="2590"/>
      <c r="Q122" s="3358" t="s">
        <v>5323</v>
      </c>
      <c r="R122" s="2590"/>
      <c r="S122" s="1548"/>
      <c r="T122" s="1548"/>
      <c r="U122" s="1548"/>
      <c r="V122" s="1548"/>
      <c r="W122" s="1548"/>
    </row>
    <row r="123" spans="1:35" s="1467" customFormat="1" ht="58.5" customHeight="1">
      <c r="A123" s="3730"/>
      <c r="B123" s="3035" t="str">
        <f t="shared" si="4"/>
        <v>2000003427</v>
      </c>
      <c r="C123" s="3023" t="s">
        <v>5635</v>
      </c>
      <c r="D123" s="1494"/>
      <c r="E123" s="1495"/>
      <c r="F123" s="3023" t="s">
        <v>3416</v>
      </c>
      <c r="G123" s="1495"/>
      <c r="H123" s="1495"/>
      <c r="I123" s="3075" t="s">
        <v>5253</v>
      </c>
      <c r="J123" s="3023" t="s">
        <v>19</v>
      </c>
      <c r="K123" s="3021" t="s">
        <v>63</v>
      </c>
      <c r="L123" s="2880" t="s">
        <v>5640</v>
      </c>
      <c r="M123" s="1826">
        <v>1200</v>
      </c>
      <c r="N123" s="3209" t="s">
        <v>5257</v>
      </c>
      <c r="O123" s="1493"/>
      <c r="P123" s="1859"/>
      <c r="Q123" s="3373" t="s">
        <v>5323</v>
      </c>
    </row>
    <row r="124" spans="1:35" s="2150" customFormat="1" ht="70.5" customHeight="1">
      <c r="A124" s="3730"/>
      <c r="B124" s="3035" t="str">
        <f t="shared" si="4"/>
        <v>2000003420</v>
      </c>
      <c r="C124" s="3023" t="s">
        <v>5635</v>
      </c>
      <c r="D124" s="3238"/>
      <c r="E124" s="3021"/>
      <c r="F124" s="3023" t="s">
        <v>3416</v>
      </c>
      <c r="G124" s="3021"/>
      <c r="H124" s="3021"/>
      <c r="I124" s="3075" t="s">
        <v>5253</v>
      </c>
      <c r="J124" s="3023" t="s">
        <v>19</v>
      </c>
      <c r="K124" s="3021" t="s">
        <v>63</v>
      </c>
      <c r="L124" s="2880" t="s">
        <v>5641</v>
      </c>
      <c r="M124" s="3407">
        <v>800</v>
      </c>
      <c r="N124" s="2196" t="s">
        <v>5454</v>
      </c>
      <c r="O124" s="3033"/>
      <c r="P124" s="3229"/>
      <c r="Q124" s="3358" t="s">
        <v>5323</v>
      </c>
    </row>
    <row r="125" spans="1:35" s="1467" customFormat="1" ht="70.5" customHeight="1">
      <c r="A125" s="3730"/>
      <c r="B125" s="3035" t="str">
        <f t="shared" si="4"/>
        <v>2000003447</v>
      </c>
      <c r="C125" s="3023" t="s">
        <v>5635</v>
      </c>
      <c r="D125" s="1494"/>
      <c r="E125" s="1495"/>
      <c r="F125" s="3023" t="s">
        <v>3416</v>
      </c>
      <c r="G125" s="1495"/>
      <c r="H125" s="1495"/>
      <c r="I125" s="3075" t="s">
        <v>5253</v>
      </c>
      <c r="J125" s="3023" t="s">
        <v>19</v>
      </c>
      <c r="K125" s="3021" t="s">
        <v>63</v>
      </c>
      <c r="L125" s="1600" t="s">
        <v>5642</v>
      </c>
      <c r="M125" s="1826">
        <v>1560</v>
      </c>
      <c r="N125" s="2915" t="s">
        <v>5643</v>
      </c>
      <c r="O125" s="1493"/>
      <c r="P125" s="1859"/>
      <c r="Q125" s="3373" t="s">
        <v>5323</v>
      </c>
    </row>
    <row r="126" spans="1:35" s="1548" customFormat="1" ht="70.5" customHeight="1">
      <c r="A126" s="3730"/>
      <c r="B126" s="3035" t="str">
        <f t="shared" si="4"/>
        <v>2000003441</v>
      </c>
      <c r="C126" s="3023" t="s">
        <v>5635</v>
      </c>
      <c r="F126" s="3023" t="s">
        <v>3416</v>
      </c>
      <c r="G126" s="1495"/>
      <c r="H126" s="1495"/>
      <c r="I126" s="1495" t="s">
        <v>5253</v>
      </c>
      <c r="J126" s="3023" t="s">
        <v>19</v>
      </c>
      <c r="K126" s="1495" t="s">
        <v>123</v>
      </c>
      <c r="L126" s="1547" t="s">
        <v>5644</v>
      </c>
      <c r="M126" s="3051">
        <v>2000</v>
      </c>
      <c r="N126" s="2196" t="s">
        <v>5454</v>
      </c>
      <c r="O126" s="1493"/>
      <c r="P126" s="1547">
        <v>1953</v>
      </c>
      <c r="Q126" s="3370" t="s">
        <v>5323</v>
      </c>
      <c r="R126" s="3258"/>
      <c r="S126" s="1474"/>
      <c r="T126" s="1474"/>
      <c r="U126" s="3259"/>
      <c r="V126" s="1634"/>
      <c r="W126" s="1474"/>
      <c r="X126" s="2024"/>
      <c r="Y126" s="2024"/>
      <c r="Z126" s="1493"/>
      <c r="AA126" s="1495"/>
      <c r="AB126" s="1551"/>
      <c r="AC126" s="3260"/>
    </row>
    <row r="127" spans="1:35" s="1548" customFormat="1" ht="70.5" customHeight="1">
      <c r="A127" s="3730"/>
      <c r="B127" s="3035" t="str">
        <f t="shared" si="4"/>
        <v>2200002278</v>
      </c>
      <c r="C127" s="3023" t="s">
        <v>5635</v>
      </c>
      <c r="F127" s="3023" t="s">
        <v>3416</v>
      </c>
      <c r="G127" s="1495"/>
      <c r="H127" s="1495"/>
      <c r="I127" s="1495" t="s">
        <v>5645</v>
      </c>
      <c r="J127" s="3023" t="s">
        <v>19</v>
      </c>
      <c r="K127" s="3021" t="s">
        <v>63</v>
      </c>
      <c r="L127" s="1600" t="s">
        <v>5646</v>
      </c>
      <c r="M127" s="3051">
        <v>240</v>
      </c>
      <c r="N127" s="2196" t="s">
        <v>5647</v>
      </c>
      <c r="O127" s="1493"/>
      <c r="P127" s="1547"/>
      <c r="Q127" s="3370" t="s">
        <v>5323</v>
      </c>
      <c r="R127" s="3258"/>
      <c r="S127" s="1474"/>
      <c r="T127" s="1474"/>
      <c r="U127" s="3259"/>
      <c r="V127" s="1634"/>
      <c r="W127" s="1474"/>
      <c r="X127" s="2024"/>
      <c r="Y127" s="2024"/>
      <c r="Z127" s="1493"/>
      <c r="AA127" s="1495"/>
      <c r="AB127" s="1551"/>
      <c r="AC127" s="3260"/>
    </row>
    <row r="128" spans="1:35" s="1548" customFormat="1" ht="70.5" customHeight="1">
      <c r="A128" s="3730"/>
      <c r="B128" s="3035" t="str">
        <f t="shared" si="4"/>
        <v>2200002266</v>
      </c>
      <c r="C128" s="3023" t="s">
        <v>5635</v>
      </c>
      <c r="F128" s="3023" t="s">
        <v>3416</v>
      </c>
      <c r="G128" s="1495"/>
      <c r="H128" s="1495"/>
      <c r="I128" s="1495" t="s">
        <v>5253</v>
      </c>
      <c r="J128" s="1493" t="s">
        <v>19</v>
      </c>
      <c r="K128" s="3021" t="s">
        <v>63</v>
      </c>
      <c r="L128" s="2880" t="s">
        <v>5648</v>
      </c>
      <c r="M128" s="3051">
        <v>100</v>
      </c>
      <c r="N128" s="2196" t="s">
        <v>5649</v>
      </c>
      <c r="O128" s="1493"/>
      <c r="P128" s="2590"/>
      <c r="Q128" s="3265" t="s">
        <v>5323</v>
      </c>
      <c r="R128" s="1467"/>
      <c r="S128" s="1467"/>
      <c r="T128" s="1467"/>
      <c r="U128" s="1467"/>
      <c r="V128" s="1467"/>
      <c r="W128" s="1467"/>
      <c r="X128" s="1467"/>
      <c r="Y128" s="1467"/>
      <c r="Z128" s="1467"/>
      <c r="AA128" s="1467"/>
      <c r="AB128" s="1467"/>
      <c r="AC128" s="1467"/>
      <c r="AD128" s="1467"/>
      <c r="AE128" s="1467"/>
      <c r="AF128" s="1467"/>
      <c r="AG128" s="1467"/>
      <c r="AH128" s="1467"/>
      <c r="AI128" s="1467"/>
    </row>
    <row r="129" spans="1:29" s="1548" customFormat="1" ht="70.5" customHeight="1">
      <c r="A129" s="3730"/>
      <c r="B129" s="3035" t="str">
        <f t="shared" si="4"/>
        <v>2200002280</v>
      </c>
      <c r="C129" s="3023" t="s">
        <v>5635</v>
      </c>
      <c r="F129" s="3023" t="s">
        <v>3416</v>
      </c>
      <c r="G129" s="1495"/>
      <c r="H129" s="1495"/>
      <c r="I129" s="1495" t="s">
        <v>5645</v>
      </c>
      <c r="J129" s="1493" t="s">
        <v>19</v>
      </c>
      <c r="K129" s="3021" t="s">
        <v>63</v>
      </c>
      <c r="L129" s="1600" t="s">
        <v>5650</v>
      </c>
      <c r="M129" s="3051">
        <v>120</v>
      </c>
      <c r="N129" s="2196" t="s">
        <v>5647</v>
      </c>
      <c r="O129" s="1493"/>
      <c r="P129" s="1547"/>
      <c r="Q129" s="3370" t="s">
        <v>5323</v>
      </c>
      <c r="R129" s="3258"/>
      <c r="S129" s="1474"/>
      <c r="T129" s="1474"/>
      <c r="U129" s="3259"/>
      <c r="V129" s="1634"/>
      <c r="W129" s="1474"/>
      <c r="X129" s="2024"/>
      <c r="Y129" s="2024"/>
      <c r="Z129" s="1493"/>
      <c r="AA129" s="1495"/>
      <c r="AB129" s="1551"/>
      <c r="AC129" s="3260"/>
    </row>
    <row r="130" spans="1:29" s="1548" customFormat="1" ht="70.5" customHeight="1">
      <c r="A130" s="3731"/>
      <c r="B130" s="3035" t="str">
        <f t="shared" si="4"/>
        <v>2200002279</v>
      </c>
      <c r="C130" s="3023" t="s">
        <v>5635</v>
      </c>
      <c r="F130" s="3023" t="s">
        <v>3416</v>
      </c>
      <c r="G130" s="1495"/>
      <c r="H130" s="1495"/>
      <c r="I130" s="1495" t="s">
        <v>5645</v>
      </c>
      <c r="J130" s="1493" t="s">
        <v>19</v>
      </c>
      <c r="K130" s="3021" t="s">
        <v>63</v>
      </c>
      <c r="L130" s="1843" t="s">
        <v>5651</v>
      </c>
      <c r="M130" s="3051">
        <v>1000</v>
      </c>
      <c r="N130" s="2196" t="s">
        <v>5647</v>
      </c>
      <c r="O130" s="1493"/>
      <c r="P130" s="1547"/>
      <c r="Q130" s="3370" t="s">
        <v>5323</v>
      </c>
      <c r="R130" s="3258"/>
      <c r="S130" s="1474"/>
      <c r="T130" s="1474"/>
      <c r="U130" s="3259"/>
      <c r="V130" s="1634"/>
      <c r="W130" s="1474"/>
      <c r="X130" s="2024"/>
      <c r="Y130" s="2024"/>
      <c r="Z130" s="1493"/>
      <c r="AA130" s="1495"/>
      <c r="AB130" s="1551"/>
      <c r="AC130" s="3260"/>
    </row>
    <row r="131" spans="1:29" s="2150" customFormat="1" ht="58.5" customHeight="1">
      <c r="A131" s="3749">
        <v>32</v>
      </c>
      <c r="B131" s="3035" t="str">
        <f t="shared" si="4"/>
        <v>2200002232</v>
      </c>
      <c r="C131" s="3033" t="s">
        <v>3469</v>
      </c>
      <c r="D131" s="3237">
        <v>4280</v>
      </c>
      <c r="E131" s="3035" t="s">
        <v>5395</v>
      </c>
      <c r="F131" s="2667" t="s">
        <v>16</v>
      </c>
      <c r="G131" s="1921" t="s">
        <v>5652</v>
      </c>
      <c r="H131" s="1921"/>
      <c r="I131" s="1921" t="s">
        <v>5253</v>
      </c>
      <c r="J131" s="1902" t="s">
        <v>19</v>
      </c>
      <c r="K131" s="1921" t="s">
        <v>101</v>
      </c>
      <c r="L131" s="3216" t="s">
        <v>5543</v>
      </c>
      <c r="M131" s="3096">
        <v>3140</v>
      </c>
      <c r="N131" s="3209" t="s">
        <v>5257</v>
      </c>
      <c r="O131" s="2429"/>
      <c r="P131" s="1745"/>
      <c r="Q131" s="3358">
        <v>2</v>
      </c>
      <c r="AC131" s="2643"/>
    </row>
    <row r="132" spans="1:29" s="2643" customFormat="1" ht="58.5" customHeight="1">
      <c r="A132" s="3750"/>
      <c r="B132" s="3035" t="str">
        <f t="shared" si="4"/>
        <v>2200002229</v>
      </c>
      <c r="C132" s="3023" t="s">
        <v>3469</v>
      </c>
      <c r="D132" s="3237"/>
      <c r="E132" s="3035"/>
      <c r="F132" s="1782" t="s">
        <v>16</v>
      </c>
      <c r="G132" s="1921"/>
      <c r="H132" s="1921"/>
      <c r="I132" s="1495" t="s">
        <v>5253</v>
      </c>
      <c r="J132" s="1493" t="s">
        <v>19</v>
      </c>
      <c r="K132" s="1495" t="s">
        <v>101</v>
      </c>
      <c r="L132" s="2880" t="s">
        <v>5578</v>
      </c>
      <c r="M132" s="3055">
        <v>1140</v>
      </c>
      <c r="N132" s="2196" t="s">
        <v>5429</v>
      </c>
      <c r="O132" s="1902"/>
      <c r="P132" s="1745"/>
      <c r="Q132" s="3265" t="s">
        <v>5323</v>
      </c>
    </row>
    <row r="133" spans="1:29" s="2643" customFormat="1" ht="58.5" customHeight="1">
      <c r="A133" s="3749">
        <v>33</v>
      </c>
      <c r="B133" s="3035" t="str">
        <f t="shared" si="4"/>
        <v>2200002229</v>
      </c>
      <c r="C133" s="3033" t="s">
        <v>5653</v>
      </c>
      <c r="D133" s="3237">
        <v>3730</v>
      </c>
      <c r="E133" s="1921" t="s">
        <v>5395</v>
      </c>
      <c r="F133" s="2667" t="s">
        <v>61</v>
      </c>
      <c r="G133" s="1921" t="s">
        <v>5654</v>
      </c>
      <c r="H133" s="1921"/>
      <c r="I133" s="1921" t="s">
        <v>5253</v>
      </c>
      <c r="J133" s="1902" t="s">
        <v>19</v>
      </c>
      <c r="K133" s="1921" t="s">
        <v>101</v>
      </c>
      <c r="L133" s="2912" t="s">
        <v>5655</v>
      </c>
      <c r="M133" s="3055">
        <v>1268</v>
      </c>
      <c r="N133" s="2196" t="s">
        <v>5429</v>
      </c>
      <c r="O133" s="1902"/>
      <c r="P133" s="1745"/>
      <c r="Q133" s="3265" t="s">
        <v>5323</v>
      </c>
    </row>
    <row r="134" spans="1:29" s="2643" customFormat="1" ht="58.5" customHeight="1">
      <c r="A134" s="3750"/>
      <c r="B134" s="3035" t="str">
        <f t="shared" si="4"/>
        <v>2000003410</v>
      </c>
      <c r="C134" s="3023" t="s">
        <v>5653</v>
      </c>
      <c r="D134" s="1494"/>
      <c r="E134" s="1495"/>
      <c r="F134" s="1782" t="s">
        <v>61</v>
      </c>
      <c r="G134" s="1495"/>
      <c r="H134" s="1495"/>
      <c r="I134" s="1495" t="s">
        <v>5253</v>
      </c>
      <c r="J134" s="3023" t="s">
        <v>19</v>
      </c>
      <c r="K134" s="1495" t="s">
        <v>74</v>
      </c>
      <c r="L134" s="1600" t="s">
        <v>5656</v>
      </c>
      <c r="M134" s="2357">
        <v>2500</v>
      </c>
      <c r="N134" s="2196" t="s">
        <v>5454</v>
      </c>
      <c r="O134" s="1493"/>
      <c r="P134" s="1859"/>
      <c r="Q134" s="3358">
        <v>2</v>
      </c>
      <c r="R134" s="1790"/>
      <c r="S134" s="1548"/>
      <c r="T134" s="1548"/>
      <c r="U134" s="1548"/>
      <c r="V134" s="1548"/>
      <c r="W134" s="1548"/>
      <c r="X134" s="1548"/>
      <c r="Y134" s="1548"/>
      <c r="Z134" s="1548"/>
      <c r="AA134" s="1548"/>
    </row>
    <row r="135" spans="1:29" s="2643" customFormat="1" ht="58.5" customHeight="1">
      <c r="A135" s="3246">
        <v>34</v>
      </c>
      <c r="B135" s="3035" t="str">
        <f t="shared" si="4"/>
        <v>2000003410</v>
      </c>
      <c r="C135" s="1902" t="s">
        <v>5657</v>
      </c>
      <c r="D135" s="2607">
        <v>4450</v>
      </c>
      <c r="E135" s="1921" t="s">
        <v>5658</v>
      </c>
      <c r="F135" s="1902" t="s">
        <v>54</v>
      </c>
      <c r="G135" s="1921" t="s">
        <v>5659</v>
      </c>
      <c r="H135" s="1921"/>
      <c r="I135" s="1495" t="s">
        <v>5253</v>
      </c>
      <c r="J135" s="3033" t="s">
        <v>19</v>
      </c>
      <c r="K135" s="1921" t="s">
        <v>74</v>
      </c>
      <c r="L135" s="1845" t="s">
        <v>5660</v>
      </c>
      <c r="M135" s="2583">
        <v>4450</v>
      </c>
      <c r="N135" s="2196" t="s">
        <v>5454</v>
      </c>
      <c r="O135" s="1902"/>
      <c r="P135" s="1775"/>
      <c r="Q135" s="3358">
        <v>2</v>
      </c>
      <c r="R135" s="2429"/>
      <c r="S135" s="2150"/>
      <c r="T135" s="2150"/>
      <c r="U135" s="2150"/>
      <c r="V135" s="2150"/>
      <c r="W135" s="2150"/>
      <c r="X135" s="2150"/>
      <c r="Y135" s="2150"/>
      <c r="Z135" s="2150"/>
      <c r="AA135" s="2150"/>
    </row>
    <row r="136" spans="1:29" s="2643" customFormat="1" ht="58.5" customHeight="1">
      <c r="A136" s="3729">
        <v>35</v>
      </c>
      <c r="B136" s="3035" t="str">
        <f t="shared" si="4"/>
        <v>2000003410</v>
      </c>
      <c r="C136" s="1902" t="s">
        <v>5661</v>
      </c>
      <c r="D136" s="3361">
        <v>3460</v>
      </c>
      <c r="E136" s="1902" t="s">
        <v>5658</v>
      </c>
      <c r="F136" s="1902" t="s">
        <v>89</v>
      </c>
      <c r="G136" s="1921"/>
      <c r="H136" s="1921"/>
      <c r="I136" s="1921" t="s">
        <v>5253</v>
      </c>
      <c r="J136" s="3033" t="s">
        <v>19</v>
      </c>
      <c r="K136" s="1921" t="s">
        <v>74</v>
      </c>
      <c r="L136" s="1845" t="s">
        <v>5662</v>
      </c>
      <c r="M136" s="2583">
        <v>1716</v>
      </c>
      <c r="N136" s="2196" t="s">
        <v>5454</v>
      </c>
      <c r="O136" s="1902"/>
      <c r="P136" s="1911"/>
      <c r="Q136" s="3370" t="s">
        <v>5323</v>
      </c>
      <c r="R136" s="3362"/>
      <c r="S136" s="2659"/>
      <c r="T136" s="2659"/>
      <c r="U136" s="3363"/>
      <c r="V136" s="1904"/>
      <c r="W136" s="2659"/>
      <c r="X136" s="2424"/>
      <c r="Y136" s="2424"/>
      <c r="Z136" s="1902"/>
      <c r="AA136" s="1921"/>
      <c r="AB136" s="3364"/>
      <c r="AC136" s="3365"/>
    </row>
    <row r="137" spans="1:29" s="1548" customFormat="1" ht="58.5" customHeight="1">
      <c r="A137" s="3731"/>
      <c r="B137" s="3035" t="str">
        <f t="shared" si="4"/>
        <v>2200002252</v>
      </c>
      <c r="C137" s="1493" t="s">
        <v>5661</v>
      </c>
      <c r="D137" s="1494"/>
      <c r="E137" s="1495"/>
      <c r="F137" s="1493" t="s">
        <v>89</v>
      </c>
      <c r="G137" s="1495"/>
      <c r="H137" s="1495"/>
      <c r="I137" s="1495" t="s">
        <v>5253</v>
      </c>
      <c r="J137" s="3023" t="s">
        <v>19</v>
      </c>
      <c r="K137" s="1495" t="s">
        <v>74</v>
      </c>
      <c r="L137" s="1600" t="s">
        <v>5663</v>
      </c>
      <c r="M137" s="3051">
        <v>1788</v>
      </c>
      <c r="N137" s="2196" t="s">
        <v>5429</v>
      </c>
      <c r="O137" s="1493"/>
      <c r="P137" s="1547"/>
      <c r="Q137" s="3370" t="s">
        <v>5323</v>
      </c>
      <c r="R137" s="3258"/>
      <c r="S137" s="1474"/>
      <c r="T137" s="1474"/>
      <c r="U137" s="3259"/>
      <c r="V137" s="1634"/>
      <c r="W137" s="1474"/>
      <c r="X137" s="2024"/>
      <c r="Y137" s="2024"/>
      <c r="Z137" s="1493"/>
      <c r="AA137" s="1495"/>
      <c r="AB137" s="1551"/>
      <c r="AC137" s="3260"/>
    </row>
    <row r="138" spans="1:29" s="2150" customFormat="1" ht="58.5" customHeight="1">
      <c r="A138" s="3729">
        <v>36</v>
      </c>
      <c r="B138" s="3035" t="str">
        <f t="shared" si="4"/>
        <v>2200002245</v>
      </c>
      <c r="C138" s="1902" t="s">
        <v>5664</v>
      </c>
      <c r="D138" s="3361">
        <v>4300</v>
      </c>
      <c r="E138" s="1902" t="s">
        <v>5665</v>
      </c>
      <c r="F138" s="1902" t="s">
        <v>89</v>
      </c>
      <c r="G138" s="1921" t="s">
        <v>5666</v>
      </c>
      <c r="H138" s="1921"/>
      <c r="I138" s="1921" t="s">
        <v>5253</v>
      </c>
      <c r="J138" s="3033" t="s">
        <v>19</v>
      </c>
      <c r="K138" s="1921" t="s">
        <v>74</v>
      </c>
      <c r="L138" s="1911" t="s">
        <v>5667</v>
      </c>
      <c r="M138" s="3055">
        <v>829</v>
      </c>
      <c r="N138" s="2196" t="s">
        <v>5454</v>
      </c>
      <c r="O138" s="1902"/>
      <c r="P138" s="1911"/>
      <c r="Q138" s="3370" t="s">
        <v>5323</v>
      </c>
      <c r="R138" s="3362"/>
      <c r="S138" s="2659"/>
      <c r="T138" s="2659"/>
      <c r="U138" s="3363"/>
      <c r="V138" s="1904"/>
      <c r="W138" s="2659"/>
      <c r="X138" s="2424"/>
      <c r="Y138" s="2424"/>
      <c r="Z138" s="1902"/>
      <c r="AA138" s="1921"/>
      <c r="AB138" s="3364"/>
      <c r="AC138" s="3365"/>
    </row>
    <row r="139" spans="1:29" s="1548" customFormat="1" ht="58.5" customHeight="1">
      <c r="A139" s="3730"/>
      <c r="B139" s="3035" t="str">
        <f t="shared" si="4"/>
        <v>2200002252</v>
      </c>
      <c r="C139" s="1493" t="s">
        <v>5664</v>
      </c>
      <c r="D139" s="1494"/>
      <c r="E139" s="1902" t="s">
        <v>5665</v>
      </c>
      <c r="F139" s="1902" t="s">
        <v>89</v>
      </c>
      <c r="G139" s="1495"/>
      <c r="H139" s="1495"/>
      <c r="I139" s="1495" t="s">
        <v>5253</v>
      </c>
      <c r="J139" s="3023" t="s">
        <v>19</v>
      </c>
      <c r="K139" s="1495" t="s">
        <v>74</v>
      </c>
      <c r="L139" s="1600" t="s">
        <v>5668</v>
      </c>
      <c r="M139" s="3051">
        <v>71</v>
      </c>
      <c r="N139" s="2196" t="s">
        <v>5429</v>
      </c>
      <c r="O139" s="1493"/>
      <c r="P139" s="1547"/>
      <c r="Q139" s="3370" t="s">
        <v>5323</v>
      </c>
      <c r="R139" s="3258"/>
      <c r="S139" s="1474"/>
      <c r="T139" s="1474"/>
      <c r="U139" s="3259"/>
      <c r="V139" s="1634"/>
      <c r="W139" s="1474"/>
      <c r="X139" s="2024"/>
      <c r="Y139" s="2024"/>
      <c r="Z139" s="1493"/>
      <c r="AA139" s="1495"/>
      <c r="AB139" s="1551"/>
      <c r="AC139" s="3260"/>
    </row>
    <row r="140" spans="1:29" s="1467" customFormat="1" ht="58.5" customHeight="1">
      <c r="A140" s="3730"/>
      <c r="B140" s="3210" t="str">
        <f t="shared" si="4"/>
        <v>2000003459</v>
      </c>
      <c r="C140" s="1493" t="s">
        <v>5664</v>
      </c>
      <c r="D140" s="1494"/>
      <c r="E140" s="1902" t="s">
        <v>5665</v>
      </c>
      <c r="F140" s="1493" t="s">
        <v>89</v>
      </c>
      <c r="G140" s="1495"/>
      <c r="H140" s="1495"/>
      <c r="I140" s="1495" t="s">
        <v>5253</v>
      </c>
      <c r="J140" s="3023" t="s">
        <v>19</v>
      </c>
      <c r="K140" s="1495" t="s">
        <v>74</v>
      </c>
      <c r="L140" s="1600" t="s">
        <v>5669</v>
      </c>
      <c r="M140" s="2357">
        <v>2123</v>
      </c>
      <c r="N140" s="2915" t="s">
        <v>5257</v>
      </c>
      <c r="O140" s="1493"/>
      <c r="P140" s="1859"/>
      <c r="Q140" s="3358" t="s">
        <v>5323</v>
      </c>
      <c r="R140" s="1548"/>
      <c r="S140" s="1548"/>
      <c r="T140" s="1548"/>
      <c r="U140" s="1548"/>
      <c r="V140" s="1548"/>
      <c r="W140" s="1548"/>
      <c r="X140" s="1548"/>
      <c r="Y140" s="1548"/>
      <c r="Z140" s="1548"/>
      <c r="AA140" s="1548"/>
    </row>
    <row r="141" spans="1:29" s="1467" customFormat="1" ht="58.5" customHeight="1">
      <c r="A141" s="3730"/>
      <c r="B141" s="3210" t="str">
        <f t="shared" si="4"/>
        <v>2000003399</v>
      </c>
      <c r="C141" s="1493" t="s">
        <v>5664</v>
      </c>
      <c r="D141" s="1494"/>
      <c r="E141" s="1902" t="s">
        <v>5665</v>
      </c>
      <c r="F141" s="1493" t="s">
        <v>89</v>
      </c>
      <c r="G141" s="1495"/>
      <c r="H141" s="1495"/>
      <c r="I141" s="1495" t="s">
        <v>5253</v>
      </c>
      <c r="J141" s="3023" t="s">
        <v>19</v>
      </c>
      <c r="K141" s="1495" t="s">
        <v>74</v>
      </c>
      <c r="L141" s="2880" t="s">
        <v>5670</v>
      </c>
      <c r="M141" s="2357">
        <v>950</v>
      </c>
      <c r="N141" s="2196" t="s">
        <v>5454</v>
      </c>
      <c r="O141" s="1493"/>
      <c r="P141" s="1859"/>
      <c r="Q141" s="3358" t="s">
        <v>5323</v>
      </c>
      <c r="R141" s="1548"/>
      <c r="S141" s="1548"/>
      <c r="T141" s="1548"/>
      <c r="U141" s="1548"/>
      <c r="V141" s="1548"/>
      <c r="W141" s="1548"/>
      <c r="X141" s="1548"/>
      <c r="Y141" s="1548"/>
      <c r="Z141" s="1548"/>
      <c r="AA141" s="1548"/>
    </row>
    <row r="142" spans="1:29" s="1467" customFormat="1" ht="58.5" customHeight="1">
      <c r="A142" s="3730"/>
      <c r="B142" s="3210" t="str">
        <f t="shared" si="4"/>
        <v>2200002263</v>
      </c>
      <c r="C142" s="1493" t="s">
        <v>5664</v>
      </c>
      <c r="D142" s="1494"/>
      <c r="E142" s="1495"/>
      <c r="F142" s="1493" t="s">
        <v>89</v>
      </c>
      <c r="G142" s="1495"/>
      <c r="H142" s="1495"/>
      <c r="I142" s="1495" t="s">
        <v>5671</v>
      </c>
      <c r="J142" s="3023" t="s">
        <v>19</v>
      </c>
      <c r="K142" s="1495" t="s">
        <v>74</v>
      </c>
      <c r="L142" s="2880" t="s">
        <v>5672</v>
      </c>
      <c r="M142" s="2357">
        <v>208</v>
      </c>
      <c r="N142" s="1495" t="s">
        <v>5673</v>
      </c>
      <c r="O142" s="1493"/>
      <c r="P142" s="1859"/>
      <c r="Q142" s="3358" t="s">
        <v>5323</v>
      </c>
      <c r="R142" s="1548"/>
      <c r="S142" s="1548"/>
      <c r="T142" s="1548"/>
      <c r="U142" s="1548"/>
      <c r="V142" s="1548"/>
      <c r="W142" s="1548"/>
      <c r="X142" s="1548"/>
      <c r="Y142" s="1548"/>
      <c r="Z142" s="1548"/>
      <c r="AA142" s="1548"/>
    </row>
    <row r="143" spans="1:29" s="1467" customFormat="1" ht="58.5" customHeight="1">
      <c r="A143" s="3731"/>
      <c r="B143" s="3210" t="str">
        <f t="shared" si="4"/>
        <v>2200002264</v>
      </c>
      <c r="C143" s="1493" t="s">
        <v>5664</v>
      </c>
      <c r="D143" s="1494"/>
      <c r="E143" s="1495"/>
      <c r="F143" s="1493" t="s">
        <v>89</v>
      </c>
      <c r="G143" s="1495"/>
      <c r="H143" s="1495"/>
      <c r="I143" s="1495" t="s">
        <v>5671</v>
      </c>
      <c r="J143" s="3023" t="s">
        <v>19</v>
      </c>
      <c r="K143" s="1495" t="s">
        <v>74</v>
      </c>
      <c r="L143" s="2880" t="s">
        <v>5674</v>
      </c>
      <c r="M143" s="2357">
        <v>200</v>
      </c>
      <c r="N143" s="2196" t="s">
        <v>5429</v>
      </c>
      <c r="O143" s="1493"/>
      <c r="P143" s="1859"/>
      <c r="Q143" s="3358" t="s">
        <v>5323</v>
      </c>
      <c r="R143" s="1548"/>
      <c r="S143" s="1548"/>
      <c r="T143" s="1548"/>
      <c r="U143" s="1548"/>
      <c r="V143" s="1548"/>
      <c r="W143" s="1548"/>
      <c r="X143" s="1548"/>
      <c r="Y143" s="1548"/>
      <c r="Z143" s="1548"/>
      <c r="AA143" s="1548"/>
    </row>
    <row r="144" spans="1:29" s="1467" customFormat="1" ht="58.5" customHeight="1">
      <c r="A144" s="3735">
        <v>37</v>
      </c>
      <c r="B144" s="3210" t="str">
        <f t="shared" si="4"/>
        <v>2200002264</v>
      </c>
      <c r="C144" s="1902" t="s">
        <v>5675</v>
      </c>
      <c r="D144" s="2607">
        <v>4300</v>
      </c>
      <c r="E144" s="1921" t="s">
        <v>5629</v>
      </c>
      <c r="F144" s="1902" t="s">
        <v>89</v>
      </c>
      <c r="G144" s="1921" t="s">
        <v>5676</v>
      </c>
      <c r="H144" s="1495"/>
      <c r="I144" s="1495" t="s">
        <v>5253</v>
      </c>
      <c r="J144" s="3023" t="s">
        <v>19</v>
      </c>
      <c r="K144" s="1495" t="s">
        <v>74</v>
      </c>
      <c r="L144" s="2880" t="s">
        <v>5677</v>
      </c>
      <c r="M144" s="2357">
        <v>1362</v>
      </c>
      <c r="N144" s="2196" t="s">
        <v>5429</v>
      </c>
      <c r="O144" s="1493"/>
      <c r="P144" s="1859"/>
      <c r="Q144" s="3358" t="s">
        <v>5323</v>
      </c>
      <c r="R144" s="1548"/>
      <c r="S144" s="1548"/>
      <c r="T144" s="1548"/>
      <c r="U144" s="1548"/>
      <c r="V144" s="1548"/>
      <c r="W144" s="1548"/>
      <c r="X144" s="1548"/>
      <c r="Y144" s="1548"/>
      <c r="Z144" s="1548"/>
      <c r="AA144" s="1548"/>
    </row>
    <row r="145" spans="1:35" s="1548" customFormat="1" ht="58.5" customHeight="1">
      <c r="A145" s="3736"/>
      <c r="B145" s="3210" t="str">
        <f t="shared" si="4"/>
        <v>2000003393</v>
      </c>
      <c r="C145" s="1493" t="s">
        <v>5675</v>
      </c>
      <c r="D145" s="1494"/>
      <c r="E145" s="1495"/>
      <c r="F145" s="1902" t="s">
        <v>89</v>
      </c>
      <c r="G145" s="1495"/>
      <c r="H145" s="1495"/>
      <c r="I145" s="1495" t="s">
        <v>5253</v>
      </c>
      <c r="J145" s="3023" t="s">
        <v>19</v>
      </c>
      <c r="K145" s="1495" t="s">
        <v>74</v>
      </c>
      <c r="L145" s="1600" t="s">
        <v>5678</v>
      </c>
      <c r="M145" s="2357">
        <v>860</v>
      </c>
      <c r="N145" s="2196" t="s">
        <v>5454</v>
      </c>
      <c r="O145" s="1493"/>
      <c r="P145" s="1859"/>
      <c r="Q145" s="3358" t="s">
        <v>5323</v>
      </c>
      <c r="R145" s="1790"/>
    </row>
    <row r="146" spans="1:35" s="2643" customFormat="1" ht="58.5" customHeight="1">
      <c r="A146" s="3736"/>
      <c r="B146" s="3035" t="str">
        <f t="shared" si="4"/>
        <v>2200002250</v>
      </c>
      <c r="C146" s="1493" t="s">
        <v>5675</v>
      </c>
      <c r="E146" s="2150"/>
      <c r="F146" s="1626" t="s">
        <v>89</v>
      </c>
      <c r="H146" s="1921"/>
      <c r="I146" s="1495" t="s">
        <v>5253</v>
      </c>
      <c r="J146" s="3023" t="s">
        <v>19</v>
      </c>
      <c r="K146" s="1495" t="s">
        <v>101</v>
      </c>
      <c r="L146" s="1845" t="s">
        <v>5679</v>
      </c>
      <c r="M146" s="3055">
        <v>324</v>
      </c>
      <c r="N146" s="2915" t="s">
        <v>5680</v>
      </c>
      <c r="O146" s="1902"/>
      <c r="P146" s="1911"/>
      <c r="Q146" s="3370" t="s">
        <v>5323</v>
      </c>
      <c r="R146" s="3362"/>
      <c r="S146" s="2659"/>
      <c r="T146" s="2659"/>
      <c r="U146" s="3363"/>
      <c r="V146" s="1904"/>
      <c r="W146" s="2659"/>
      <c r="X146" s="2424"/>
      <c r="Y146" s="2424"/>
      <c r="Z146" s="1902"/>
      <c r="AA146" s="1921"/>
      <c r="AB146" s="3364"/>
      <c r="AC146" s="3365"/>
    </row>
    <row r="147" spans="1:35" s="2643" customFormat="1" ht="58.5" customHeight="1">
      <c r="A147" s="3736"/>
      <c r="B147" s="3035" t="str">
        <f t="shared" si="4"/>
        <v>2200002249</v>
      </c>
      <c r="C147" s="1493" t="s">
        <v>5675</v>
      </c>
      <c r="D147" s="3238"/>
      <c r="E147" s="3173"/>
      <c r="F147" s="1493" t="s">
        <v>89</v>
      </c>
      <c r="G147" s="3021"/>
      <c r="H147" s="3085"/>
      <c r="I147" s="1495" t="s">
        <v>5253</v>
      </c>
      <c r="J147" s="3140" t="s">
        <v>19</v>
      </c>
      <c r="K147" s="1495" t="s">
        <v>101</v>
      </c>
      <c r="L147" s="2880" t="s">
        <v>5681</v>
      </c>
      <c r="M147" s="3247">
        <v>585</v>
      </c>
      <c r="N147" s="2196" t="s">
        <v>5445</v>
      </c>
      <c r="O147" s="3033"/>
      <c r="P147" s="3229"/>
      <c r="Q147" s="3358" t="s">
        <v>5323</v>
      </c>
      <c r="R147" s="2150"/>
      <c r="S147" s="2150"/>
      <c r="T147" s="2150"/>
      <c r="U147" s="2150"/>
      <c r="V147" s="2150"/>
      <c r="W147" s="2150"/>
      <c r="X147" s="2150"/>
      <c r="Y147" s="2150"/>
      <c r="Z147" s="2150"/>
      <c r="AA147" s="2150"/>
    </row>
    <row r="148" spans="1:35" s="1467" customFormat="1" ht="58.5" customHeight="1">
      <c r="A148" s="3736"/>
      <c r="B148" s="3035" t="str">
        <f t="shared" si="4"/>
        <v>2200002229</v>
      </c>
      <c r="C148" s="1493" t="s">
        <v>5675</v>
      </c>
      <c r="D148" s="3238"/>
      <c r="E148" s="3021"/>
      <c r="F148" s="1493" t="s">
        <v>89</v>
      </c>
      <c r="G148" s="1495"/>
      <c r="H148" s="1495"/>
      <c r="I148" s="1495" t="s">
        <v>5253</v>
      </c>
      <c r="J148" s="1493" t="s">
        <v>19</v>
      </c>
      <c r="K148" s="1495" t="s">
        <v>101</v>
      </c>
      <c r="L148" s="2880" t="s">
        <v>5682</v>
      </c>
      <c r="M148" s="3051">
        <v>272</v>
      </c>
      <c r="N148" s="2196" t="s">
        <v>5429</v>
      </c>
      <c r="O148" s="1493"/>
      <c r="P148" s="2590"/>
      <c r="Q148" s="3265" t="s">
        <v>5323</v>
      </c>
    </row>
    <row r="149" spans="1:35" s="1467" customFormat="1" ht="58.5" customHeight="1">
      <c r="A149" s="3736"/>
      <c r="B149" s="3035" t="str">
        <f t="shared" ref="B149:B180" si="5">TEXT(LEFT(L149,10),"0000000000")</f>
        <v>2200002265</v>
      </c>
      <c r="C149" s="1493" t="s">
        <v>5675</v>
      </c>
      <c r="D149" s="3238"/>
      <c r="E149" s="3021"/>
      <c r="F149" s="1493" t="s">
        <v>89</v>
      </c>
      <c r="G149" s="1495"/>
      <c r="H149" s="1495"/>
      <c r="I149" s="1495" t="s">
        <v>5253</v>
      </c>
      <c r="J149" s="1493" t="s">
        <v>19</v>
      </c>
      <c r="K149" s="1495" t="s">
        <v>101</v>
      </c>
      <c r="L149" s="2880" t="s">
        <v>5683</v>
      </c>
      <c r="M149" s="3051">
        <v>375</v>
      </c>
      <c r="N149" s="2196" t="s">
        <v>5445</v>
      </c>
      <c r="O149" s="1493"/>
      <c r="P149" s="2590"/>
      <c r="Q149" s="3265" t="s">
        <v>5323</v>
      </c>
    </row>
    <row r="150" spans="1:35" s="1467" customFormat="1" ht="58.5" customHeight="1">
      <c r="A150" s="3737"/>
      <c r="B150" s="3035" t="str">
        <f t="shared" si="5"/>
        <v>2200002266</v>
      </c>
      <c r="C150" s="1493" t="s">
        <v>5675</v>
      </c>
      <c r="D150" s="3238"/>
      <c r="E150" s="3021"/>
      <c r="F150" s="1493" t="s">
        <v>89</v>
      </c>
      <c r="G150" s="1495"/>
      <c r="H150" s="1495"/>
      <c r="I150" s="1495" t="s">
        <v>5253</v>
      </c>
      <c r="J150" s="1493" t="s">
        <v>19</v>
      </c>
      <c r="K150" s="1495" t="s">
        <v>101</v>
      </c>
      <c r="L150" s="2880" t="s">
        <v>5684</v>
      </c>
      <c r="M150" s="3051">
        <v>583</v>
      </c>
      <c r="N150" s="2196" t="s">
        <v>5649</v>
      </c>
      <c r="O150" s="1493"/>
      <c r="P150" s="2590"/>
      <c r="Q150" s="3265" t="s">
        <v>5323</v>
      </c>
    </row>
    <row r="151" spans="1:35" s="1467" customFormat="1" ht="58.5" customHeight="1">
      <c r="A151" s="3749">
        <v>38</v>
      </c>
      <c r="B151" s="3035" t="str">
        <f t="shared" si="5"/>
        <v>2200002254</v>
      </c>
      <c r="C151" s="1902" t="s">
        <v>4786</v>
      </c>
      <c r="D151" s="2607">
        <v>5820</v>
      </c>
      <c r="E151" s="1921" t="s">
        <v>5629</v>
      </c>
      <c r="F151" s="1902" t="s">
        <v>16</v>
      </c>
      <c r="G151" s="1921" t="s">
        <v>5666</v>
      </c>
      <c r="H151" s="1921"/>
      <c r="I151" s="1921" t="s">
        <v>5615</v>
      </c>
      <c r="J151" s="3033" t="s">
        <v>19</v>
      </c>
      <c r="K151" s="1921" t="s">
        <v>1138</v>
      </c>
      <c r="L151" s="2487" t="s">
        <v>5685</v>
      </c>
      <c r="M151" s="3051">
        <v>325</v>
      </c>
      <c r="N151" s="2915" t="s">
        <v>5680</v>
      </c>
      <c r="O151" s="1902"/>
      <c r="P151" s="1859"/>
      <c r="Q151" s="3373" t="s">
        <v>5323</v>
      </c>
      <c r="R151" s="2150"/>
      <c r="S151" s="2150"/>
      <c r="T151" s="2150"/>
      <c r="U151" s="2150"/>
      <c r="V151" s="2150"/>
      <c r="W151" s="2150"/>
      <c r="X151" s="2150"/>
      <c r="Y151" s="2150"/>
      <c r="Z151" s="2150"/>
      <c r="AA151" s="2150"/>
      <c r="AB151" s="2643"/>
      <c r="AC151" s="2643"/>
      <c r="AD151" s="2643"/>
      <c r="AE151" s="2643"/>
      <c r="AF151" s="2643"/>
      <c r="AG151" s="2643"/>
      <c r="AH151" s="2643"/>
      <c r="AI151" s="2643"/>
    </row>
    <row r="152" spans="1:35" s="1467" customFormat="1" ht="58.5" customHeight="1">
      <c r="A152" s="3751"/>
      <c r="B152" s="3035" t="str">
        <f t="shared" si="5"/>
        <v>2000003395</v>
      </c>
      <c r="C152" s="1493" t="s">
        <v>4786</v>
      </c>
      <c r="D152" s="2767"/>
      <c r="E152" s="1921"/>
      <c r="F152" s="1493" t="s">
        <v>16</v>
      </c>
      <c r="G152" s="1921"/>
      <c r="H152" s="1921"/>
      <c r="I152" s="1921" t="s">
        <v>5460</v>
      </c>
      <c r="J152" s="3033" t="s">
        <v>19</v>
      </c>
      <c r="K152" s="1921" t="s">
        <v>1138</v>
      </c>
      <c r="L152" s="1600" t="s">
        <v>5686</v>
      </c>
      <c r="M152" s="3051">
        <v>3100</v>
      </c>
      <c r="N152" s="2196" t="s">
        <v>5440</v>
      </c>
      <c r="O152" s="1902"/>
      <c r="P152" s="1859"/>
      <c r="Q152" s="3372" t="s">
        <v>5323</v>
      </c>
      <c r="R152" s="2150"/>
      <c r="S152" s="2150"/>
      <c r="T152" s="2150"/>
      <c r="U152" s="2150"/>
      <c r="V152" s="2150"/>
      <c r="W152" s="2150"/>
      <c r="X152" s="2150"/>
      <c r="Y152" s="2150"/>
      <c r="Z152" s="2150"/>
      <c r="AA152" s="2150"/>
      <c r="AB152" s="2643"/>
      <c r="AC152" s="2643"/>
      <c r="AD152" s="2643"/>
      <c r="AE152" s="2643"/>
      <c r="AF152" s="2643"/>
      <c r="AG152" s="2643"/>
      <c r="AH152" s="2643"/>
      <c r="AI152" s="2643"/>
    </row>
    <row r="153" spans="1:35" s="1467" customFormat="1" ht="58.5" customHeight="1">
      <c r="A153" s="3750"/>
      <c r="B153" s="3035" t="str">
        <f t="shared" si="5"/>
        <v>2200002233</v>
      </c>
      <c r="C153" s="1493" t="s">
        <v>4786</v>
      </c>
      <c r="D153" s="2767"/>
      <c r="E153" s="1921"/>
      <c r="F153" s="1493" t="s">
        <v>16</v>
      </c>
      <c r="G153" s="1921"/>
      <c r="H153" s="1921"/>
      <c r="I153" s="1921" t="s">
        <v>5460</v>
      </c>
      <c r="J153" s="3033" t="s">
        <v>19</v>
      </c>
      <c r="K153" s="1921" t="s">
        <v>1138</v>
      </c>
      <c r="L153" s="1547" t="s">
        <v>5687</v>
      </c>
      <c r="M153" s="3051">
        <v>2375</v>
      </c>
      <c r="N153" s="2196" t="s">
        <v>5454</v>
      </c>
      <c r="O153" s="1902"/>
      <c r="P153" s="1859"/>
      <c r="Q153" s="3372" t="s">
        <v>5323</v>
      </c>
      <c r="R153" s="2150"/>
      <c r="S153" s="2150"/>
      <c r="T153" s="2150"/>
      <c r="U153" s="2150"/>
      <c r="V153" s="2150"/>
      <c r="W153" s="2150"/>
      <c r="X153" s="2150"/>
      <c r="Y153" s="2150"/>
      <c r="Z153" s="2150"/>
      <c r="AA153" s="2150"/>
      <c r="AB153" s="2643"/>
      <c r="AC153" s="2643"/>
      <c r="AD153" s="2643"/>
      <c r="AE153" s="2643"/>
      <c r="AF153" s="2643"/>
      <c r="AG153" s="2643"/>
      <c r="AH153" s="2643"/>
      <c r="AI153" s="2643"/>
    </row>
    <row r="154" spans="1:35" s="2676" customFormat="1" ht="58.5" customHeight="1">
      <c r="A154" s="3755">
        <v>39</v>
      </c>
      <c r="B154" s="3035" t="str">
        <f t="shared" si="5"/>
        <v>2200002162</v>
      </c>
      <c r="C154" s="2667" t="s">
        <v>4417</v>
      </c>
      <c r="D154" s="3400">
        <v>24200</v>
      </c>
      <c r="E154" s="2180" t="s">
        <v>5658</v>
      </c>
      <c r="F154" s="2667" t="s">
        <v>3416</v>
      </c>
      <c r="G154" s="3119" t="s">
        <v>5688</v>
      </c>
      <c r="H154" s="3119"/>
      <c r="I154" s="2180" t="s">
        <v>5460</v>
      </c>
      <c r="J154" s="2667" t="s">
        <v>19</v>
      </c>
      <c r="K154" s="1921" t="s">
        <v>959</v>
      </c>
      <c r="L154" s="3136" t="s">
        <v>5552</v>
      </c>
      <c r="M154" s="3401">
        <v>11700</v>
      </c>
      <c r="N154" s="2915" t="s">
        <v>5606</v>
      </c>
      <c r="O154" s="3314"/>
      <c r="P154" s="2666"/>
      <c r="Q154" s="3372" t="s">
        <v>5323</v>
      </c>
      <c r="R154" s="2660"/>
      <c r="S154" s="2660"/>
      <c r="T154" s="2660"/>
      <c r="U154" s="2660"/>
      <c r="V154" s="2660"/>
      <c r="W154" s="2660"/>
      <c r="X154" s="2660"/>
      <c r="Y154" s="2660"/>
      <c r="Z154" s="2660"/>
      <c r="AA154" s="2660"/>
      <c r="AB154" s="2660"/>
      <c r="AC154" s="2660"/>
      <c r="AD154" s="2660"/>
      <c r="AE154" s="2660"/>
      <c r="AF154" s="2660"/>
      <c r="AG154" s="2660"/>
      <c r="AH154" s="2660"/>
      <c r="AI154" s="2660"/>
    </row>
    <row r="155" spans="1:35" s="1467" customFormat="1" ht="58.5" customHeight="1">
      <c r="A155" s="3756"/>
      <c r="B155" s="3035" t="str">
        <f t="shared" si="5"/>
        <v>2200002256</v>
      </c>
      <c r="C155" s="1630" t="s">
        <v>4417</v>
      </c>
      <c r="D155" s="2607"/>
      <c r="E155" s="1495"/>
      <c r="F155" s="1493" t="s">
        <v>3416</v>
      </c>
      <c r="G155" s="1921"/>
      <c r="H155" s="1921"/>
      <c r="I155" s="2180" t="s">
        <v>5460</v>
      </c>
      <c r="J155" s="3033" t="s">
        <v>19</v>
      </c>
      <c r="K155" s="1495" t="s">
        <v>959</v>
      </c>
      <c r="L155" s="1605" t="s">
        <v>5689</v>
      </c>
      <c r="M155" s="3051">
        <v>788</v>
      </c>
      <c r="N155" s="2915" t="s">
        <v>5445</v>
      </c>
      <c r="O155" s="1902"/>
      <c r="P155" s="1859"/>
      <c r="Q155" s="3372" t="s">
        <v>5323</v>
      </c>
      <c r="R155" s="2643"/>
      <c r="S155" s="2643"/>
      <c r="T155" s="2643"/>
      <c r="U155" s="2643"/>
      <c r="V155" s="2643"/>
      <c r="W155" s="2643"/>
      <c r="X155" s="2643"/>
      <c r="Y155" s="2643"/>
      <c r="Z155" s="2150"/>
      <c r="AA155" s="2150"/>
      <c r="AB155" s="2643"/>
      <c r="AC155" s="2643"/>
      <c r="AD155" s="2643"/>
      <c r="AE155" s="2643"/>
      <c r="AF155" s="2643"/>
      <c r="AG155" s="2643"/>
      <c r="AH155" s="2643"/>
      <c r="AI155" s="2643"/>
    </row>
    <row r="156" spans="1:35" s="1467" customFormat="1" ht="58.5" customHeight="1">
      <c r="A156" s="3756"/>
      <c r="B156" s="3035" t="str">
        <f t="shared" si="5"/>
        <v>2200002257</v>
      </c>
      <c r="C156" s="1630" t="s">
        <v>4417</v>
      </c>
      <c r="D156" s="2607"/>
      <c r="E156" s="1495"/>
      <c r="F156" s="1493" t="s">
        <v>3416</v>
      </c>
      <c r="G156" s="1921"/>
      <c r="H156" s="1921"/>
      <c r="I156" s="2180" t="s">
        <v>5460</v>
      </c>
      <c r="J156" s="3033" t="s">
        <v>19</v>
      </c>
      <c r="K156" s="1495" t="s">
        <v>959</v>
      </c>
      <c r="L156" s="1605" t="s">
        <v>5690</v>
      </c>
      <c r="M156" s="3051">
        <v>9402</v>
      </c>
      <c r="N156" s="2915" t="s">
        <v>5691</v>
      </c>
      <c r="O156" s="1902"/>
      <c r="P156" s="1859"/>
      <c r="Q156" s="3372" t="s">
        <v>5323</v>
      </c>
      <c r="R156" s="2643"/>
      <c r="S156" s="2643"/>
      <c r="T156" s="2643"/>
      <c r="U156" s="2643"/>
      <c r="V156" s="2643"/>
      <c r="W156" s="2643"/>
      <c r="X156" s="2643"/>
      <c r="Y156" s="2643"/>
      <c r="Z156" s="2150"/>
      <c r="AA156" s="2150"/>
      <c r="AB156" s="2643"/>
      <c r="AC156" s="2643"/>
      <c r="AD156" s="2643"/>
      <c r="AE156" s="2643"/>
      <c r="AF156" s="2643"/>
      <c r="AG156" s="2643"/>
      <c r="AH156" s="2643"/>
      <c r="AI156" s="2643"/>
    </row>
    <row r="157" spans="1:35" s="1467" customFormat="1" ht="58.5" customHeight="1">
      <c r="A157" s="3756"/>
      <c r="B157" s="3035" t="str">
        <f t="shared" si="5"/>
        <v>2200002258</v>
      </c>
      <c r="C157" s="1630" t="s">
        <v>4417</v>
      </c>
      <c r="D157" s="2607"/>
      <c r="E157" s="1495"/>
      <c r="F157" s="1493" t="s">
        <v>3416</v>
      </c>
      <c r="G157" s="1921"/>
      <c r="H157" s="1921"/>
      <c r="I157" s="2180" t="s">
        <v>5460</v>
      </c>
      <c r="J157" s="3033" t="s">
        <v>19</v>
      </c>
      <c r="K157" s="1495" t="s">
        <v>959</v>
      </c>
      <c r="L157" s="1605" t="s">
        <v>5692</v>
      </c>
      <c r="M157" s="3051">
        <v>215</v>
      </c>
      <c r="N157" s="2915" t="s">
        <v>5445</v>
      </c>
      <c r="O157" s="1902"/>
      <c r="P157" s="1859"/>
      <c r="Q157" s="3372" t="s">
        <v>5323</v>
      </c>
      <c r="R157" s="2643"/>
      <c r="S157" s="2643"/>
      <c r="T157" s="2643"/>
      <c r="U157" s="2643"/>
      <c r="V157" s="2643"/>
      <c r="W157" s="2643"/>
      <c r="X157" s="2643"/>
      <c r="Y157" s="2643"/>
      <c r="Z157" s="2150"/>
      <c r="AA157" s="2150"/>
      <c r="AB157" s="2643"/>
      <c r="AC157" s="2643"/>
      <c r="AD157" s="2643"/>
      <c r="AE157" s="2643"/>
      <c r="AF157" s="2643"/>
      <c r="AG157" s="2643"/>
      <c r="AH157" s="2643"/>
      <c r="AI157" s="2643"/>
    </row>
    <row r="158" spans="1:35" s="1467" customFormat="1" ht="58.5" customHeight="1">
      <c r="A158" s="3756"/>
      <c r="B158" s="3035" t="str">
        <f t="shared" si="5"/>
        <v>2200002259</v>
      </c>
      <c r="C158" s="1630" t="s">
        <v>4417</v>
      </c>
      <c r="D158" s="2607"/>
      <c r="E158" s="1495"/>
      <c r="F158" s="1493" t="s">
        <v>3416</v>
      </c>
      <c r="G158" s="1921"/>
      <c r="H158" s="1921"/>
      <c r="I158" s="2180" t="s">
        <v>5460</v>
      </c>
      <c r="J158" s="3033" t="s">
        <v>19</v>
      </c>
      <c r="K158" s="1495" t="s">
        <v>959</v>
      </c>
      <c r="L158" s="1605" t="s">
        <v>5693</v>
      </c>
      <c r="M158" s="3051">
        <v>852</v>
      </c>
      <c r="N158" s="2915" t="s">
        <v>5694</v>
      </c>
      <c r="O158" s="1902"/>
      <c r="P158" s="1859"/>
      <c r="Q158" s="3372" t="s">
        <v>5323</v>
      </c>
      <c r="R158" s="2643"/>
      <c r="S158" s="2643"/>
      <c r="T158" s="2643"/>
      <c r="U158" s="2643"/>
      <c r="V158" s="2643"/>
      <c r="W158" s="2643"/>
      <c r="X158" s="2643"/>
      <c r="Y158" s="2643"/>
      <c r="Z158" s="2150"/>
      <c r="AA158" s="2150"/>
      <c r="AB158" s="2643"/>
      <c r="AC158" s="2643"/>
      <c r="AD158" s="2643"/>
      <c r="AE158" s="2643"/>
      <c r="AF158" s="2643"/>
      <c r="AG158" s="2643"/>
      <c r="AH158" s="2643"/>
      <c r="AI158" s="2643"/>
    </row>
    <row r="159" spans="1:35" s="1467" customFormat="1" ht="58.5" customHeight="1">
      <c r="A159" s="3756"/>
      <c r="B159" s="3035" t="str">
        <f t="shared" si="5"/>
        <v>2200002260</v>
      </c>
      <c r="C159" s="1630" t="s">
        <v>4417</v>
      </c>
      <c r="D159" s="2607"/>
      <c r="E159" s="1495"/>
      <c r="F159" s="1493" t="s">
        <v>3416</v>
      </c>
      <c r="G159" s="1921"/>
      <c r="H159" s="1921"/>
      <c r="I159" s="2180" t="s">
        <v>5460</v>
      </c>
      <c r="J159" s="3033" t="s">
        <v>19</v>
      </c>
      <c r="K159" s="1495" t="s">
        <v>959</v>
      </c>
      <c r="L159" s="1605" t="s">
        <v>5695</v>
      </c>
      <c r="M159" s="3051">
        <v>74</v>
      </c>
      <c r="N159" s="2915" t="s">
        <v>5694</v>
      </c>
      <c r="O159" s="1902"/>
      <c r="P159" s="1859"/>
      <c r="Q159" s="3372" t="s">
        <v>5323</v>
      </c>
      <c r="R159" s="2643"/>
      <c r="S159" s="2643"/>
      <c r="T159" s="2643"/>
      <c r="U159" s="2643"/>
      <c r="V159" s="2643"/>
      <c r="W159" s="2643"/>
      <c r="X159" s="2643"/>
      <c r="Y159" s="2643"/>
      <c r="Z159" s="2150"/>
      <c r="AA159" s="2150"/>
      <c r="AB159" s="2643"/>
      <c r="AC159" s="2643"/>
      <c r="AD159" s="2643"/>
      <c r="AE159" s="2643"/>
      <c r="AF159" s="2643"/>
      <c r="AG159" s="2643"/>
      <c r="AH159" s="2643"/>
      <c r="AI159" s="2643"/>
    </row>
    <row r="160" spans="1:35" s="1467" customFormat="1" ht="58.5" customHeight="1">
      <c r="A160" s="3756"/>
      <c r="B160" s="3035" t="str">
        <f t="shared" si="5"/>
        <v>2200002267</v>
      </c>
      <c r="C160" s="1630" t="s">
        <v>4417</v>
      </c>
      <c r="D160" s="2607"/>
      <c r="E160" s="1495"/>
      <c r="F160" s="1493" t="s">
        <v>3416</v>
      </c>
      <c r="G160" s="1921"/>
      <c r="H160" s="1921"/>
      <c r="I160" s="2180" t="s">
        <v>5460</v>
      </c>
      <c r="J160" s="3033" t="s">
        <v>19</v>
      </c>
      <c r="K160" s="1495" t="s">
        <v>959</v>
      </c>
      <c r="L160" s="1605" t="s">
        <v>5696</v>
      </c>
      <c r="M160" s="3051">
        <v>25</v>
      </c>
      <c r="N160" s="2915" t="s">
        <v>5697</v>
      </c>
      <c r="O160" s="1902"/>
      <c r="P160" s="1859"/>
      <c r="Q160" s="3372" t="s">
        <v>5323</v>
      </c>
      <c r="R160" s="2643"/>
      <c r="S160" s="2643"/>
      <c r="T160" s="2643"/>
      <c r="U160" s="2643"/>
      <c r="V160" s="2643"/>
      <c r="W160" s="2643"/>
      <c r="X160" s="2643"/>
      <c r="Y160" s="2643"/>
      <c r="Z160" s="2150"/>
      <c r="AA160" s="2150"/>
      <c r="AB160" s="2643"/>
      <c r="AC160" s="2643"/>
      <c r="AD160" s="2643"/>
      <c r="AE160" s="2643"/>
      <c r="AF160" s="2643"/>
      <c r="AG160" s="2643"/>
      <c r="AH160" s="2643"/>
      <c r="AI160" s="2643"/>
    </row>
    <row r="161" spans="1:35" s="1467" customFormat="1" ht="58.5" customHeight="1">
      <c r="A161" s="3757"/>
      <c r="B161" s="3035" t="str">
        <f t="shared" si="5"/>
        <v>2200002268</v>
      </c>
      <c r="C161" s="1630" t="s">
        <v>4417</v>
      </c>
      <c r="D161" s="2607"/>
      <c r="E161" s="1495"/>
      <c r="F161" s="1493" t="s">
        <v>3416</v>
      </c>
      <c r="G161" s="1921"/>
      <c r="H161" s="1921"/>
      <c r="I161" s="2180" t="s">
        <v>5460</v>
      </c>
      <c r="J161" s="3033" t="s">
        <v>19</v>
      </c>
      <c r="K161" s="1495" t="s">
        <v>959</v>
      </c>
      <c r="L161" s="1605" t="s">
        <v>5698</v>
      </c>
      <c r="M161" s="3051">
        <v>1136</v>
      </c>
      <c r="N161" s="2915" t="s">
        <v>5694</v>
      </c>
      <c r="O161" s="1902"/>
      <c r="P161" s="1859"/>
      <c r="Q161" s="3372" t="s">
        <v>5323</v>
      </c>
      <c r="R161" s="2643"/>
      <c r="S161" s="2643"/>
      <c r="T161" s="2643"/>
      <c r="U161" s="2643"/>
      <c r="V161" s="2643"/>
      <c r="W161" s="2643"/>
      <c r="X161" s="2643"/>
      <c r="Y161" s="2643"/>
      <c r="Z161" s="2150"/>
      <c r="AA161" s="2150"/>
      <c r="AB161" s="2643"/>
      <c r="AC161" s="2643"/>
      <c r="AD161" s="2643"/>
      <c r="AE161" s="2643"/>
      <c r="AF161" s="2643"/>
      <c r="AG161" s="2643"/>
      <c r="AH161" s="2643"/>
      <c r="AI161" s="2643"/>
    </row>
    <row r="162" spans="1:35" s="2150" customFormat="1" ht="58.5" customHeight="1">
      <c r="A162" s="3246">
        <v>40</v>
      </c>
      <c r="B162" s="3291" t="str">
        <f t="shared" si="5"/>
        <v>2000003403</v>
      </c>
      <c r="C162" s="2263" t="s">
        <v>5699</v>
      </c>
      <c r="D162" s="2607">
        <v>3950</v>
      </c>
      <c r="E162" s="1921" t="s">
        <v>5629</v>
      </c>
      <c r="F162" s="1902" t="s">
        <v>84</v>
      </c>
      <c r="G162" s="3324"/>
      <c r="H162" s="3021"/>
      <c r="I162" s="3075" t="s">
        <v>5253</v>
      </c>
      <c r="J162" s="3023" t="s">
        <v>19</v>
      </c>
      <c r="K162" s="3021" t="s">
        <v>74</v>
      </c>
      <c r="L162" s="2880" t="s">
        <v>5700</v>
      </c>
      <c r="M162" s="3247">
        <v>3950</v>
      </c>
      <c r="N162" s="2196" t="s">
        <v>5440</v>
      </c>
      <c r="O162" s="3033"/>
      <c r="P162" s="3229"/>
      <c r="Q162" s="3372" t="s">
        <v>5323</v>
      </c>
    </row>
    <row r="163" spans="1:35" s="2643" customFormat="1" ht="58.5" customHeight="1">
      <c r="A163" s="2436">
        <v>41</v>
      </c>
      <c r="B163" s="3086" t="str">
        <f t="shared" si="5"/>
        <v>2000003439</v>
      </c>
      <c r="C163" s="1902" t="s">
        <v>5701</v>
      </c>
      <c r="D163" s="2767">
        <v>4150</v>
      </c>
      <c r="E163" s="1921" t="s">
        <v>5629</v>
      </c>
      <c r="F163" s="1902" t="s">
        <v>89</v>
      </c>
      <c r="G163" s="1921"/>
      <c r="H163" s="1921"/>
      <c r="I163" s="1921" t="s">
        <v>5253</v>
      </c>
      <c r="J163" s="3033" t="s">
        <v>19</v>
      </c>
      <c r="K163" s="1921" t="s">
        <v>253</v>
      </c>
      <c r="L163" s="1845" t="s">
        <v>5702</v>
      </c>
      <c r="M163" s="2583">
        <v>4150</v>
      </c>
      <c r="N163" s="3209" t="s">
        <v>5257</v>
      </c>
      <c r="O163" s="1902"/>
      <c r="P163" s="1775"/>
      <c r="Q163" s="3373" t="s">
        <v>5323</v>
      </c>
      <c r="R163" s="2150"/>
      <c r="S163" s="2150"/>
      <c r="T163" s="2150"/>
      <c r="U163" s="2150"/>
      <c r="V163" s="2150"/>
      <c r="W163" s="2150"/>
      <c r="X163" s="2150"/>
      <c r="Y163" s="2150"/>
      <c r="Z163" s="2150"/>
      <c r="AA163" s="2150"/>
    </row>
    <row r="164" spans="1:35" s="2643" customFormat="1" ht="58.5" customHeight="1">
      <c r="A164" s="3729">
        <v>42</v>
      </c>
      <c r="B164" s="3035" t="str">
        <f t="shared" si="5"/>
        <v>2000003313</v>
      </c>
      <c r="C164" s="1545" t="s">
        <v>5288</v>
      </c>
      <c r="D164" s="3361">
        <v>4350</v>
      </c>
      <c r="E164" s="1902" t="s">
        <v>5636</v>
      </c>
      <c r="F164" s="1902" t="s">
        <v>84</v>
      </c>
      <c r="G164" s="1921"/>
      <c r="H164" s="1921"/>
      <c r="I164" s="1921" t="s">
        <v>5253</v>
      </c>
      <c r="J164" s="3033" t="s">
        <v>19</v>
      </c>
      <c r="K164" s="1921" t="s">
        <v>74</v>
      </c>
      <c r="L164" s="1845" t="s">
        <v>5703</v>
      </c>
      <c r="M164" s="3055">
        <v>3300</v>
      </c>
      <c r="N164" s="2915" t="s">
        <v>5704</v>
      </c>
      <c r="O164" s="1902">
        <v>25</v>
      </c>
      <c r="P164" s="1911"/>
      <c r="Q164" s="3399" t="s">
        <v>5323</v>
      </c>
      <c r="R164" s="3362"/>
      <c r="S164" s="2659"/>
      <c r="T164" s="2659"/>
      <c r="U164" s="3363"/>
      <c r="V164" s="1904"/>
      <c r="W164" s="2659"/>
      <c r="X164" s="2424"/>
      <c r="Y164" s="2424"/>
      <c r="Z164" s="1902"/>
      <c r="AA164" s="1921"/>
      <c r="AB164" s="3364"/>
      <c r="AC164" s="3365"/>
      <c r="AD164" s="2150"/>
      <c r="AE164" s="2150"/>
      <c r="AF164" s="2150"/>
      <c r="AG164" s="2150"/>
      <c r="AH164" s="2150"/>
      <c r="AI164" s="2150"/>
    </row>
    <row r="165" spans="1:35" s="2643" customFormat="1" ht="58.5" customHeight="1">
      <c r="A165" s="3731"/>
      <c r="B165" s="3035" t="str">
        <f t="shared" si="5"/>
        <v>2000003422</v>
      </c>
      <c r="C165" s="1545" t="s">
        <v>5288</v>
      </c>
      <c r="D165" s="2607"/>
      <c r="E165" s="1921"/>
      <c r="F165" s="1493" t="s">
        <v>84</v>
      </c>
      <c r="G165" s="1921"/>
      <c r="H165" s="1921"/>
      <c r="I165" s="1921" t="s">
        <v>5253</v>
      </c>
      <c r="J165" s="3033" t="s">
        <v>19</v>
      </c>
      <c r="K165" s="1921" t="s">
        <v>74</v>
      </c>
      <c r="L165" s="1845" t="s">
        <v>5705</v>
      </c>
      <c r="M165" s="2583">
        <v>1050</v>
      </c>
      <c r="N165" s="3209" t="s">
        <v>5257</v>
      </c>
      <c r="O165" s="1902"/>
      <c r="P165" s="1775"/>
      <c r="Q165" s="3370" t="s">
        <v>5323</v>
      </c>
      <c r="R165" s="2150"/>
      <c r="S165" s="2150"/>
      <c r="T165" s="2150"/>
      <c r="U165" s="2150"/>
      <c r="V165" s="2150"/>
      <c r="W165" s="2150"/>
      <c r="X165" s="2150"/>
      <c r="Y165" s="2150"/>
      <c r="Z165" s="2150"/>
      <c r="AA165" s="2150"/>
    </row>
    <row r="166" spans="1:35" s="2150" customFormat="1" ht="58.5" customHeight="1">
      <c r="A166" s="3729">
        <v>43</v>
      </c>
      <c r="B166" s="3086" t="str">
        <f t="shared" si="5"/>
        <v>2000003462</v>
      </c>
      <c r="C166" s="1902" t="s">
        <v>5706</v>
      </c>
      <c r="D166" s="3405">
        <v>3250</v>
      </c>
      <c r="E166" s="2118" t="s">
        <v>5627</v>
      </c>
      <c r="F166" s="2391" t="s">
        <v>84</v>
      </c>
      <c r="G166" s="1921"/>
      <c r="H166" s="1921"/>
      <c r="I166" s="1921" t="s">
        <v>5253</v>
      </c>
      <c r="J166" s="3033" t="s">
        <v>19</v>
      </c>
      <c r="K166" s="1921" t="s">
        <v>74</v>
      </c>
      <c r="L166" s="1911" t="s">
        <v>5707</v>
      </c>
      <c r="M166" s="3055">
        <v>2065</v>
      </c>
      <c r="N166" s="2196" t="s">
        <v>5440</v>
      </c>
      <c r="O166" s="1902"/>
      <c r="P166" s="1911"/>
      <c r="Q166" s="3406" t="s">
        <v>5323</v>
      </c>
      <c r="R166" s="3362"/>
      <c r="S166" s="2659"/>
      <c r="T166" s="2659"/>
      <c r="U166" s="3363"/>
      <c r="V166" s="1904"/>
      <c r="W166" s="2659"/>
      <c r="X166" s="2424"/>
      <c r="Y166" s="2424"/>
      <c r="Z166" s="1902"/>
      <c r="AA166" s="1921"/>
      <c r="AB166" s="3364"/>
      <c r="AC166" s="3365"/>
    </row>
    <row r="167" spans="1:35" s="2643" customFormat="1" ht="58.5" customHeight="1">
      <c r="A167" s="3730"/>
      <c r="B167" s="3035" t="str">
        <f t="shared" si="5"/>
        <v>2000003422</v>
      </c>
      <c r="C167" s="1630" t="s">
        <v>5706</v>
      </c>
      <c r="D167" s="1494"/>
      <c r="E167" s="1495"/>
      <c r="F167" s="1493" t="s">
        <v>84</v>
      </c>
      <c r="G167" s="1921"/>
      <c r="H167" s="1921"/>
      <c r="I167" s="1921" t="s">
        <v>5253</v>
      </c>
      <c r="J167" s="3033" t="s">
        <v>19</v>
      </c>
      <c r="K167" s="1921" t="s">
        <v>74</v>
      </c>
      <c r="L167" s="1845" t="s">
        <v>5708</v>
      </c>
      <c r="M167" s="2583">
        <v>1038</v>
      </c>
      <c r="N167" s="3209" t="s">
        <v>5257</v>
      </c>
      <c r="O167" s="1902"/>
      <c r="P167" s="1775"/>
      <c r="Q167" s="3358" t="s">
        <v>5323</v>
      </c>
      <c r="R167" s="2150"/>
      <c r="S167" s="2150"/>
      <c r="T167" s="2150"/>
      <c r="U167" s="2150"/>
      <c r="V167" s="2150"/>
      <c r="W167" s="2150"/>
      <c r="X167" s="2150"/>
      <c r="Y167" s="2150"/>
      <c r="Z167" s="2150"/>
      <c r="AA167" s="2150"/>
    </row>
    <row r="168" spans="1:35" s="1467" customFormat="1" ht="58.5" customHeight="1">
      <c r="A168" s="3731"/>
      <c r="B168" s="3035" t="str">
        <f t="shared" si="5"/>
        <v>2000003373</v>
      </c>
      <c r="C168" s="1493" t="s">
        <v>5706</v>
      </c>
      <c r="D168" s="1494"/>
      <c r="E168" s="1495"/>
      <c r="F168" s="1493" t="s">
        <v>84</v>
      </c>
      <c r="G168" s="1495"/>
      <c r="H168" s="1495"/>
      <c r="I168" s="1495" t="s">
        <v>5253</v>
      </c>
      <c r="J168" s="3023" t="s">
        <v>19</v>
      </c>
      <c r="K168" s="1495" t="s">
        <v>74</v>
      </c>
      <c r="L168" s="1600" t="s">
        <v>5709</v>
      </c>
      <c r="M168" s="2357">
        <v>80</v>
      </c>
      <c r="N168" s="2196" t="s">
        <v>5440</v>
      </c>
      <c r="O168" s="1493"/>
      <c r="P168" s="1859"/>
      <c r="Q168" s="3373" t="s">
        <v>5323</v>
      </c>
      <c r="R168" s="1548"/>
      <c r="S168" s="1548"/>
      <c r="T168" s="1548"/>
      <c r="U168" s="1548"/>
      <c r="V168" s="1548"/>
      <c r="W168" s="1548"/>
      <c r="X168" s="1548"/>
      <c r="Y168" s="1548"/>
      <c r="Z168" s="1548"/>
      <c r="AA168" s="1548"/>
    </row>
    <row r="169" spans="1:35" s="2150" customFormat="1" ht="58.5" customHeight="1">
      <c r="A169" s="3729">
        <v>44</v>
      </c>
      <c r="B169" s="3210" t="str">
        <f t="shared" si="5"/>
        <v>2000003428</v>
      </c>
      <c r="C169" s="1902" t="s">
        <v>5319</v>
      </c>
      <c r="D169" s="2607">
        <v>11900</v>
      </c>
      <c r="E169" s="1921" t="s">
        <v>5710</v>
      </c>
      <c r="F169" s="1902" t="s">
        <v>3416</v>
      </c>
      <c r="G169" s="3035" t="s">
        <v>5711</v>
      </c>
      <c r="H169" s="3035"/>
      <c r="I169" s="3035" t="s">
        <v>5253</v>
      </c>
      <c r="J169" s="3033" t="s">
        <v>19</v>
      </c>
      <c r="K169" s="3035" t="s">
        <v>123</v>
      </c>
      <c r="L169" s="2912" t="s">
        <v>5712</v>
      </c>
      <c r="M169" s="3305">
        <v>2000</v>
      </c>
      <c r="N169" s="2915" t="s">
        <v>5713</v>
      </c>
      <c r="O169" s="3033"/>
      <c r="P169" s="3229"/>
      <c r="Q169" s="3358" t="s">
        <v>5323</v>
      </c>
    </row>
    <row r="170" spans="1:35" s="1548" customFormat="1" ht="58.5" customHeight="1">
      <c r="A170" s="3730"/>
      <c r="B170" s="3210" t="str">
        <f t="shared" si="5"/>
        <v>2000003369</v>
      </c>
      <c r="C170" s="1493" t="s">
        <v>5319</v>
      </c>
      <c r="D170" s="1494"/>
      <c r="E170" s="1495"/>
      <c r="F170" s="1493" t="s">
        <v>3416</v>
      </c>
      <c r="G170" s="1495"/>
      <c r="H170" s="1495"/>
      <c r="I170" s="1624" t="s">
        <v>5253</v>
      </c>
      <c r="J170" s="1493" t="s">
        <v>19</v>
      </c>
      <c r="K170" s="1495" t="s">
        <v>123</v>
      </c>
      <c r="L170" s="1600" t="s">
        <v>5714</v>
      </c>
      <c r="M170" s="3051">
        <v>2500</v>
      </c>
      <c r="N170" s="2196" t="s">
        <v>5440</v>
      </c>
      <c r="O170" s="1493"/>
      <c r="P170" s="3257"/>
      <c r="Q170" s="3358" t="s">
        <v>5323</v>
      </c>
      <c r="R170" s="3258"/>
      <c r="S170" s="3070"/>
      <c r="T170" s="1474"/>
      <c r="U170" s="3259"/>
      <c r="V170" s="1634"/>
      <c r="W170" s="1474"/>
      <c r="X170" s="2024"/>
      <c r="Y170" s="2024"/>
      <c r="Z170" s="1493"/>
      <c r="AA170" s="1495"/>
      <c r="AB170" s="1551"/>
      <c r="AC170" s="3260"/>
      <c r="AD170" s="1467"/>
      <c r="AE170" s="1467"/>
      <c r="AF170" s="1467"/>
      <c r="AG170" s="1467"/>
      <c r="AH170" s="1467"/>
      <c r="AI170" s="1467"/>
    </row>
    <row r="171" spans="1:35" s="1467" customFormat="1" ht="58.5" customHeight="1">
      <c r="A171" s="3730"/>
      <c r="B171" s="3210" t="str">
        <f t="shared" si="5"/>
        <v>2000003464</v>
      </c>
      <c r="C171" s="1493" t="s">
        <v>5319</v>
      </c>
      <c r="D171" s="1494"/>
      <c r="E171" s="1495"/>
      <c r="F171" s="1493" t="s">
        <v>3416</v>
      </c>
      <c r="G171" s="1495"/>
      <c r="H171" s="1495"/>
      <c r="I171" s="1624" t="s">
        <v>5253</v>
      </c>
      <c r="J171" s="3023" t="s">
        <v>19</v>
      </c>
      <c r="K171" s="1495" t="s">
        <v>63</v>
      </c>
      <c r="L171" s="1600" t="s">
        <v>5715</v>
      </c>
      <c r="M171" s="2357">
        <v>4160</v>
      </c>
      <c r="N171" s="2196" t="s">
        <v>5454</v>
      </c>
      <c r="O171" s="1493"/>
      <c r="P171" s="1859"/>
      <c r="Q171" s="3358" t="s">
        <v>5323</v>
      </c>
      <c r="R171" s="1548"/>
      <c r="S171" s="1548"/>
      <c r="T171" s="1548"/>
      <c r="U171" s="1548"/>
      <c r="V171" s="1548"/>
      <c r="W171" s="1548"/>
      <c r="X171" s="1548"/>
      <c r="Y171" s="1548"/>
      <c r="Z171" s="1548"/>
      <c r="AA171" s="1548"/>
    </row>
    <row r="172" spans="1:35" s="1467" customFormat="1" ht="58.5" customHeight="1">
      <c r="A172" s="3730"/>
      <c r="B172" s="3210" t="str">
        <f t="shared" si="5"/>
        <v>2000003449</v>
      </c>
      <c r="C172" s="1493" t="s">
        <v>5319</v>
      </c>
      <c r="D172" s="2613"/>
      <c r="E172" s="1495"/>
      <c r="F172" s="1493" t="s">
        <v>3416</v>
      </c>
      <c r="G172" s="1495"/>
      <c r="H172" s="1495"/>
      <c r="I172" s="1624" t="s">
        <v>5253</v>
      </c>
      <c r="J172" s="3023" t="s">
        <v>19</v>
      </c>
      <c r="K172" s="1495" t="s">
        <v>63</v>
      </c>
      <c r="L172" s="1600" t="s">
        <v>5716</v>
      </c>
      <c r="M172" s="2357">
        <v>40</v>
      </c>
      <c r="N172" s="2384" t="s">
        <v>5717</v>
      </c>
      <c r="O172" s="1493"/>
      <c r="P172" s="1859"/>
      <c r="Q172" s="3358" t="s">
        <v>5323</v>
      </c>
      <c r="R172" s="1548"/>
      <c r="S172" s="1548"/>
      <c r="T172" s="1548"/>
      <c r="U172" s="1548"/>
      <c r="V172" s="1548"/>
      <c r="W172" s="1548"/>
      <c r="X172" s="1548"/>
      <c r="Y172" s="1548"/>
      <c r="Z172" s="1548"/>
      <c r="AA172" s="1548"/>
    </row>
    <row r="173" spans="1:35" s="1548" customFormat="1" ht="58.5" customHeight="1">
      <c r="A173" s="3730"/>
      <c r="B173" s="3210" t="str">
        <f t="shared" si="5"/>
        <v>2000003429</v>
      </c>
      <c r="C173" s="1493" t="s">
        <v>5319</v>
      </c>
      <c r="D173" s="3341"/>
      <c r="E173" s="3021"/>
      <c r="F173" s="1493" t="s">
        <v>3416</v>
      </c>
      <c r="G173" s="3021"/>
      <c r="H173" s="3021"/>
      <c r="I173" s="3021" t="s">
        <v>5253</v>
      </c>
      <c r="J173" s="3023" t="s">
        <v>19</v>
      </c>
      <c r="K173" s="3021" t="s">
        <v>63</v>
      </c>
      <c r="L173" s="2880" t="s">
        <v>5718</v>
      </c>
      <c r="M173" s="3247">
        <v>1700</v>
      </c>
      <c r="N173" s="2196" t="s">
        <v>5454</v>
      </c>
      <c r="O173" s="3023"/>
      <c r="P173" s="3248"/>
      <c r="Q173" s="3358" t="s">
        <v>5323</v>
      </c>
    </row>
    <row r="174" spans="1:35" s="1548" customFormat="1" ht="58.5" customHeight="1">
      <c r="A174" s="3731"/>
      <c r="B174" s="3210" t="str">
        <f t="shared" si="5"/>
        <v>2000003430</v>
      </c>
      <c r="C174" s="1769" t="s">
        <v>5319</v>
      </c>
      <c r="D174" s="3237"/>
      <c r="E174" s="3210"/>
      <c r="F174" s="1493" t="s">
        <v>3416</v>
      </c>
      <c r="G174" s="3035"/>
      <c r="H174" s="3035"/>
      <c r="I174" s="3021" t="s">
        <v>5253</v>
      </c>
      <c r="J174" s="3023" t="s">
        <v>19</v>
      </c>
      <c r="K174" s="3021" t="s">
        <v>63</v>
      </c>
      <c r="L174" s="2880" t="s">
        <v>5719</v>
      </c>
      <c r="M174" s="3247">
        <v>1700</v>
      </c>
      <c r="N174" s="2196" t="s">
        <v>5454</v>
      </c>
      <c r="O174" s="3023"/>
      <c r="P174" s="3248"/>
      <c r="Q174" s="3358" t="s">
        <v>5323</v>
      </c>
    </row>
    <row r="175" spans="1:35" s="2660" customFormat="1" ht="58.5" customHeight="1">
      <c r="A175" s="3752">
        <v>45</v>
      </c>
      <c r="B175" s="3312" t="str">
        <f t="shared" si="5"/>
        <v>2000003382</v>
      </c>
      <c r="C175" s="2667" t="s">
        <v>2927</v>
      </c>
      <c r="D175" s="2664">
        <v>12300</v>
      </c>
      <c r="E175" s="2180" t="s">
        <v>5627</v>
      </c>
      <c r="F175" s="2667" t="s">
        <v>3416</v>
      </c>
      <c r="G175" s="2180" t="s">
        <v>5720</v>
      </c>
      <c r="H175" s="1748"/>
      <c r="I175" s="1780" t="s">
        <v>5615</v>
      </c>
      <c r="J175" s="2667" t="s">
        <v>19</v>
      </c>
      <c r="K175" s="2187" t="s">
        <v>20</v>
      </c>
      <c r="L175" s="1845" t="s">
        <v>5721</v>
      </c>
      <c r="M175" s="2583">
        <v>3940</v>
      </c>
      <c r="N175" s="3209" t="s">
        <v>5257</v>
      </c>
      <c r="O175" s="2667"/>
      <c r="P175" s="2666" t="s">
        <v>5722</v>
      </c>
      <c r="Q175" s="3318" t="s">
        <v>5323</v>
      </c>
      <c r="R175" s="3428"/>
      <c r="S175" s="2677"/>
      <c r="T175" s="2677"/>
      <c r="U175" s="3429"/>
      <c r="V175" s="3430"/>
      <c r="W175" s="2677"/>
      <c r="X175" s="3431"/>
      <c r="Y175" s="3431"/>
      <c r="Z175" s="2667"/>
      <c r="AA175" s="2180"/>
      <c r="AB175" s="3432"/>
      <c r="AC175" s="3433"/>
    </row>
    <row r="176" spans="1:35" s="1785" customFormat="1" ht="58.5" customHeight="1">
      <c r="A176" s="3753"/>
      <c r="B176" s="3312" t="str">
        <f t="shared" si="5"/>
        <v>2200002162</v>
      </c>
      <c r="C176" s="1782" t="s">
        <v>2927</v>
      </c>
      <c r="D176" s="1783"/>
      <c r="E176" s="1780"/>
      <c r="F176" s="1782" t="s">
        <v>3416</v>
      </c>
      <c r="G176" s="1780"/>
      <c r="H176" s="1748"/>
      <c r="I176" s="1780" t="s">
        <v>5615</v>
      </c>
      <c r="J176" s="3316" t="s">
        <v>19</v>
      </c>
      <c r="K176" s="1495" t="s">
        <v>1138</v>
      </c>
      <c r="L176" s="3098" t="s">
        <v>5552</v>
      </c>
      <c r="M176" s="3054">
        <v>5750</v>
      </c>
      <c r="N176" s="2196" t="s">
        <v>5723</v>
      </c>
      <c r="O176" s="1782"/>
      <c r="P176" s="1784"/>
      <c r="Q176" s="3318" t="s">
        <v>5323</v>
      </c>
      <c r="R176" s="3434"/>
      <c r="S176" s="3435"/>
      <c r="T176" s="3435"/>
      <c r="U176" s="3436"/>
      <c r="V176" s="2443"/>
      <c r="W176" s="3435"/>
      <c r="X176" s="3437"/>
      <c r="Y176" s="3437"/>
      <c r="Z176" s="1782"/>
      <c r="AA176" s="1780"/>
      <c r="AB176" s="3438"/>
      <c r="AC176" s="3439"/>
    </row>
    <row r="177" spans="1:35" s="2676" customFormat="1" ht="58.5" customHeight="1">
      <c r="A177" s="3753"/>
      <c r="B177" s="3312" t="str">
        <f t="shared" si="5"/>
        <v>2200002254</v>
      </c>
      <c r="C177" s="1782" t="s">
        <v>2927</v>
      </c>
      <c r="D177" s="2664"/>
      <c r="E177" s="2180"/>
      <c r="F177" s="1782" t="s">
        <v>3416</v>
      </c>
      <c r="G177" s="2180"/>
      <c r="H177" s="1748"/>
      <c r="I177" s="1780" t="s">
        <v>5615</v>
      </c>
      <c r="J177" s="3316" t="s">
        <v>19</v>
      </c>
      <c r="K177" s="1495" t="s">
        <v>1138</v>
      </c>
      <c r="L177" s="1605" t="s">
        <v>5724</v>
      </c>
      <c r="M177" s="3051">
        <v>557</v>
      </c>
      <c r="N177" s="2915" t="s">
        <v>5680</v>
      </c>
      <c r="O177" s="2667"/>
      <c r="P177" s="2666"/>
      <c r="Q177" s="3318" t="s">
        <v>5323</v>
      </c>
      <c r="R177" s="3428"/>
      <c r="S177" s="2677"/>
      <c r="T177" s="2677"/>
      <c r="U177" s="3429"/>
      <c r="V177" s="3430"/>
      <c r="W177" s="2677"/>
      <c r="X177" s="3431"/>
      <c r="Y177" s="3431"/>
      <c r="Z177" s="2667"/>
      <c r="AA177" s="2180"/>
      <c r="AB177" s="3432"/>
      <c r="AC177" s="3433"/>
    </row>
    <row r="178" spans="1:35" s="2676" customFormat="1" ht="58.5" customHeight="1">
      <c r="A178" s="3754"/>
      <c r="B178" s="3312" t="str">
        <f t="shared" si="5"/>
        <v>2000003394</v>
      </c>
      <c r="C178" s="1782" t="s">
        <v>2927</v>
      </c>
      <c r="D178" s="1783"/>
      <c r="E178" s="1780"/>
      <c r="F178" s="1782" t="s">
        <v>3416</v>
      </c>
      <c r="G178" s="1780"/>
      <c r="H178" s="1748"/>
      <c r="I178" s="1780" t="s">
        <v>5615</v>
      </c>
      <c r="J178" s="3316" t="s">
        <v>19</v>
      </c>
      <c r="K178" s="1495" t="s">
        <v>1138</v>
      </c>
      <c r="L178" s="2880" t="s">
        <v>5725</v>
      </c>
      <c r="M178" s="2357">
        <v>2040</v>
      </c>
      <c r="N178" s="2196" t="s">
        <v>5440</v>
      </c>
      <c r="O178" s="1782"/>
      <c r="P178" s="1784"/>
      <c r="Q178" s="3318" t="s">
        <v>5323</v>
      </c>
      <c r="R178" s="1821"/>
      <c r="S178" s="1821"/>
      <c r="T178" s="1821"/>
      <c r="U178" s="1821"/>
      <c r="V178" s="1821"/>
      <c r="W178" s="1821"/>
      <c r="X178" s="1821"/>
      <c r="Y178" s="1821"/>
      <c r="Z178" s="1821"/>
      <c r="AA178" s="1821"/>
      <c r="AB178" s="1785"/>
      <c r="AC178" s="1785"/>
      <c r="AD178" s="1785"/>
      <c r="AE178" s="1785"/>
      <c r="AF178" s="1785"/>
      <c r="AG178" s="1785"/>
      <c r="AH178" s="1785"/>
      <c r="AI178" s="1785"/>
    </row>
    <row r="179" spans="1:35" s="2150" customFormat="1" ht="58.5" customHeight="1">
      <c r="A179" s="3246">
        <v>46</v>
      </c>
      <c r="B179" s="3038" t="str">
        <f t="shared" si="5"/>
        <v>2000003403</v>
      </c>
      <c r="C179" s="3440" t="s">
        <v>82</v>
      </c>
      <c r="D179" s="3441">
        <v>4150</v>
      </c>
      <c r="E179" s="2263" t="s">
        <v>5726</v>
      </c>
      <c r="F179" s="2667" t="s">
        <v>84</v>
      </c>
      <c r="G179" s="3035" t="s">
        <v>5727</v>
      </c>
      <c r="H179" s="3035"/>
      <c r="I179" s="3082" t="s">
        <v>5253</v>
      </c>
      <c r="J179" s="3033" t="s">
        <v>19</v>
      </c>
      <c r="K179" s="3035" t="s">
        <v>74</v>
      </c>
      <c r="L179" s="2912" t="s">
        <v>5700</v>
      </c>
      <c r="M179" s="3305">
        <v>4150</v>
      </c>
      <c r="N179" s="2196" t="s">
        <v>5440</v>
      </c>
      <c r="O179" s="3033"/>
      <c r="P179" s="3229"/>
      <c r="Q179" s="3358" t="s">
        <v>5268</v>
      </c>
    </row>
    <row r="180" spans="1:35" s="2150" customFormat="1" ht="58.5" customHeight="1">
      <c r="A180" s="3468">
        <v>47</v>
      </c>
      <c r="B180" s="3035" t="str">
        <f t="shared" si="5"/>
        <v>2000003403</v>
      </c>
      <c r="C180" s="2667" t="s">
        <v>5728</v>
      </c>
      <c r="D180" s="3469">
        <v>4300</v>
      </c>
      <c r="E180" s="3397" t="s">
        <v>5729</v>
      </c>
      <c r="F180" s="3470" t="s">
        <v>16</v>
      </c>
      <c r="G180" s="3035" t="s">
        <v>5730</v>
      </c>
      <c r="H180" s="3035" t="s">
        <v>5731</v>
      </c>
      <c r="I180" s="3082" t="s">
        <v>5253</v>
      </c>
      <c r="J180" s="3033" t="s">
        <v>19</v>
      </c>
      <c r="K180" s="3035" t="s">
        <v>74</v>
      </c>
      <c r="L180" s="2912" t="s">
        <v>5732</v>
      </c>
      <c r="M180" s="3305">
        <v>2380</v>
      </c>
      <c r="N180" s="2196" t="s">
        <v>5440</v>
      </c>
      <c r="O180" s="3033"/>
      <c r="P180" s="3229"/>
      <c r="Q180" s="3358">
        <v>3</v>
      </c>
    </row>
    <row r="181" spans="1:35" s="1467" customFormat="1" ht="58.5" customHeight="1">
      <c r="A181" s="3471"/>
      <c r="B181" s="3035" t="str">
        <f t="shared" ref="B181:B212" si="6">TEXT(LEFT(L181,10),"0000000000")</f>
        <v>2000003392</v>
      </c>
      <c r="C181" s="1782" t="s">
        <v>5728</v>
      </c>
      <c r="D181" s="1494"/>
      <c r="E181" s="1495"/>
      <c r="F181" s="3470" t="s">
        <v>16</v>
      </c>
      <c r="G181" s="1568"/>
      <c r="H181" s="1495"/>
      <c r="I181" s="1495" t="s">
        <v>5253</v>
      </c>
      <c r="J181" s="3023" t="s">
        <v>19</v>
      </c>
      <c r="K181" s="1495" t="s">
        <v>74</v>
      </c>
      <c r="L181" s="1600" t="s">
        <v>5733</v>
      </c>
      <c r="M181" s="2357">
        <v>952</v>
      </c>
      <c r="N181" s="2196" t="s">
        <v>5454</v>
      </c>
      <c r="O181" s="1493"/>
      <c r="P181" s="1859"/>
      <c r="Q181" s="3358" t="s">
        <v>5268</v>
      </c>
      <c r="R181" s="1548"/>
      <c r="S181" s="1548"/>
      <c r="T181" s="1548"/>
      <c r="U181" s="1548"/>
      <c r="V181" s="1548"/>
      <c r="W181" s="1548"/>
      <c r="X181" s="1548"/>
      <c r="Y181" s="1548"/>
      <c r="Z181" s="1548"/>
      <c r="AA181" s="1548"/>
    </row>
    <row r="182" spans="1:35" s="1467" customFormat="1" ht="58.5" customHeight="1">
      <c r="A182" s="2797"/>
      <c r="B182" s="3035" t="str">
        <f t="shared" si="6"/>
        <v>2200002283</v>
      </c>
      <c r="C182" s="1782" t="s">
        <v>5728</v>
      </c>
      <c r="D182" s="1494"/>
      <c r="E182" s="1495"/>
      <c r="F182" s="3470" t="s">
        <v>16</v>
      </c>
      <c r="G182" s="1568"/>
      <c r="H182" s="1495"/>
      <c r="I182" s="1495" t="s">
        <v>5253</v>
      </c>
      <c r="J182" s="1493" t="s">
        <v>19</v>
      </c>
      <c r="K182" s="1495" t="s">
        <v>74</v>
      </c>
      <c r="L182" s="1600" t="s">
        <v>5734</v>
      </c>
      <c r="M182" s="3051">
        <v>263</v>
      </c>
      <c r="N182" s="3209" t="s">
        <v>5445</v>
      </c>
      <c r="O182" s="1493"/>
      <c r="P182" s="1547"/>
      <c r="Q182" s="3370"/>
      <c r="R182" s="3258"/>
      <c r="S182" s="1474"/>
      <c r="T182" s="1474"/>
      <c r="U182" s="3259"/>
      <c r="V182" s="1634"/>
      <c r="W182" s="1474"/>
      <c r="X182" s="2024"/>
      <c r="Y182" s="2024"/>
      <c r="Z182" s="1493"/>
      <c r="AA182" s="1495"/>
      <c r="AB182" s="1551"/>
      <c r="AC182" s="3260"/>
    </row>
    <row r="183" spans="1:35" s="1467" customFormat="1" ht="58.5" customHeight="1">
      <c r="A183" s="2797"/>
      <c r="B183" s="3035" t="str">
        <f t="shared" si="6"/>
        <v>2200002284</v>
      </c>
      <c r="C183" s="1782" t="s">
        <v>5728</v>
      </c>
      <c r="D183" s="1494"/>
      <c r="E183" s="1495"/>
      <c r="F183" s="3470" t="s">
        <v>16</v>
      </c>
      <c r="G183" s="1568"/>
      <c r="H183" s="1495"/>
      <c r="I183" s="1495" t="s">
        <v>5253</v>
      </c>
      <c r="J183" s="1493" t="s">
        <v>19</v>
      </c>
      <c r="K183" s="1495" t="s">
        <v>74</v>
      </c>
      <c r="L183" s="1843" t="s">
        <v>5735</v>
      </c>
      <c r="M183" s="3051">
        <v>700</v>
      </c>
      <c r="N183" s="2196" t="s">
        <v>5736</v>
      </c>
      <c r="O183" s="1493"/>
      <c r="P183" s="1547"/>
      <c r="Q183" s="3370"/>
      <c r="R183" s="3258"/>
      <c r="S183" s="1474"/>
      <c r="T183" s="1474"/>
      <c r="U183" s="3259"/>
      <c r="V183" s="1634"/>
      <c r="W183" s="1474"/>
      <c r="X183" s="2024"/>
      <c r="Y183" s="2024"/>
      <c r="Z183" s="1493"/>
      <c r="AA183" s="1495"/>
      <c r="AB183" s="1551"/>
      <c r="AC183" s="3260"/>
    </row>
    <row r="184" spans="1:35" s="3121" customFormat="1" ht="58.5" customHeight="1">
      <c r="A184" s="3462"/>
      <c r="B184" s="3035" t="str">
        <f t="shared" si="6"/>
        <v>2000003417</v>
      </c>
      <c r="C184" s="1902" t="s">
        <v>5737</v>
      </c>
      <c r="D184" s="2607">
        <v>4450</v>
      </c>
      <c r="E184" s="2607" t="s">
        <v>5738</v>
      </c>
      <c r="F184" s="3033" t="s">
        <v>54</v>
      </c>
      <c r="G184" s="1909" t="s">
        <v>5739</v>
      </c>
      <c r="H184" s="1909"/>
      <c r="I184" s="2030" t="s">
        <v>5253</v>
      </c>
      <c r="J184" s="3033" t="s">
        <v>19</v>
      </c>
      <c r="K184" s="2180" t="s">
        <v>199</v>
      </c>
      <c r="L184" s="1859" t="s">
        <v>5740</v>
      </c>
      <c r="M184" s="3242">
        <v>4450</v>
      </c>
      <c r="N184" s="3209" t="s">
        <v>5257</v>
      </c>
      <c r="O184" s="2429"/>
      <c r="P184" s="1859"/>
      <c r="Q184" s="3358" t="s">
        <v>5268</v>
      </c>
      <c r="R184" s="3463"/>
      <c r="S184" s="3339"/>
      <c r="T184" s="3339"/>
      <c r="U184" s="3464"/>
      <c r="V184" s="3465"/>
      <c r="W184" s="3339"/>
      <c r="X184" s="2689"/>
      <c r="Y184" s="2689"/>
      <c r="Z184" s="3339"/>
      <c r="AA184" s="2689"/>
      <c r="AB184" s="3466"/>
      <c r="AC184" s="3467"/>
    </row>
    <row r="185" spans="1:35" s="432" customFormat="1" ht="58.5" customHeight="1">
      <c r="A185" s="3538"/>
      <c r="B185" s="3448" t="str">
        <f t="shared" si="6"/>
        <v>2000003469</v>
      </c>
      <c r="C185" s="3064" t="s">
        <v>5469</v>
      </c>
      <c r="D185" s="3420">
        <v>4200</v>
      </c>
      <c r="E185" s="3065" t="s">
        <v>5729</v>
      </c>
      <c r="F185" s="3539" t="s">
        <v>61</v>
      </c>
      <c r="G185" s="422"/>
      <c r="H185" s="427"/>
      <c r="I185" s="3540" t="s">
        <v>5253</v>
      </c>
      <c r="J185" s="3418" t="s">
        <v>19</v>
      </c>
      <c r="K185" s="427" t="s">
        <v>74</v>
      </c>
      <c r="L185" s="424" t="s">
        <v>5741</v>
      </c>
      <c r="M185" s="3447">
        <v>4200</v>
      </c>
      <c r="N185" s="3344" t="s">
        <v>5742</v>
      </c>
      <c r="O185" s="423"/>
      <c r="P185" s="3541" t="s">
        <v>5743</v>
      </c>
      <c r="Q185" s="3542" t="s">
        <v>5268</v>
      </c>
      <c r="R185" s="1957"/>
      <c r="S185" s="3066"/>
      <c r="T185" s="3066"/>
      <c r="U185" s="3066"/>
      <c r="V185" s="3066"/>
      <c r="W185" s="3066"/>
      <c r="X185" s="3066"/>
      <c r="Y185" s="3066"/>
      <c r="Z185" s="3066"/>
      <c r="AA185" s="3066"/>
      <c r="AB185" s="3066"/>
      <c r="AC185" s="3066"/>
      <c r="AD185" s="3066"/>
      <c r="AE185" s="3066"/>
      <c r="AF185" s="3066"/>
      <c r="AG185" s="3066"/>
      <c r="AH185" s="3066"/>
      <c r="AI185" s="3066"/>
    </row>
    <row r="186" spans="1:35" s="2643" customFormat="1" ht="58.5" customHeight="1">
      <c r="A186" s="1542"/>
      <c r="B186" s="3291" t="str">
        <f t="shared" si="6"/>
        <v>2000003399</v>
      </c>
      <c r="C186" s="1902" t="s">
        <v>3563</v>
      </c>
      <c r="D186" s="2607">
        <v>3450</v>
      </c>
      <c r="E186" s="1921" t="s">
        <v>5729</v>
      </c>
      <c r="F186" s="1902" t="s">
        <v>61</v>
      </c>
      <c r="G186" s="1568"/>
      <c r="H186" s="1495"/>
      <c r="I186" s="1495" t="s">
        <v>5253</v>
      </c>
      <c r="J186" s="3023" t="s">
        <v>19</v>
      </c>
      <c r="K186" s="1495" t="s">
        <v>74</v>
      </c>
      <c r="L186" s="1600" t="s">
        <v>5744</v>
      </c>
      <c r="M186" s="2357">
        <v>3450</v>
      </c>
      <c r="N186" s="2196" t="s">
        <v>5454</v>
      </c>
      <c r="O186" s="1493"/>
      <c r="P186" s="1859"/>
      <c r="Q186" s="3358" t="s">
        <v>5268</v>
      </c>
      <c r="R186" s="1548"/>
      <c r="S186" s="1548"/>
      <c r="T186" s="1548"/>
      <c r="U186" s="1548"/>
      <c r="V186" s="1548"/>
      <c r="W186" s="1548"/>
      <c r="X186" s="1548"/>
      <c r="Y186" s="1548"/>
      <c r="Z186" s="1548"/>
      <c r="AA186" s="1548"/>
      <c r="AB186" s="1467"/>
      <c r="AC186" s="1467"/>
      <c r="AD186" s="1467"/>
      <c r="AE186" s="1467"/>
      <c r="AF186" s="1467"/>
      <c r="AG186" s="1467"/>
      <c r="AH186" s="1467"/>
      <c r="AI186" s="1467"/>
    </row>
    <row r="187" spans="1:35" s="2643" customFormat="1" ht="58.5" customHeight="1">
      <c r="A187" s="2436"/>
      <c r="B187" s="3291" t="str">
        <f t="shared" si="6"/>
        <v>2000003463</v>
      </c>
      <c r="C187" s="1902" t="s">
        <v>3460</v>
      </c>
      <c r="D187" s="2357">
        <v>4000</v>
      </c>
      <c r="E187" s="1495" t="s">
        <v>5729</v>
      </c>
      <c r="F187" s="1493" t="s">
        <v>61</v>
      </c>
      <c r="G187" s="2279"/>
      <c r="H187" s="1921"/>
      <c r="I187" s="1921" t="s">
        <v>5253</v>
      </c>
      <c r="J187" s="3033" t="s">
        <v>19</v>
      </c>
      <c r="K187" s="1921" t="s">
        <v>74</v>
      </c>
      <c r="L187" s="2912" t="s">
        <v>5745</v>
      </c>
      <c r="M187" s="2583">
        <v>4000</v>
      </c>
      <c r="N187" s="3209" t="s">
        <v>5257</v>
      </c>
      <c r="O187" s="1902"/>
      <c r="P187" s="1775"/>
      <c r="Q187" s="3406" t="s">
        <v>5268</v>
      </c>
      <c r="R187" s="2150"/>
      <c r="S187" s="2150"/>
      <c r="T187" s="2150"/>
      <c r="U187" s="2150"/>
      <c r="V187" s="2150"/>
      <c r="W187" s="2150"/>
      <c r="X187" s="2150"/>
      <c r="Y187" s="2150"/>
      <c r="Z187" s="2150"/>
      <c r="AA187" s="2150"/>
    </row>
    <row r="188" spans="1:35" s="2150" customFormat="1" ht="58.5" customHeight="1">
      <c r="A188" s="2210"/>
      <c r="B188" s="3035" t="str">
        <f t="shared" si="6"/>
        <v>2200002279</v>
      </c>
      <c r="C188" s="2563" t="s">
        <v>5701</v>
      </c>
      <c r="D188" s="2607">
        <v>4150</v>
      </c>
      <c r="E188" s="1921" t="s">
        <v>5746</v>
      </c>
      <c r="F188" s="1902" t="s">
        <v>89</v>
      </c>
      <c r="G188" s="2279"/>
      <c r="H188" s="1921"/>
      <c r="I188" s="1921" t="s">
        <v>5253</v>
      </c>
      <c r="J188" s="1902" t="s">
        <v>19</v>
      </c>
      <c r="K188" s="1921" t="s">
        <v>74</v>
      </c>
      <c r="L188" s="1845" t="s">
        <v>5747</v>
      </c>
      <c r="M188" s="3055">
        <v>709</v>
      </c>
      <c r="N188" s="2196" t="s">
        <v>5748</v>
      </c>
      <c r="O188" s="1902"/>
      <c r="P188" s="1911"/>
      <c r="Q188" s="3399" t="s">
        <v>5268</v>
      </c>
      <c r="R188" s="3362"/>
      <c r="S188" s="2659"/>
      <c r="T188" s="2659"/>
      <c r="U188" s="3363"/>
      <c r="V188" s="1904"/>
      <c r="W188" s="2659"/>
      <c r="X188" s="2424"/>
      <c r="Y188" s="2424"/>
      <c r="Z188" s="1902"/>
      <c r="AA188" s="1921"/>
      <c r="AB188" s="3364"/>
      <c r="AC188" s="3365"/>
    </row>
    <row r="189" spans="1:35" s="3554" customFormat="1" ht="58.5" customHeight="1">
      <c r="A189" s="3547"/>
      <c r="B189" s="3035" t="str">
        <f t="shared" si="6"/>
        <v>2000003417</v>
      </c>
      <c r="C189" s="1626" t="s">
        <v>5701</v>
      </c>
      <c r="D189" s="1494"/>
      <c r="E189" s="1921" t="s">
        <v>5746</v>
      </c>
      <c r="F189" s="1493" t="s">
        <v>89</v>
      </c>
      <c r="G189" s="2376"/>
      <c r="H189" s="2030"/>
      <c r="I189" s="2030" t="s">
        <v>5253</v>
      </c>
      <c r="J189" s="3042" t="s">
        <v>19</v>
      </c>
      <c r="K189" s="3548" t="s">
        <v>199</v>
      </c>
      <c r="L189" s="3148" t="s">
        <v>5749</v>
      </c>
      <c r="M189" s="3141">
        <v>559</v>
      </c>
      <c r="N189" s="3549" t="s">
        <v>5257</v>
      </c>
      <c r="O189" s="1882"/>
      <c r="P189" s="2576"/>
      <c r="Q189" s="3358" t="s">
        <v>5268</v>
      </c>
      <c r="R189" s="3550"/>
      <c r="S189" s="3070"/>
      <c r="T189" s="3070"/>
      <c r="U189" s="3551"/>
      <c r="V189" s="3552"/>
      <c r="W189" s="3070"/>
      <c r="X189" s="2057"/>
      <c r="Y189" s="2057"/>
      <c r="Z189" s="3070"/>
      <c r="AA189" s="2057"/>
      <c r="AB189" s="2719"/>
      <c r="AC189" s="3553"/>
    </row>
    <row r="190" spans="1:35" s="2643" customFormat="1" ht="58.5" customHeight="1">
      <c r="A190" s="2436"/>
      <c r="B190" s="3555" t="str">
        <f t="shared" si="6"/>
        <v>2000003463</v>
      </c>
      <c r="C190" s="1493" t="s">
        <v>5701</v>
      </c>
      <c r="D190" s="1494"/>
      <c r="E190" s="1921" t="s">
        <v>5746</v>
      </c>
      <c r="F190" s="1493" t="s">
        <v>89</v>
      </c>
      <c r="G190" s="2279"/>
      <c r="H190" s="1921"/>
      <c r="I190" s="1921" t="s">
        <v>5253</v>
      </c>
      <c r="J190" s="3033" t="s">
        <v>19</v>
      </c>
      <c r="K190" s="1921" t="s">
        <v>74</v>
      </c>
      <c r="L190" s="2912" t="s">
        <v>5750</v>
      </c>
      <c r="M190" s="2583">
        <v>939</v>
      </c>
      <c r="N190" s="3209" t="s">
        <v>5257</v>
      </c>
      <c r="O190" s="1902"/>
      <c r="P190" s="1775"/>
      <c r="Q190" s="3406" t="s">
        <v>5268</v>
      </c>
      <c r="R190" s="2150"/>
      <c r="S190" s="2150"/>
      <c r="T190" s="2150"/>
      <c r="U190" s="2150"/>
      <c r="V190" s="2150"/>
      <c r="W190" s="2150"/>
      <c r="X190" s="2150"/>
      <c r="Y190" s="2150"/>
      <c r="Z190" s="2150"/>
      <c r="AA190" s="2150"/>
    </row>
    <row r="191" spans="1:35" s="2643" customFormat="1" ht="58.5" customHeight="1">
      <c r="A191" s="1542"/>
      <c r="B191" s="3291" t="str">
        <f t="shared" si="6"/>
        <v>2000003399</v>
      </c>
      <c r="C191" s="1493" t="s">
        <v>5701</v>
      </c>
      <c r="D191" s="2150"/>
      <c r="E191" s="1921" t="s">
        <v>5746</v>
      </c>
      <c r="F191" s="1493" t="s">
        <v>89</v>
      </c>
      <c r="G191" s="1568"/>
      <c r="H191" s="1495"/>
      <c r="I191" s="1495" t="s">
        <v>5253</v>
      </c>
      <c r="J191" s="3023" t="s">
        <v>19</v>
      </c>
      <c r="K191" s="1495" t="s">
        <v>74</v>
      </c>
      <c r="L191" s="2880" t="s">
        <v>5751</v>
      </c>
      <c r="M191" s="2357">
        <v>2000</v>
      </c>
      <c r="N191" s="2915" t="s">
        <v>5454</v>
      </c>
      <c r="O191" s="1493"/>
      <c r="P191" s="1859"/>
      <c r="Q191" s="3358" t="s">
        <v>5268</v>
      </c>
      <c r="R191" s="1548"/>
      <c r="S191" s="1548"/>
      <c r="T191" s="1548"/>
      <c r="U191" s="1548"/>
      <c r="V191" s="1548"/>
      <c r="W191" s="1548"/>
      <c r="X191" s="1548"/>
      <c r="Y191" s="1548"/>
      <c r="Z191" s="1548"/>
      <c r="AA191" s="1548"/>
      <c r="AB191" s="1467"/>
      <c r="AC191" s="1467"/>
      <c r="AD191" s="1467"/>
      <c r="AE191" s="1467"/>
      <c r="AF191" s="1467"/>
      <c r="AG191" s="1467"/>
      <c r="AH191" s="1467"/>
      <c r="AI191" s="1467"/>
    </row>
    <row r="192" spans="1:35" s="8" customFormat="1" ht="58.5" customHeight="1">
      <c r="A192" s="3311">
        <v>347</v>
      </c>
      <c r="B192" s="3395" t="str">
        <f t="shared" si="6"/>
        <v>2000003446</v>
      </c>
      <c r="C192" s="1895" t="s">
        <v>211</v>
      </c>
      <c r="D192" s="3187">
        <v>4000</v>
      </c>
      <c r="E192" s="2731" t="s">
        <v>5752</v>
      </c>
      <c r="F192" s="2906" t="s">
        <v>61</v>
      </c>
      <c r="G192" s="2514"/>
      <c r="H192" s="2114"/>
      <c r="I192" s="109" t="s">
        <v>5253</v>
      </c>
      <c r="J192" s="2906" t="s">
        <v>19</v>
      </c>
      <c r="K192" s="2114" t="s">
        <v>74</v>
      </c>
      <c r="L192" s="3392" t="s">
        <v>5753</v>
      </c>
      <c r="M192" s="2798">
        <v>350</v>
      </c>
      <c r="N192" s="3252" t="s">
        <v>5257</v>
      </c>
      <c r="O192" s="1895"/>
      <c r="P192" s="2501"/>
      <c r="Q192" s="3394" t="s">
        <v>5268</v>
      </c>
      <c r="R192" s="2167"/>
      <c r="S192" s="2167"/>
      <c r="T192" s="2167"/>
      <c r="U192" s="2167"/>
      <c r="V192" s="2167"/>
      <c r="W192" s="2167"/>
      <c r="X192" s="2167"/>
      <c r="Y192" s="2167"/>
      <c r="Z192" s="2167"/>
      <c r="AA192" s="2167"/>
    </row>
    <row r="193" spans="1:35" ht="58.5" customHeight="1">
      <c r="B193" s="3402" t="str">
        <f t="shared" si="6"/>
        <v>2000003461</v>
      </c>
      <c r="C193" s="102" t="s">
        <v>211</v>
      </c>
      <c r="D193" s="2070"/>
      <c r="E193" s="2731" t="s">
        <v>5752</v>
      </c>
      <c r="F193" s="2904" t="s">
        <v>61</v>
      </c>
      <c r="G193" s="839"/>
      <c r="H193" s="109"/>
      <c r="I193" s="109" t="s">
        <v>5253</v>
      </c>
      <c r="J193" s="2904" t="s">
        <v>19</v>
      </c>
      <c r="K193" s="109" t="s">
        <v>74</v>
      </c>
      <c r="L193" s="670" t="s">
        <v>5754</v>
      </c>
      <c r="M193" s="2644">
        <v>1650</v>
      </c>
      <c r="N193" s="2446" t="s">
        <v>5755</v>
      </c>
      <c r="O193" s="102"/>
      <c r="P193" s="2389"/>
      <c r="Q193" s="3162" t="s">
        <v>5268</v>
      </c>
      <c r="R193" s="1777"/>
      <c r="S193" s="1777"/>
      <c r="T193" s="1777"/>
      <c r="U193" s="1777"/>
      <c r="V193" s="1777"/>
      <c r="W193" s="1777"/>
      <c r="X193" s="1777"/>
      <c r="Y193" s="1777"/>
      <c r="Z193" s="1777"/>
      <c r="AA193" s="1777"/>
    </row>
    <row r="194" spans="1:35" ht="58.5" customHeight="1">
      <c r="B194" s="3402" t="str">
        <f t="shared" si="6"/>
        <v>2200002294</v>
      </c>
      <c r="C194" s="102" t="s">
        <v>211</v>
      </c>
      <c r="D194" s="1167"/>
      <c r="E194" s="2731" t="s">
        <v>5752</v>
      </c>
      <c r="F194" s="2904" t="s">
        <v>61</v>
      </c>
      <c r="G194" s="109"/>
      <c r="H194" s="839"/>
      <c r="I194" s="109" t="s">
        <v>5756</v>
      </c>
      <c r="J194" s="2904" t="s">
        <v>19</v>
      </c>
      <c r="K194" s="109" t="s">
        <v>74</v>
      </c>
      <c r="L194" s="696" t="s">
        <v>5757</v>
      </c>
      <c r="M194" s="2216">
        <v>600</v>
      </c>
      <c r="N194" s="2887" t="s">
        <v>5454</v>
      </c>
      <c r="O194" s="102"/>
      <c r="P194" s="2389"/>
      <c r="Q194" s="3162" t="s">
        <v>5339</v>
      </c>
      <c r="R194" s="1777"/>
      <c r="S194" s="1777"/>
      <c r="T194" s="1777"/>
      <c r="U194" s="1777"/>
      <c r="V194" s="1777"/>
      <c r="W194" s="1777"/>
      <c r="X194" s="1777"/>
      <c r="Y194" s="1777"/>
      <c r="Z194" s="1777"/>
      <c r="AA194" s="1777"/>
    </row>
    <row r="195" spans="1:35" ht="58.5" customHeight="1">
      <c r="A195" s="3310"/>
      <c r="B195" s="3456" t="str">
        <f t="shared" si="6"/>
        <v>2000003469</v>
      </c>
      <c r="C195" s="102" t="s">
        <v>211</v>
      </c>
      <c r="D195" s="1777"/>
      <c r="E195" s="2731" t="s">
        <v>5752</v>
      </c>
      <c r="F195" s="2904" t="s">
        <v>61</v>
      </c>
      <c r="G195" s="1077"/>
      <c r="H195" s="839"/>
      <c r="I195" s="271" t="s">
        <v>5253</v>
      </c>
      <c r="J195" s="2904" t="s">
        <v>19</v>
      </c>
      <c r="K195" s="109" t="s">
        <v>74</v>
      </c>
      <c r="L195" s="696" t="s">
        <v>5758</v>
      </c>
      <c r="M195" s="2644">
        <v>1577</v>
      </c>
      <c r="N195" s="3457" t="s">
        <v>5257</v>
      </c>
      <c r="O195" s="102"/>
      <c r="P195" s="157" t="s">
        <v>5743</v>
      </c>
      <c r="Q195" s="3355" t="s">
        <v>5268</v>
      </c>
      <c r="R195" s="1853"/>
    </row>
    <row r="196" spans="1:35" s="2167" customFormat="1" ht="58.5" customHeight="1">
      <c r="B196" s="3412" t="str">
        <f t="shared" si="6"/>
        <v>2200002279</v>
      </c>
      <c r="C196" s="1895" t="s">
        <v>3211</v>
      </c>
      <c r="D196" s="3417">
        <v>4300</v>
      </c>
      <c r="E196" s="1895" t="s">
        <v>5759</v>
      </c>
      <c r="F196" s="1895" t="s">
        <v>16</v>
      </c>
      <c r="G196" s="2115"/>
      <c r="H196" s="2114"/>
      <c r="I196" s="2114" t="s">
        <v>5253</v>
      </c>
      <c r="J196" s="1895" t="s">
        <v>19</v>
      </c>
      <c r="K196" s="2114" t="s">
        <v>74</v>
      </c>
      <c r="L196" s="2875" t="s">
        <v>5760</v>
      </c>
      <c r="M196" s="3584">
        <v>301</v>
      </c>
      <c r="N196" s="2446" t="s">
        <v>5748</v>
      </c>
      <c r="O196" s="1895"/>
      <c r="P196" s="2618"/>
      <c r="Q196" s="3585" t="s">
        <v>5268</v>
      </c>
      <c r="R196" s="3586"/>
      <c r="S196" s="3587"/>
      <c r="T196" s="3587"/>
      <c r="U196" s="3588"/>
      <c r="V196" s="1535"/>
      <c r="W196" s="3587"/>
      <c r="X196" s="3131"/>
      <c r="Y196" s="3131"/>
      <c r="Z196" s="1895"/>
      <c r="AA196" s="2114"/>
      <c r="AB196" s="3589"/>
      <c r="AC196" s="3590"/>
    </row>
    <row r="197" spans="1:35" ht="58.5" customHeight="1">
      <c r="A197" s="2678"/>
      <c r="B197" s="3412" t="str">
        <f t="shared" si="6"/>
        <v>2200002284</v>
      </c>
      <c r="C197" s="102" t="s">
        <v>3211</v>
      </c>
      <c r="D197" s="3583"/>
      <c r="E197" s="102"/>
      <c r="F197" s="102" t="s">
        <v>16</v>
      </c>
      <c r="G197" s="2013"/>
      <c r="H197" s="111"/>
      <c r="I197" s="109" t="s">
        <v>5253</v>
      </c>
      <c r="J197" s="102" t="s">
        <v>19</v>
      </c>
      <c r="K197" s="109" t="s">
        <v>74</v>
      </c>
      <c r="L197" s="696" t="s">
        <v>5761</v>
      </c>
      <c r="M197" s="3403">
        <v>253</v>
      </c>
      <c r="N197" s="2446" t="s">
        <v>5762</v>
      </c>
      <c r="O197" s="102"/>
      <c r="P197" s="143"/>
      <c r="Q197" s="3404"/>
      <c r="R197" s="359"/>
      <c r="S197" s="1"/>
      <c r="T197" s="1"/>
      <c r="U197" s="1138"/>
      <c r="V197" s="7"/>
      <c r="W197" s="1"/>
      <c r="X197" s="271"/>
      <c r="Y197" s="271"/>
      <c r="Z197" s="102"/>
      <c r="AA197" s="109"/>
      <c r="AB197" s="9"/>
      <c r="AC197" s="803"/>
    </row>
    <row r="198" spans="1:35" ht="58.5" customHeight="1">
      <c r="B198" s="3412" t="str">
        <f t="shared" si="6"/>
        <v>2200002294</v>
      </c>
      <c r="C198" s="102" t="s">
        <v>3211</v>
      </c>
      <c r="D198" s="3583"/>
      <c r="E198" s="102"/>
      <c r="F198" s="102" t="s">
        <v>16</v>
      </c>
      <c r="G198" s="109"/>
      <c r="H198" s="839"/>
      <c r="I198" s="109" t="s">
        <v>5253</v>
      </c>
      <c r="J198" s="2904" t="s">
        <v>19</v>
      </c>
      <c r="K198" s="109" t="s">
        <v>74</v>
      </c>
      <c r="L198" s="696" t="s">
        <v>5763</v>
      </c>
      <c r="M198" s="2216">
        <v>420</v>
      </c>
      <c r="N198" s="109" t="s">
        <v>5764</v>
      </c>
      <c r="O198" s="102"/>
      <c r="P198" s="2389"/>
      <c r="Q198" s="3162" t="s">
        <v>5339</v>
      </c>
      <c r="R198" s="1777"/>
      <c r="S198" s="1777"/>
      <c r="T198" s="1777"/>
      <c r="U198" s="1777"/>
      <c r="V198" s="1777"/>
      <c r="W198" s="1777"/>
      <c r="X198" s="1777"/>
      <c r="Y198" s="1777"/>
      <c r="Z198" s="1777"/>
      <c r="AA198" s="1777"/>
    </row>
    <row r="199" spans="1:35" ht="58.5" customHeight="1">
      <c r="A199" s="2678"/>
      <c r="B199" s="3412" t="str">
        <f t="shared" si="6"/>
        <v>2200002302</v>
      </c>
      <c r="C199" s="102" t="s">
        <v>3211</v>
      </c>
      <c r="D199" s="3583"/>
      <c r="E199" s="102"/>
      <c r="F199" s="102" t="s">
        <v>16</v>
      </c>
      <c r="G199" s="2013"/>
      <c r="H199" s="111"/>
      <c r="I199" s="109" t="s">
        <v>5765</v>
      </c>
      <c r="J199" s="102" t="s">
        <v>19</v>
      </c>
      <c r="K199" s="109" t="s">
        <v>74</v>
      </c>
      <c r="L199" s="696" t="s">
        <v>5766</v>
      </c>
      <c r="M199" s="3403">
        <v>1375</v>
      </c>
      <c r="N199" s="2446" t="s">
        <v>5767</v>
      </c>
      <c r="O199" s="102"/>
      <c r="P199" s="143"/>
      <c r="Q199" s="3404"/>
      <c r="R199" s="359"/>
      <c r="S199" s="1"/>
      <c r="T199" s="1"/>
      <c r="U199" s="1138"/>
      <c r="V199" s="7"/>
      <c r="W199" s="1"/>
      <c r="X199" s="271"/>
      <c r="Y199" s="271"/>
      <c r="Z199" s="102"/>
      <c r="AA199" s="109"/>
      <c r="AB199" s="9"/>
      <c r="AC199" s="803"/>
    </row>
    <row r="200" spans="1:35" ht="58.5" customHeight="1">
      <c r="A200" s="2678"/>
      <c r="B200" s="3412" t="str">
        <f t="shared" si="6"/>
        <v>2200002303</v>
      </c>
      <c r="C200" s="102" t="s">
        <v>3211</v>
      </c>
      <c r="D200" s="3583"/>
      <c r="E200" s="102"/>
      <c r="F200" s="102" t="s">
        <v>16</v>
      </c>
      <c r="G200" s="2013"/>
      <c r="H200" s="111"/>
      <c r="I200" s="109" t="s">
        <v>5765</v>
      </c>
      <c r="J200" s="102" t="s">
        <v>19</v>
      </c>
      <c r="K200" s="109" t="s">
        <v>101</v>
      </c>
      <c r="L200" s="696" t="s">
        <v>5768</v>
      </c>
      <c r="M200" s="3403">
        <v>587</v>
      </c>
      <c r="N200" s="2446" t="s">
        <v>5767</v>
      </c>
      <c r="O200" s="102"/>
      <c r="P200" s="143"/>
      <c r="Q200" s="3404"/>
      <c r="R200" s="359"/>
      <c r="S200" s="1"/>
      <c r="T200" s="1"/>
      <c r="U200" s="1138"/>
      <c r="V200" s="7"/>
      <c r="W200" s="1"/>
      <c r="X200" s="271"/>
      <c r="Y200" s="271"/>
      <c r="Z200" s="102"/>
      <c r="AA200" s="109"/>
      <c r="AB200" s="9"/>
      <c r="AC200" s="803"/>
    </row>
    <row r="201" spans="1:35" s="1777" customFormat="1" ht="58.5" customHeight="1">
      <c r="A201" s="738"/>
      <c r="B201" s="3412" t="str">
        <f t="shared" si="6"/>
        <v>2200002153</v>
      </c>
      <c r="C201" s="102" t="s">
        <v>3211</v>
      </c>
      <c r="D201" s="3583"/>
      <c r="E201" s="102"/>
      <c r="F201" s="102" t="s">
        <v>16</v>
      </c>
      <c r="G201" s="109"/>
      <c r="H201" s="109"/>
      <c r="I201" s="3408" t="s">
        <v>5253</v>
      </c>
      <c r="J201" s="2904" t="s">
        <v>19</v>
      </c>
      <c r="K201" s="109" t="s">
        <v>101</v>
      </c>
      <c r="L201" s="2903" t="s">
        <v>5769</v>
      </c>
      <c r="M201" s="2644">
        <v>1300</v>
      </c>
      <c r="N201" s="2446" t="s">
        <v>5342</v>
      </c>
      <c r="O201" s="102"/>
      <c r="P201" s="2389"/>
      <c r="Q201" s="3163"/>
    </row>
    <row r="202" spans="1:35" s="2676" customFormat="1" ht="58.5" customHeight="1">
      <c r="A202" s="2436"/>
      <c r="B202" s="3170" t="str">
        <f t="shared" si="6"/>
        <v>2000003438</v>
      </c>
      <c r="C202" s="2401" t="s">
        <v>42</v>
      </c>
      <c r="D202" s="2585">
        <v>5900</v>
      </c>
      <c r="E202" s="2159" t="s">
        <v>5770</v>
      </c>
      <c r="F202" s="2391" t="s">
        <v>3416</v>
      </c>
      <c r="G202" s="2118" t="s">
        <v>5771</v>
      </c>
      <c r="H202" s="2118"/>
      <c r="I202" s="1495" t="s">
        <v>5253</v>
      </c>
      <c r="J202" s="3033" t="s">
        <v>19</v>
      </c>
      <c r="K202" s="1921" t="s">
        <v>20</v>
      </c>
      <c r="L202" s="1862" t="s">
        <v>5772</v>
      </c>
      <c r="M202" s="2583">
        <v>5890</v>
      </c>
      <c r="N202" s="3209" t="s">
        <v>5773</v>
      </c>
      <c r="O202" s="1902"/>
      <c r="P202" s="1859"/>
      <c r="Q202" s="3373" t="s">
        <v>5268</v>
      </c>
      <c r="R202" s="2150"/>
      <c r="S202" s="2150"/>
      <c r="T202" s="2150"/>
      <c r="U202" s="2150"/>
      <c r="V202" s="2150"/>
      <c r="W202" s="2150"/>
      <c r="X202" s="2150"/>
      <c r="Y202" s="2150"/>
      <c r="Z202" s="2150"/>
      <c r="AA202" s="2150"/>
      <c r="AB202" s="2643"/>
      <c r="AC202" s="2643"/>
      <c r="AD202" s="2643"/>
      <c r="AE202" s="2643"/>
      <c r="AF202" s="2643"/>
      <c r="AG202" s="2643"/>
      <c r="AH202" s="2643"/>
      <c r="AI202" s="2643"/>
    </row>
    <row r="203" spans="1:35" s="2150" customFormat="1" ht="58.5" customHeight="1">
      <c r="A203" s="3246"/>
      <c r="B203" s="3210" t="str">
        <f t="shared" si="6"/>
        <v>2200002162</v>
      </c>
      <c r="C203" s="1902" t="s">
        <v>3733</v>
      </c>
      <c r="D203" s="2585">
        <v>8800</v>
      </c>
      <c r="E203" s="1921" t="s">
        <v>5774</v>
      </c>
      <c r="F203" s="1902" t="s">
        <v>3401</v>
      </c>
      <c r="G203" s="1909" t="s">
        <v>5775</v>
      </c>
      <c r="H203" s="1909" t="s">
        <v>5776</v>
      </c>
      <c r="I203" s="3112" t="s">
        <v>5253</v>
      </c>
      <c r="J203" s="1902" t="s">
        <v>19</v>
      </c>
      <c r="K203" s="1921" t="s">
        <v>1138</v>
      </c>
      <c r="L203" s="3136" t="s">
        <v>5777</v>
      </c>
      <c r="M203" s="3050">
        <v>900</v>
      </c>
      <c r="N203" s="3209" t="s">
        <v>5257</v>
      </c>
      <c r="O203" s="1902"/>
      <c r="P203" s="2682"/>
      <c r="Q203" s="3373" t="s">
        <v>5268</v>
      </c>
      <c r="R203" s="1902"/>
    </row>
    <row r="204" spans="1:35" s="2643" customFormat="1" ht="58.5" customHeight="1">
      <c r="A204" s="3246"/>
      <c r="B204" s="3210" t="str">
        <f t="shared" si="6"/>
        <v>2200002270</v>
      </c>
      <c r="C204" s="1493" t="s">
        <v>3733</v>
      </c>
      <c r="D204" s="2585"/>
      <c r="E204" s="1921"/>
      <c r="F204" s="1493" t="s">
        <v>3401</v>
      </c>
      <c r="G204" s="1921"/>
      <c r="H204" s="1921"/>
      <c r="I204" s="1624" t="s">
        <v>5253</v>
      </c>
      <c r="J204" s="1493" t="s">
        <v>19</v>
      </c>
      <c r="K204" s="1495" t="s">
        <v>1138</v>
      </c>
      <c r="L204" s="3108" t="s">
        <v>5778</v>
      </c>
      <c r="M204" s="3054">
        <v>1008</v>
      </c>
      <c r="N204" s="2196" t="s">
        <v>5265</v>
      </c>
      <c r="O204" s="1902"/>
      <c r="P204" s="2682"/>
      <c r="Q204" s="3373" t="s">
        <v>5268</v>
      </c>
      <c r="R204" s="1902"/>
      <c r="S204" s="2150"/>
      <c r="T204" s="2150"/>
      <c r="U204" s="2150"/>
      <c r="V204" s="2150"/>
      <c r="W204" s="2150"/>
      <c r="X204" s="2150"/>
      <c r="Y204" s="2150"/>
      <c r="Z204" s="2150"/>
      <c r="AA204" s="2150"/>
      <c r="AB204" s="2150"/>
      <c r="AC204" s="2150"/>
      <c r="AD204" s="2150"/>
      <c r="AE204" s="2150"/>
      <c r="AF204" s="2150"/>
      <c r="AG204" s="2150"/>
      <c r="AH204" s="2150"/>
      <c r="AI204" s="2150"/>
    </row>
    <row r="205" spans="1:35" s="2643" customFormat="1" ht="58.5" customHeight="1">
      <c r="A205" s="3246"/>
      <c r="B205" s="3210" t="str">
        <f t="shared" si="6"/>
        <v>2200002271</v>
      </c>
      <c r="C205" s="1493" t="s">
        <v>3733</v>
      </c>
      <c r="D205" s="2585"/>
      <c r="E205" s="1921"/>
      <c r="F205" s="1493" t="s">
        <v>3401</v>
      </c>
      <c r="G205" s="1921"/>
      <c r="H205" s="1921"/>
      <c r="I205" s="1624" t="s">
        <v>5253</v>
      </c>
      <c r="J205" s="1493" t="s">
        <v>19</v>
      </c>
      <c r="K205" s="1495" t="s">
        <v>1138</v>
      </c>
      <c r="L205" s="3108" t="s">
        <v>5779</v>
      </c>
      <c r="M205" s="3054">
        <v>132</v>
      </c>
      <c r="N205" s="3209" t="s">
        <v>5445</v>
      </c>
      <c r="O205" s="1902"/>
      <c r="P205" s="2682"/>
      <c r="Q205" s="3373" t="s">
        <v>5268</v>
      </c>
      <c r="R205" s="1902"/>
      <c r="S205" s="2150"/>
      <c r="T205" s="2150"/>
      <c r="U205" s="2150"/>
      <c r="V205" s="2150"/>
      <c r="W205" s="2150"/>
      <c r="X205" s="2150"/>
      <c r="Y205" s="2150"/>
      <c r="Z205" s="2150"/>
      <c r="AA205" s="2150"/>
      <c r="AB205" s="2150"/>
      <c r="AC205" s="2150"/>
      <c r="AD205" s="2150"/>
      <c r="AE205" s="2150"/>
      <c r="AF205" s="2150"/>
      <c r="AG205" s="2150"/>
      <c r="AH205" s="2150"/>
      <c r="AI205" s="2150"/>
    </row>
    <row r="206" spans="1:35" s="2643" customFormat="1" ht="58.5" customHeight="1">
      <c r="A206" s="3246"/>
      <c r="B206" s="3210" t="str">
        <f t="shared" si="6"/>
        <v>2200002272</v>
      </c>
      <c r="C206" s="1493" t="s">
        <v>3733</v>
      </c>
      <c r="D206" s="2585"/>
      <c r="E206" s="1921"/>
      <c r="F206" s="1493" t="s">
        <v>3401</v>
      </c>
      <c r="G206" s="1921"/>
      <c r="H206" s="1921"/>
      <c r="I206" s="1624" t="s">
        <v>5253</v>
      </c>
      <c r="J206" s="1493" t="s">
        <v>19</v>
      </c>
      <c r="K206" s="1495" t="s">
        <v>1138</v>
      </c>
      <c r="L206" s="3108" t="s">
        <v>5780</v>
      </c>
      <c r="M206" s="3054">
        <v>1860</v>
      </c>
      <c r="N206" s="2196" t="s">
        <v>5265</v>
      </c>
      <c r="O206" s="1902"/>
      <c r="P206" s="2682"/>
      <c r="Q206" s="3373" t="s">
        <v>5268</v>
      </c>
      <c r="R206" s="1902"/>
      <c r="S206" s="2150"/>
      <c r="T206" s="2150"/>
      <c r="U206" s="2150"/>
      <c r="V206" s="2150"/>
      <c r="W206" s="2150"/>
      <c r="X206" s="2150"/>
      <c r="Y206" s="2150"/>
      <c r="Z206" s="2150"/>
      <c r="AA206" s="2150"/>
      <c r="AB206" s="2150"/>
      <c r="AC206" s="2150"/>
      <c r="AD206" s="2150"/>
      <c r="AE206" s="2150"/>
      <c r="AF206" s="2150"/>
      <c r="AG206" s="2150"/>
      <c r="AH206" s="2150"/>
      <c r="AI206" s="2150"/>
    </row>
    <row r="207" spans="1:35" s="2643" customFormat="1" ht="58.5" customHeight="1">
      <c r="A207" s="3246"/>
      <c r="B207" s="3210" t="str">
        <f t="shared" si="6"/>
        <v>2200002273</v>
      </c>
      <c r="C207" s="1493" t="s">
        <v>3733</v>
      </c>
      <c r="D207" s="2585"/>
      <c r="E207" s="1921"/>
      <c r="F207" s="1493" t="s">
        <v>3401</v>
      </c>
      <c r="G207" s="1921"/>
      <c r="H207" s="1921"/>
      <c r="I207" s="1624" t="s">
        <v>5253</v>
      </c>
      <c r="J207" s="1493" t="s">
        <v>19</v>
      </c>
      <c r="K207" s="1495" t="s">
        <v>1138</v>
      </c>
      <c r="L207" s="3108" t="s">
        <v>5781</v>
      </c>
      <c r="M207" s="3054">
        <v>42</v>
      </c>
      <c r="N207" s="2196" t="s">
        <v>5265</v>
      </c>
      <c r="O207" s="1902"/>
      <c r="P207" s="2682"/>
      <c r="Q207" s="3373" t="s">
        <v>5268</v>
      </c>
      <c r="R207" s="1902"/>
      <c r="S207" s="2150"/>
      <c r="T207" s="2150"/>
      <c r="U207" s="2150"/>
      <c r="V207" s="2150"/>
      <c r="W207" s="2150"/>
      <c r="X207" s="2150"/>
      <c r="Y207" s="2150"/>
      <c r="Z207" s="2150"/>
      <c r="AA207" s="2150"/>
      <c r="AB207" s="2150"/>
      <c r="AC207" s="2150"/>
      <c r="AD207" s="2150"/>
      <c r="AE207" s="2150"/>
      <c r="AF207" s="2150"/>
      <c r="AG207" s="2150"/>
      <c r="AH207" s="2150"/>
      <c r="AI207" s="2150"/>
    </row>
    <row r="208" spans="1:35" s="2643" customFormat="1" ht="58.5" customHeight="1">
      <c r="A208" s="3246"/>
      <c r="B208" s="3210" t="str">
        <f t="shared" si="6"/>
        <v>2200002274</v>
      </c>
      <c r="C208" s="1493" t="s">
        <v>3733</v>
      </c>
      <c r="D208" s="2585"/>
      <c r="E208" s="1921"/>
      <c r="F208" s="1493" t="s">
        <v>3401</v>
      </c>
      <c r="G208" s="1921"/>
      <c r="H208" s="1921"/>
      <c r="I208" s="1624" t="s">
        <v>5253</v>
      </c>
      <c r="J208" s="1493" t="s">
        <v>19</v>
      </c>
      <c r="K208" s="1495" t="s">
        <v>1138</v>
      </c>
      <c r="L208" s="3108" t="s">
        <v>5782</v>
      </c>
      <c r="M208" s="3054">
        <v>162</v>
      </c>
      <c r="N208" s="3209" t="s">
        <v>5783</v>
      </c>
      <c r="O208" s="1902"/>
      <c r="P208" s="2682"/>
      <c r="Q208" s="3373" t="s">
        <v>5268</v>
      </c>
      <c r="R208" s="1902"/>
      <c r="S208" s="2150"/>
      <c r="T208" s="2150"/>
      <c r="U208" s="2150"/>
      <c r="V208" s="2150"/>
      <c r="W208" s="2150"/>
      <c r="X208" s="2150"/>
      <c r="Y208" s="2150"/>
      <c r="Z208" s="2150"/>
      <c r="AA208" s="2150"/>
      <c r="AB208" s="2150"/>
      <c r="AC208" s="2150"/>
      <c r="AD208" s="2150"/>
      <c r="AE208" s="2150"/>
      <c r="AF208" s="2150"/>
      <c r="AG208" s="2150"/>
      <c r="AH208" s="2150"/>
      <c r="AI208" s="2150"/>
    </row>
    <row r="209" spans="1:35" s="2643" customFormat="1" ht="58.5" customHeight="1">
      <c r="A209" s="3246"/>
      <c r="B209" s="3210" t="str">
        <f t="shared" si="6"/>
        <v>2200002275</v>
      </c>
      <c r="C209" s="1493" t="s">
        <v>3733</v>
      </c>
      <c r="D209" s="2585"/>
      <c r="E209" s="1921"/>
      <c r="F209" s="1493" t="s">
        <v>3401</v>
      </c>
      <c r="G209" s="1921"/>
      <c r="H209" s="1921"/>
      <c r="I209" s="1624" t="s">
        <v>5253</v>
      </c>
      <c r="J209" s="1493" t="s">
        <v>19</v>
      </c>
      <c r="K209" s="1495" t="s">
        <v>1138</v>
      </c>
      <c r="L209" s="3108" t="s">
        <v>5784</v>
      </c>
      <c r="M209" s="3054">
        <v>53</v>
      </c>
      <c r="N209" s="2196" t="s">
        <v>5265</v>
      </c>
      <c r="O209" s="1902"/>
      <c r="P209" s="2682"/>
      <c r="Q209" s="3373" t="s">
        <v>5268</v>
      </c>
      <c r="R209" s="1902"/>
      <c r="S209" s="2150"/>
      <c r="T209" s="2150"/>
      <c r="U209" s="2150"/>
      <c r="V209" s="2150"/>
      <c r="W209" s="2150"/>
      <c r="X209" s="2150"/>
      <c r="Y209" s="2150"/>
      <c r="Z209" s="2150"/>
      <c r="AA209" s="2150"/>
      <c r="AB209" s="2150"/>
      <c r="AC209" s="2150"/>
      <c r="AD209" s="2150"/>
      <c r="AE209" s="2150"/>
      <c r="AF209" s="2150"/>
      <c r="AG209" s="2150"/>
      <c r="AH209" s="2150"/>
      <c r="AI209" s="2150"/>
    </row>
    <row r="210" spans="1:35" s="1467" customFormat="1" ht="58.5" customHeight="1">
      <c r="A210" s="3246"/>
      <c r="B210" s="3210" t="str">
        <f t="shared" si="6"/>
        <v>2200002184</v>
      </c>
      <c r="C210" s="1493" t="s">
        <v>3733</v>
      </c>
      <c r="D210" s="3452"/>
      <c r="E210" s="1495"/>
      <c r="F210" s="1493" t="s">
        <v>3401</v>
      </c>
      <c r="G210" s="1921"/>
      <c r="H210" s="1495"/>
      <c r="I210" s="1624" t="s">
        <v>5253</v>
      </c>
      <c r="J210" s="1493" t="s">
        <v>19</v>
      </c>
      <c r="K210" s="1495" t="s">
        <v>1138</v>
      </c>
      <c r="L210" s="1496" t="s">
        <v>5785</v>
      </c>
      <c r="M210" s="3107">
        <v>2300</v>
      </c>
      <c r="N210" s="2196" t="s">
        <v>5454</v>
      </c>
      <c r="O210" s="1493"/>
      <c r="P210" s="1828"/>
      <c r="Q210" s="3373" t="s">
        <v>5268</v>
      </c>
      <c r="R210" s="1493"/>
      <c r="S210" s="1548"/>
      <c r="T210" s="1548"/>
      <c r="U210" s="1548"/>
      <c r="V210" s="1548"/>
      <c r="W210" s="1548"/>
      <c r="X210" s="1548"/>
      <c r="Y210" s="1548"/>
      <c r="Z210" s="1548"/>
      <c r="AA210" s="1548"/>
      <c r="AB210" s="1548"/>
      <c r="AC210" s="1548"/>
      <c r="AD210" s="1548"/>
      <c r="AE210" s="1548"/>
      <c r="AF210" s="1548"/>
      <c r="AG210" s="1548"/>
      <c r="AH210" s="1548"/>
      <c r="AI210" s="1548"/>
    </row>
    <row r="211" spans="1:35" s="1467" customFormat="1" ht="58.5" customHeight="1">
      <c r="A211" s="3453"/>
      <c r="B211" s="3210" t="str">
        <f t="shared" si="6"/>
        <v>2200002255</v>
      </c>
      <c r="C211" s="1493" t="s">
        <v>3733</v>
      </c>
      <c r="D211" s="3238"/>
      <c r="E211" s="3021"/>
      <c r="F211" s="1493" t="s">
        <v>3401</v>
      </c>
      <c r="G211" s="3021"/>
      <c r="H211" s="3021"/>
      <c r="I211" s="1624" t="s">
        <v>5253</v>
      </c>
      <c r="J211" s="1493" t="s">
        <v>19</v>
      </c>
      <c r="K211" s="1495" t="s">
        <v>1138</v>
      </c>
      <c r="L211" s="1605" t="s">
        <v>5786</v>
      </c>
      <c r="M211" s="3094">
        <v>2400</v>
      </c>
      <c r="N211" s="3209" t="s">
        <v>5257</v>
      </c>
      <c r="O211" s="3023"/>
      <c r="P211" s="3454"/>
      <c r="Q211" s="3373" t="s">
        <v>5268</v>
      </c>
      <c r="Z211" s="1548"/>
      <c r="AA211" s="1548"/>
      <c r="AD211" s="1548"/>
      <c r="AE211" s="1548"/>
      <c r="AF211" s="1548"/>
      <c r="AG211" s="1548"/>
      <c r="AH211" s="1548"/>
      <c r="AI211" s="1548"/>
    </row>
    <row r="212" spans="1:35" s="2643" customFormat="1" ht="58.5" customHeight="1">
      <c r="A212" s="3246"/>
      <c r="B212" s="3210" t="str">
        <f t="shared" si="6"/>
        <v>2000003456</v>
      </c>
      <c r="C212" s="1902" t="s">
        <v>3556</v>
      </c>
      <c r="D212" s="3237">
        <v>4300</v>
      </c>
      <c r="E212" s="3035" t="s">
        <v>5770</v>
      </c>
      <c r="F212" s="2391" t="s">
        <v>84</v>
      </c>
      <c r="G212" s="3035"/>
      <c r="H212" s="3040" t="s">
        <v>5787</v>
      </c>
      <c r="I212" s="1921" t="s">
        <v>5253</v>
      </c>
      <c r="J212" s="1902" t="s">
        <v>19</v>
      </c>
      <c r="K212" s="1921" t="s">
        <v>1138</v>
      </c>
      <c r="L212" s="2682" t="s">
        <v>5788</v>
      </c>
      <c r="M212" s="3092">
        <v>4300</v>
      </c>
      <c r="N212" s="2506" t="s">
        <v>5789</v>
      </c>
      <c r="O212" s="3033"/>
      <c r="P212" s="3442"/>
      <c r="Q212" s="3406" t="s">
        <v>5323</v>
      </c>
      <c r="Z212" s="2150"/>
      <c r="AA212" s="2150"/>
    </row>
    <row r="213" spans="1:35" s="3200" customFormat="1" ht="58.5" customHeight="1">
      <c r="A213" s="3311"/>
      <c r="B213" s="3251" t="str">
        <f t="shared" ref="B213:B244" si="7">TEXT(LEFT(L213,10),"0000000000")</f>
        <v>2000003396</v>
      </c>
      <c r="C213" s="3195" t="s">
        <v>2468</v>
      </c>
      <c r="D213" s="3241">
        <v>300</v>
      </c>
      <c r="E213" s="3194" t="s">
        <v>5665</v>
      </c>
      <c r="F213" s="3196"/>
      <c r="G213" s="3194"/>
      <c r="H213" s="3201" t="s">
        <v>251</v>
      </c>
      <c r="I213" s="3278" t="s">
        <v>5253</v>
      </c>
      <c r="J213" s="3196" t="s">
        <v>19</v>
      </c>
      <c r="K213" s="3194" t="s">
        <v>1612</v>
      </c>
      <c r="L213" s="3197" t="s">
        <v>5790</v>
      </c>
      <c r="M213" s="3198">
        <v>300</v>
      </c>
      <c r="N213" s="3203" t="s">
        <v>5214</v>
      </c>
      <c r="O213" s="3196"/>
      <c r="P213" s="3199"/>
      <c r="Q213" s="3375" t="s">
        <v>5323</v>
      </c>
    </row>
    <row r="214" spans="1:35" s="3200" customFormat="1" ht="58.5" customHeight="1">
      <c r="A214" s="3234"/>
      <c r="B214" s="3251" t="str">
        <f t="shared" si="7"/>
        <v>2000003396</v>
      </c>
      <c r="C214" s="3195" t="s">
        <v>2468</v>
      </c>
      <c r="D214" s="3241">
        <v>350</v>
      </c>
      <c r="E214" s="3194" t="s">
        <v>5726</v>
      </c>
      <c r="F214" s="3196"/>
      <c r="G214" s="3194"/>
      <c r="H214" s="3201" t="s">
        <v>251</v>
      </c>
      <c r="I214" s="3278" t="s">
        <v>5253</v>
      </c>
      <c r="J214" s="3196" t="s">
        <v>19</v>
      </c>
      <c r="K214" s="3194" t="s">
        <v>1612</v>
      </c>
      <c r="L214" s="3197" t="s">
        <v>5790</v>
      </c>
      <c r="M214" s="3198">
        <v>350</v>
      </c>
      <c r="N214" s="3203" t="s">
        <v>5214</v>
      </c>
      <c r="O214" s="3196"/>
      <c r="P214" s="3199"/>
      <c r="Q214" s="3375" t="s">
        <v>5323</v>
      </c>
    </row>
    <row r="215" spans="1:35" s="3205" customFormat="1" ht="58.5" customHeight="1">
      <c r="A215" s="3234"/>
      <c r="B215" s="3251" t="str">
        <f t="shared" si="7"/>
        <v>2000003385</v>
      </c>
      <c r="C215" s="3195" t="s">
        <v>2468</v>
      </c>
      <c r="D215" s="3241">
        <v>350</v>
      </c>
      <c r="E215" s="3194"/>
      <c r="F215" s="3196"/>
      <c r="G215" s="3201"/>
      <c r="H215" s="3201" t="s">
        <v>251</v>
      </c>
      <c r="I215" s="3278" t="s">
        <v>5253</v>
      </c>
      <c r="J215" s="3196" t="s">
        <v>19</v>
      </c>
      <c r="K215" s="3194" t="s">
        <v>1612</v>
      </c>
      <c r="L215" s="3197" t="s">
        <v>5791</v>
      </c>
      <c r="M215" s="3202">
        <v>350</v>
      </c>
      <c r="N215" s="3203" t="s">
        <v>5214</v>
      </c>
      <c r="O215" s="3195"/>
      <c r="P215" s="3204"/>
      <c r="Q215" s="3375">
        <v>1</v>
      </c>
    </row>
    <row r="216" spans="1:35" s="3205" customFormat="1" ht="58.5" customHeight="1">
      <c r="A216" s="3234"/>
      <c r="B216" s="3251" t="str">
        <f t="shared" si="7"/>
        <v>2200002216</v>
      </c>
      <c r="C216" s="3195" t="s">
        <v>2468</v>
      </c>
      <c r="D216" s="3241">
        <v>200</v>
      </c>
      <c r="E216" s="3194" t="s">
        <v>5792</v>
      </c>
      <c r="F216" s="3196"/>
      <c r="G216" s="3201"/>
      <c r="H216" s="3201" t="s">
        <v>251</v>
      </c>
      <c r="I216" s="3278" t="s">
        <v>5253</v>
      </c>
      <c r="J216" s="3196" t="s">
        <v>19</v>
      </c>
      <c r="K216" s="3194" t="s">
        <v>234</v>
      </c>
      <c r="L216" s="3197" t="s">
        <v>5793</v>
      </c>
      <c r="M216" s="3202">
        <v>200</v>
      </c>
      <c r="N216" s="3203" t="s">
        <v>5445</v>
      </c>
      <c r="O216" s="3195"/>
      <c r="P216" s="3204"/>
      <c r="Q216" s="3375" t="s">
        <v>5210</v>
      </c>
      <c r="S216" s="3223"/>
      <c r="T216" s="3223"/>
      <c r="U216" s="3223"/>
      <c r="V216" s="3223"/>
      <c r="W216" s="3223"/>
      <c r="X216" s="3223"/>
      <c r="Y216" s="3223"/>
      <c r="Z216" s="3223"/>
      <c r="AA216" s="3223"/>
    </row>
    <row r="217" spans="1:35" s="3205" customFormat="1" ht="58.5" customHeight="1">
      <c r="A217" s="3234"/>
      <c r="B217" s="3251" t="str">
        <f t="shared" si="7"/>
        <v>2200002217</v>
      </c>
      <c r="C217" s="3195" t="s">
        <v>2468</v>
      </c>
      <c r="D217" s="3241">
        <v>2097</v>
      </c>
      <c r="E217" s="3194" t="s">
        <v>5794</v>
      </c>
      <c r="F217" s="3196"/>
      <c r="G217" s="3201"/>
      <c r="H217" s="3201" t="s">
        <v>251</v>
      </c>
      <c r="I217" s="3278" t="s">
        <v>5253</v>
      </c>
      <c r="J217" s="3196" t="s">
        <v>19</v>
      </c>
      <c r="K217" s="3194" t="s">
        <v>234</v>
      </c>
      <c r="L217" s="3197" t="s">
        <v>5795</v>
      </c>
      <c r="M217" s="3202">
        <v>2097</v>
      </c>
      <c r="N217" s="3203" t="s">
        <v>5265</v>
      </c>
      <c r="O217" s="3195"/>
      <c r="P217" s="3204"/>
      <c r="Q217" s="3375" t="s">
        <v>5210</v>
      </c>
      <c r="S217" s="3223"/>
      <c r="T217" s="3223"/>
      <c r="U217" s="3223"/>
      <c r="V217" s="3223"/>
      <c r="W217" s="3223"/>
      <c r="X217" s="3223"/>
      <c r="Y217" s="3223"/>
      <c r="Z217" s="3223"/>
      <c r="AA217" s="3223"/>
    </row>
    <row r="218" spans="1:35" s="3205" customFormat="1" ht="58.5" customHeight="1">
      <c r="A218" s="3234"/>
      <c r="B218" s="3251" t="str">
        <f t="shared" si="7"/>
        <v>2000003319</v>
      </c>
      <c r="C218" s="3195" t="s">
        <v>2468</v>
      </c>
      <c r="D218" s="3241">
        <v>350</v>
      </c>
      <c r="E218" s="3194" t="s">
        <v>5796</v>
      </c>
      <c r="F218" s="3196"/>
      <c r="G218" s="3201"/>
      <c r="H218" s="3201" t="s">
        <v>251</v>
      </c>
      <c r="I218" s="3278" t="s">
        <v>5253</v>
      </c>
      <c r="J218" s="3196" t="s">
        <v>19</v>
      </c>
      <c r="K218" s="3194" t="s">
        <v>234</v>
      </c>
      <c r="L218" s="3197" t="s">
        <v>5797</v>
      </c>
      <c r="M218" s="3202">
        <v>350</v>
      </c>
      <c r="N218" s="3203" t="s">
        <v>5214</v>
      </c>
      <c r="O218" s="3195"/>
      <c r="P218" s="3204"/>
      <c r="Q218" s="3375" t="s">
        <v>5210</v>
      </c>
      <c r="S218" s="3223"/>
      <c r="T218" s="3223"/>
      <c r="U218" s="3223"/>
      <c r="V218" s="3223"/>
      <c r="W218" s="3223"/>
      <c r="X218" s="3223"/>
      <c r="Y218" s="3223"/>
      <c r="Z218" s="3223"/>
      <c r="AA218" s="3223"/>
    </row>
    <row r="219" spans="1:35" s="3205" customFormat="1" ht="58.5" customHeight="1">
      <c r="A219" s="3234"/>
      <c r="B219" s="3251" t="str">
        <f t="shared" si="7"/>
        <v>2000003452</v>
      </c>
      <c r="C219" s="3195" t="s">
        <v>2468</v>
      </c>
      <c r="D219" s="3241">
        <v>1750</v>
      </c>
      <c r="E219" s="3367" t="s">
        <v>1760</v>
      </c>
      <c r="F219" s="3196"/>
      <c r="G219" s="3201"/>
      <c r="H219" s="3201" t="s">
        <v>251</v>
      </c>
      <c r="I219" s="3278" t="s">
        <v>5253</v>
      </c>
      <c r="J219" s="3196" t="s">
        <v>19</v>
      </c>
      <c r="K219" s="3194" t="s">
        <v>234</v>
      </c>
      <c r="L219" s="3197" t="s">
        <v>5798</v>
      </c>
      <c r="M219" s="3202">
        <v>1750</v>
      </c>
      <c r="N219" s="3203" t="s">
        <v>5214</v>
      </c>
      <c r="O219" s="3195"/>
      <c r="P219" s="3204"/>
      <c r="Q219" s="3375" t="s">
        <v>5268</v>
      </c>
      <c r="S219" s="3223"/>
      <c r="T219" s="3223"/>
      <c r="U219" s="3223"/>
      <c r="V219" s="3223"/>
      <c r="W219" s="3223"/>
      <c r="X219" s="3223"/>
      <c r="Y219" s="3223"/>
      <c r="Z219" s="3223"/>
      <c r="AA219" s="3223"/>
    </row>
    <row r="220" spans="1:35" s="3205" customFormat="1" ht="58.5" customHeight="1">
      <c r="A220" s="3234"/>
      <c r="B220" s="3251" t="str">
        <f t="shared" si="7"/>
        <v>2000003451</v>
      </c>
      <c r="C220" s="3195" t="s">
        <v>2468</v>
      </c>
      <c r="D220" s="3241">
        <v>250</v>
      </c>
      <c r="E220" s="3367" t="s">
        <v>5799</v>
      </c>
      <c r="F220" s="3196"/>
      <c r="G220" s="3201"/>
      <c r="H220" s="3201" t="s">
        <v>251</v>
      </c>
      <c r="I220" s="3278" t="s">
        <v>5253</v>
      </c>
      <c r="J220" s="3196" t="s">
        <v>19</v>
      </c>
      <c r="K220" s="3194" t="s">
        <v>234</v>
      </c>
      <c r="L220" s="3197" t="s">
        <v>5800</v>
      </c>
      <c r="M220" s="3202">
        <v>250</v>
      </c>
      <c r="N220" s="3203" t="s">
        <v>5522</v>
      </c>
      <c r="O220" s="3195"/>
      <c r="P220" s="3204"/>
      <c r="Q220" s="3375" t="s">
        <v>5323</v>
      </c>
      <c r="S220" s="3223"/>
      <c r="T220" s="3223"/>
      <c r="U220" s="3223"/>
      <c r="V220" s="3223"/>
      <c r="W220" s="3223"/>
      <c r="X220" s="3223"/>
      <c r="Y220" s="3223"/>
      <c r="Z220" s="3223"/>
      <c r="AA220" s="3223"/>
    </row>
    <row r="221" spans="1:35" s="3205" customFormat="1" ht="58.5" customHeight="1">
      <c r="A221" s="3234"/>
      <c r="B221" s="3251" t="str">
        <f t="shared" si="7"/>
        <v>2000003453</v>
      </c>
      <c r="C221" s="3195" t="s">
        <v>2468</v>
      </c>
      <c r="D221" s="3241">
        <v>1000</v>
      </c>
      <c r="E221" s="3367" t="s">
        <v>5801</v>
      </c>
      <c r="F221" s="3196"/>
      <c r="G221" s="3201"/>
      <c r="H221" s="3201"/>
      <c r="I221" s="3201"/>
      <c r="J221" s="3196" t="s">
        <v>19</v>
      </c>
      <c r="K221" s="3194" t="s">
        <v>234</v>
      </c>
      <c r="L221" s="3197" t="s">
        <v>5802</v>
      </c>
      <c r="M221" s="3202">
        <v>1000</v>
      </c>
      <c r="N221" s="3203" t="s">
        <v>5522</v>
      </c>
      <c r="O221" s="3195"/>
      <c r="P221" s="3204"/>
      <c r="Q221" s="3375" t="s">
        <v>5268</v>
      </c>
      <c r="S221" s="3223"/>
      <c r="T221" s="3223"/>
      <c r="U221" s="3223"/>
      <c r="V221" s="3223"/>
      <c r="W221" s="3223"/>
      <c r="X221" s="3223"/>
      <c r="Y221" s="3223"/>
      <c r="Z221" s="3223"/>
      <c r="AA221" s="3223"/>
    </row>
    <row r="222" spans="1:35" s="3223" customFormat="1" ht="58.5" customHeight="1">
      <c r="A222" s="3234"/>
      <c r="B222" s="3251" t="str">
        <f t="shared" si="7"/>
        <v>2200002226</v>
      </c>
      <c r="C222" s="3195" t="s">
        <v>2468</v>
      </c>
      <c r="D222" s="3241">
        <v>1030</v>
      </c>
      <c r="E222" s="3194" t="s">
        <v>5803</v>
      </c>
      <c r="F222" s="3196"/>
      <c r="G222" s="3201"/>
      <c r="H222" s="3201" t="s">
        <v>251</v>
      </c>
      <c r="I222" s="3278" t="s">
        <v>5253</v>
      </c>
      <c r="J222" s="3196" t="s">
        <v>19</v>
      </c>
      <c r="K222" s="3194" t="s">
        <v>234</v>
      </c>
      <c r="L222" s="3197" t="s">
        <v>5804</v>
      </c>
      <c r="M222" s="3202">
        <v>1030</v>
      </c>
      <c r="N222" s="3203" t="s">
        <v>5445</v>
      </c>
      <c r="O222" s="3277"/>
      <c r="P222" s="3204"/>
      <c r="Q222" s="3375" t="s">
        <v>5210</v>
      </c>
    </row>
    <row r="223" spans="1:35" s="3223" customFormat="1" ht="58.5" customHeight="1">
      <c r="A223" s="3234"/>
      <c r="B223" s="3251" t="str">
        <f t="shared" si="7"/>
        <v>2200002227</v>
      </c>
      <c r="C223" s="3195" t="s">
        <v>2468</v>
      </c>
      <c r="D223" s="3241">
        <v>2497</v>
      </c>
      <c r="E223" s="3194" t="s">
        <v>5805</v>
      </c>
      <c r="F223" s="3196"/>
      <c r="G223" s="3201"/>
      <c r="H223" s="3201" t="s">
        <v>251</v>
      </c>
      <c r="I223" s="3287" t="s">
        <v>5253</v>
      </c>
      <c r="J223" s="3196" t="s">
        <v>19</v>
      </c>
      <c r="K223" s="3194" t="s">
        <v>234</v>
      </c>
      <c r="L223" s="3197" t="s">
        <v>5806</v>
      </c>
      <c r="M223" s="3202">
        <v>2497</v>
      </c>
      <c r="N223" s="3203" t="s">
        <v>5807</v>
      </c>
      <c r="O223" s="3277"/>
      <c r="P223" s="3204"/>
      <c r="Q223" s="3375" t="s">
        <v>5210</v>
      </c>
    </row>
    <row r="224" spans="1:35" s="3281" customFormat="1" ht="58.5" customHeight="1">
      <c r="A224" s="3234"/>
      <c r="B224" s="3201" t="str">
        <f t="shared" si="7"/>
        <v>2000003398</v>
      </c>
      <c r="C224" s="3195" t="s">
        <v>2468</v>
      </c>
      <c r="D224" s="3241">
        <v>1260</v>
      </c>
      <c r="E224" s="3194"/>
      <c r="F224" s="3196"/>
      <c r="G224" s="3194"/>
      <c r="H224" s="3201" t="s">
        <v>251</v>
      </c>
      <c r="I224" s="3278" t="s">
        <v>5253</v>
      </c>
      <c r="J224" s="3196" t="s">
        <v>19</v>
      </c>
      <c r="K224" s="3194" t="s">
        <v>234</v>
      </c>
      <c r="L224" s="3197" t="s">
        <v>5808</v>
      </c>
      <c r="M224" s="3198">
        <v>1260</v>
      </c>
      <c r="N224" s="3203" t="s">
        <v>5214</v>
      </c>
      <c r="O224" s="3279"/>
      <c r="P224" s="3280"/>
      <c r="Q224" s="3375" t="s">
        <v>5210</v>
      </c>
    </row>
    <row r="225" spans="1:35" s="3223" customFormat="1" ht="58.5" customHeight="1">
      <c r="A225" s="3234"/>
      <c r="B225" s="3283" t="str">
        <f t="shared" si="7"/>
        <v>2200002163</v>
      </c>
      <c r="C225" s="3195" t="s">
        <v>2468</v>
      </c>
      <c r="D225" s="3285">
        <v>500</v>
      </c>
      <c r="E225" s="3286"/>
      <c r="F225" s="3284"/>
      <c r="G225" s="3287"/>
      <c r="H225" s="3287"/>
      <c r="I225" s="3287" t="s">
        <v>5253</v>
      </c>
      <c r="J225" s="3284" t="s">
        <v>19</v>
      </c>
      <c r="K225" s="3287" t="s">
        <v>234</v>
      </c>
      <c r="L225" s="3288" t="s">
        <v>5809</v>
      </c>
      <c r="M225" s="3289">
        <v>500</v>
      </c>
      <c r="N225" s="3287" t="s">
        <v>5810</v>
      </c>
      <c r="O225" s="3196"/>
      <c r="P225" s="3290"/>
      <c r="Q225" s="3375" t="s">
        <v>5323</v>
      </c>
      <c r="R225" s="3200"/>
      <c r="S225" s="3200"/>
      <c r="T225" s="3200"/>
      <c r="U225" s="3200"/>
      <c r="V225" s="3200"/>
      <c r="W225" s="3200"/>
      <c r="X225" s="3200"/>
      <c r="Y225" s="3200"/>
      <c r="Z225" s="3200"/>
      <c r="AA225" s="3200"/>
      <c r="AB225" s="3200"/>
      <c r="AC225" s="3200"/>
    </row>
    <row r="226" spans="1:35" s="3223" customFormat="1" ht="58.5" customHeight="1">
      <c r="A226" s="3282"/>
      <c r="B226" s="3283" t="str">
        <f t="shared" si="7"/>
        <v>2200002269</v>
      </c>
      <c r="C226" s="3195" t="s">
        <v>2468</v>
      </c>
      <c r="D226" s="3285">
        <v>7900</v>
      </c>
      <c r="E226" s="3376" t="s">
        <v>5801</v>
      </c>
      <c r="F226" s="3284"/>
      <c r="G226" s="3287"/>
      <c r="H226" s="3201"/>
      <c r="I226" s="3287" t="s">
        <v>5253</v>
      </c>
      <c r="J226" s="3284" t="s">
        <v>19</v>
      </c>
      <c r="K226" s="3287" t="s">
        <v>234</v>
      </c>
      <c r="L226" s="3288" t="s">
        <v>5811</v>
      </c>
      <c r="M226" s="3289">
        <v>7900</v>
      </c>
      <c r="N226" s="3380" t="s">
        <v>5812</v>
      </c>
      <c r="O226" s="3196"/>
      <c r="P226" s="3290"/>
      <c r="Q226" s="3375"/>
      <c r="R226" s="3200"/>
      <c r="S226" s="3200"/>
      <c r="T226" s="3200"/>
      <c r="U226" s="3200"/>
      <c r="V226" s="3200"/>
      <c r="W226" s="3200"/>
      <c r="X226" s="3200"/>
      <c r="Y226" s="3200"/>
      <c r="Z226" s="3200"/>
      <c r="AA226" s="3200"/>
      <c r="AB226" s="3200"/>
      <c r="AC226" s="3200"/>
    </row>
    <row r="227" spans="1:35" s="3223" customFormat="1" ht="58.5" customHeight="1">
      <c r="A227" s="3282"/>
      <c r="B227" s="3283" t="str">
        <f t="shared" si="7"/>
        <v>2200002247</v>
      </c>
      <c r="C227" s="3195" t="s">
        <v>2468</v>
      </c>
      <c r="D227" s="3285">
        <v>821</v>
      </c>
      <c r="E227" s="3376" t="s">
        <v>5813</v>
      </c>
      <c r="F227" s="3284"/>
      <c r="G227" s="3287"/>
      <c r="H227" s="3286" t="s">
        <v>251</v>
      </c>
      <c r="I227" s="3287" t="s">
        <v>5253</v>
      </c>
      <c r="J227" s="3284" t="s">
        <v>19</v>
      </c>
      <c r="K227" s="3287" t="s">
        <v>234</v>
      </c>
      <c r="L227" s="3288" t="s">
        <v>5814</v>
      </c>
      <c r="M227" s="3289">
        <v>821</v>
      </c>
      <c r="N227" s="3203" t="s">
        <v>5445</v>
      </c>
      <c r="O227" s="3196"/>
      <c r="P227" s="3290"/>
      <c r="Q227" s="3375" t="s">
        <v>5323</v>
      </c>
      <c r="R227" s="3200"/>
      <c r="S227" s="3200"/>
      <c r="T227" s="3200"/>
      <c r="U227" s="3200"/>
      <c r="V227" s="3200"/>
      <c r="W227" s="3200"/>
      <c r="X227" s="3200"/>
      <c r="Y227" s="3200"/>
      <c r="Z227" s="3200"/>
      <c r="AA227" s="3200"/>
      <c r="AB227" s="3200"/>
      <c r="AC227" s="3200"/>
    </row>
    <row r="228" spans="1:35" s="3223" customFormat="1" ht="58.5" customHeight="1">
      <c r="A228" s="3282"/>
      <c r="B228" s="3283" t="str">
        <f t="shared" si="7"/>
        <v>2200002248</v>
      </c>
      <c r="C228" s="3195" t="s">
        <v>2468</v>
      </c>
      <c r="D228" s="3285">
        <v>720</v>
      </c>
      <c r="E228" s="3376" t="s">
        <v>5815</v>
      </c>
      <c r="F228" s="3284"/>
      <c r="G228" s="3287"/>
      <c r="H228" s="3286" t="s">
        <v>251</v>
      </c>
      <c r="I228" s="3287" t="s">
        <v>5253</v>
      </c>
      <c r="J228" s="3284" t="s">
        <v>19</v>
      </c>
      <c r="K228" s="3287" t="s">
        <v>234</v>
      </c>
      <c r="L228" s="3288" t="s">
        <v>5816</v>
      </c>
      <c r="M228" s="3289">
        <v>720</v>
      </c>
      <c r="N228" s="3203" t="s">
        <v>5214</v>
      </c>
      <c r="O228" s="3196"/>
      <c r="P228" s="3290"/>
      <c r="Q228" s="3375" t="s">
        <v>5323</v>
      </c>
      <c r="R228" s="3200"/>
      <c r="S228" s="3200"/>
      <c r="T228" s="3200"/>
      <c r="U228" s="3200"/>
      <c r="V228" s="3200"/>
      <c r="W228" s="3200"/>
      <c r="X228" s="3200"/>
      <c r="Y228" s="3200"/>
      <c r="Z228" s="3200"/>
      <c r="AA228" s="3200"/>
      <c r="AB228" s="3200"/>
      <c r="AC228" s="3200"/>
    </row>
    <row r="229" spans="1:35" s="3223" customFormat="1" ht="58.5" customHeight="1">
      <c r="A229" s="3282"/>
      <c r="B229" s="3283" t="str">
        <f t="shared" si="7"/>
        <v>2200002261</v>
      </c>
      <c r="C229" s="3195" t="s">
        <v>2468</v>
      </c>
      <c r="D229" s="3285">
        <v>1137</v>
      </c>
      <c r="E229" s="3376" t="s">
        <v>5817</v>
      </c>
      <c r="F229" s="3284"/>
      <c r="G229" s="3287"/>
      <c r="H229" s="3286" t="s">
        <v>251</v>
      </c>
      <c r="I229" s="3287" t="s">
        <v>5253</v>
      </c>
      <c r="J229" s="3284" t="s">
        <v>19</v>
      </c>
      <c r="K229" s="3287" t="s">
        <v>234</v>
      </c>
      <c r="L229" s="3288" t="s">
        <v>5818</v>
      </c>
      <c r="M229" s="3289">
        <v>1137</v>
      </c>
      <c r="N229" s="3203" t="s">
        <v>5445</v>
      </c>
      <c r="O229" s="3196"/>
      <c r="P229" s="3290"/>
      <c r="Q229" s="3375" t="s">
        <v>5268</v>
      </c>
      <c r="R229" s="3281"/>
      <c r="S229" s="3281"/>
      <c r="T229" s="3281"/>
      <c r="U229" s="3281"/>
      <c r="V229" s="3281"/>
      <c r="W229" s="3281"/>
      <c r="X229" s="3281"/>
      <c r="Y229" s="3281"/>
      <c r="Z229" s="3200"/>
      <c r="AA229" s="3200"/>
      <c r="AB229" s="3281"/>
      <c r="AC229" s="3281"/>
    </row>
    <row r="230" spans="1:35" s="3223" customFormat="1" ht="58.5" customHeight="1">
      <c r="A230" s="3282"/>
      <c r="B230" s="3283" t="str">
        <f t="shared" si="7"/>
        <v>2200002262</v>
      </c>
      <c r="C230" s="3195" t="s">
        <v>2468</v>
      </c>
      <c r="D230" s="3285">
        <v>4726</v>
      </c>
      <c r="E230" s="3376" t="s">
        <v>5817</v>
      </c>
      <c r="F230" s="3284"/>
      <c r="G230" s="3287"/>
      <c r="H230" s="3286" t="s">
        <v>251</v>
      </c>
      <c r="I230" s="3287" t="s">
        <v>5253</v>
      </c>
      <c r="J230" s="3284" t="s">
        <v>19</v>
      </c>
      <c r="K230" s="3287" t="s">
        <v>234</v>
      </c>
      <c r="L230" s="3288" t="s">
        <v>5819</v>
      </c>
      <c r="M230" s="3289">
        <v>4726</v>
      </c>
      <c r="N230" s="3380" t="s">
        <v>5807</v>
      </c>
      <c r="O230" s="3196"/>
      <c r="P230" s="3290"/>
      <c r="Q230" s="3375" t="s">
        <v>5268</v>
      </c>
      <c r="R230" s="3281"/>
      <c r="S230" s="3281"/>
      <c r="T230" s="3281"/>
      <c r="U230" s="3281"/>
      <c r="V230" s="3281"/>
      <c r="W230" s="3281"/>
      <c r="X230" s="3281"/>
      <c r="Y230" s="3281"/>
      <c r="Z230" s="3200"/>
      <c r="AA230" s="3200"/>
      <c r="AB230" s="3281"/>
      <c r="AC230" s="3281"/>
    </row>
    <row r="231" spans="1:35" s="3223" customFormat="1" ht="58.5" customHeight="1">
      <c r="A231" s="3282"/>
      <c r="B231" s="3283" t="str">
        <f t="shared" si="7"/>
        <v>2200002276</v>
      </c>
      <c r="C231" s="3195" t="s">
        <v>2468</v>
      </c>
      <c r="D231" s="3285">
        <v>1183</v>
      </c>
      <c r="E231" s="3376" t="s">
        <v>5801</v>
      </c>
      <c r="F231" s="3284"/>
      <c r="G231" s="3287"/>
      <c r="H231" s="3287"/>
      <c r="I231" s="3287" t="s">
        <v>5253</v>
      </c>
      <c r="J231" s="3284" t="s">
        <v>19</v>
      </c>
      <c r="K231" s="3287" t="s">
        <v>234</v>
      </c>
      <c r="L231" s="3288" t="s">
        <v>5820</v>
      </c>
      <c r="M231" s="3289">
        <v>1183</v>
      </c>
      <c r="N231" s="3380" t="s">
        <v>5821</v>
      </c>
      <c r="O231" s="3196"/>
      <c r="P231" s="3290"/>
      <c r="Q231" s="3375"/>
      <c r="R231" s="3281"/>
      <c r="S231" s="3281"/>
      <c r="T231" s="3281"/>
      <c r="U231" s="3281"/>
      <c r="V231" s="3281"/>
      <c r="W231" s="3281"/>
      <c r="X231" s="3281"/>
      <c r="Y231" s="3281"/>
      <c r="Z231" s="3200"/>
      <c r="AA231" s="3200"/>
      <c r="AB231" s="3281"/>
      <c r="AC231" s="3281"/>
    </row>
    <row r="232" spans="1:35" s="3223" customFormat="1" ht="58.5" customHeight="1">
      <c r="A232" s="3282"/>
      <c r="B232" s="3283" t="str">
        <f t="shared" si="7"/>
        <v>2200002277</v>
      </c>
      <c r="C232" s="3195" t="s">
        <v>2468</v>
      </c>
      <c r="D232" s="3285">
        <v>419</v>
      </c>
      <c r="E232" s="3376" t="s">
        <v>5801</v>
      </c>
      <c r="F232" s="3284"/>
      <c r="G232" s="3287"/>
      <c r="H232" s="3287"/>
      <c r="I232" s="3287" t="s">
        <v>5253</v>
      </c>
      <c r="J232" s="3284" t="s">
        <v>19</v>
      </c>
      <c r="K232" s="3287" t="s">
        <v>234</v>
      </c>
      <c r="L232" s="3288" t="s">
        <v>5822</v>
      </c>
      <c r="M232" s="3289">
        <v>419</v>
      </c>
      <c r="N232" s="3203" t="s">
        <v>5445</v>
      </c>
      <c r="O232" s="3196"/>
      <c r="P232" s="3290"/>
      <c r="Q232" s="3375"/>
      <c r="R232" s="3281"/>
      <c r="S232" s="3281"/>
      <c r="T232" s="3281"/>
      <c r="U232" s="3281"/>
      <c r="V232" s="3281"/>
      <c r="W232" s="3281"/>
      <c r="X232" s="3281"/>
      <c r="Y232" s="3281"/>
      <c r="Z232" s="3200"/>
      <c r="AA232" s="3200"/>
      <c r="AB232" s="3281"/>
      <c r="AC232" s="3281"/>
    </row>
    <row r="233" spans="1:35" s="8" customFormat="1" ht="58.5" customHeight="1">
      <c r="A233" s="3282"/>
      <c r="B233" s="3283" t="str">
        <f t="shared" si="7"/>
        <v>2000003481</v>
      </c>
      <c r="C233" s="3195" t="s">
        <v>2468</v>
      </c>
      <c r="D233" s="3285">
        <v>800</v>
      </c>
      <c r="E233" s="3286"/>
      <c r="F233" s="3284"/>
      <c r="G233" s="3287"/>
      <c r="H233" s="3287"/>
      <c r="I233" s="3287" t="s">
        <v>5253</v>
      </c>
      <c r="J233" s="3284" t="s">
        <v>19</v>
      </c>
      <c r="K233" s="3287" t="s">
        <v>19</v>
      </c>
      <c r="L233" s="3484" t="s">
        <v>5823</v>
      </c>
      <c r="M233" s="3289">
        <v>800</v>
      </c>
      <c r="N233" s="3203" t="s">
        <v>5824</v>
      </c>
      <c r="O233" s="3196"/>
      <c r="P233" s="3290" t="s">
        <v>5825</v>
      </c>
      <c r="Q233" s="3375" t="s">
        <v>5268</v>
      </c>
      <c r="R233" s="3281"/>
      <c r="S233" s="3281"/>
      <c r="T233" s="3281"/>
      <c r="U233" s="3281"/>
      <c r="V233" s="3281"/>
      <c r="W233" s="3281"/>
      <c r="X233" s="3281"/>
      <c r="Y233" s="3281"/>
      <c r="Z233" s="3200"/>
      <c r="AA233" s="3200"/>
      <c r="AB233" s="3281"/>
      <c r="AC233" s="3281"/>
      <c r="AD233" s="3223"/>
      <c r="AE233" s="3223"/>
      <c r="AF233" s="3223"/>
      <c r="AG233" s="3223"/>
      <c r="AH233" s="3223"/>
      <c r="AI233" s="3223"/>
    </row>
    <row r="234" spans="1:35" s="2643" customFormat="1" ht="58.5" customHeight="1">
      <c r="A234" s="3482"/>
      <c r="B234" s="3210" t="str">
        <f t="shared" si="7"/>
        <v>2000003456</v>
      </c>
      <c r="C234" s="2180" t="s">
        <v>5558</v>
      </c>
      <c r="D234" s="2607">
        <v>10675</v>
      </c>
      <c r="E234" s="1921" t="s">
        <v>5826</v>
      </c>
      <c r="F234" s="2391" t="s">
        <v>16</v>
      </c>
      <c r="G234" s="1921"/>
      <c r="H234" s="1909"/>
      <c r="I234" s="1921" t="s">
        <v>5253</v>
      </c>
      <c r="J234" s="3033" t="s">
        <v>19</v>
      </c>
      <c r="K234" s="1921" t="s">
        <v>1138</v>
      </c>
      <c r="L234" s="1862" t="s">
        <v>5827</v>
      </c>
      <c r="M234" s="2583">
        <v>4493</v>
      </c>
      <c r="N234" s="3209" t="s">
        <v>5257</v>
      </c>
      <c r="O234" s="1902"/>
      <c r="P234" s="1862"/>
      <c r="Q234" s="3483" t="s">
        <v>5268</v>
      </c>
      <c r="R234" s="2150"/>
      <c r="S234" s="2150"/>
      <c r="T234" s="2150"/>
      <c r="U234" s="2150"/>
      <c r="V234" s="2150"/>
      <c r="W234" s="2150"/>
      <c r="X234" s="2150"/>
      <c r="Y234" s="2150"/>
      <c r="Z234" s="2150"/>
      <c r="AA234" s="2150"/>
    </row>
    <row r="235" spans="1:35" s="2643" customFormat="1" ht="58.5" customHeight="1">
      <c r="A235" s="3246"/>
      <c r="B235" s="3210" t="str">
        <f t="shared" si="7"/>
        <v>2200002272</v>
      </c>
      <c r="C235" s="1780" t="s">
        <v>5558</v>
      </c>
      <c r="D235" s="2585"/>
      <c r="E235" s="1921"/>
      <c r="F235" s="1630" t="s">
        <v>16</v>
      </c>
      <c r="G235" s="1921"/>
      <c r="H235" s="1921"/>
      <c r="I235" s="1624" t="s">
        <v>5253</v>
      </c>
      <c r="J235" s="1493" t="s">
        <v>19</v>
      </c>
      <c r="K235" s="1495" t="s">
        <v>1138</v>
      </c>
      <c r="L235" s="3108" t="s">
        <v>5828</v>
      </c>
      <c r="M235" s="3054">
        <v>17</v>
      </c>
      <c r="N235" s="2196" t="s">
        <v>5265</v>
      </c>
      <c r="O235" s="1902"/>
      <c r="P235" s="2682"/>
      <c r="Q235" s="3373" t="s">
        <v>5268</v>
      </c>
      <c r="R235" s="1902"/>
      <c r="S235" s="2150"/>
      <c r="T235" s="2150"/>
      <c r="U235" s="2150"/>
      <c r="V235" s="2150"/>
      <c r="W235" s="2150"/>
      <c r="X235" s="2150"/>
      <c r="Y235" s="2150"/>
      <c r="Z235" s="2150"/>
      <c r="AA235" s="2150"/>
      <c r="AB235" s="2150"/>
      <c r="AC235" s="2150"/>
      <c r="AD235" s="2150"/>
      <c r="AE235" s="2150"/>
      <c r="AF235" s="2150"/>
      <c r="AG235" s="2150"/>
      <c r="AH235" s="2150"/>
      <c r="AI235" s="2150"/>
    </row>
    <row r="236" spans="1:35" s="2643" customFormat="1" ht="58.5" customHeight="1">
      <c r="A236" s="3482"/>
      <c r="B236" s="3210" t="str">
        <f t="shared" si="7"/>
        <v>2200002162</v>
      </c>
      <c r="C236" s="1780" t="s">
        <v>5558</v>
      </c>
      <c r="D236" s="2607"/>
      <c r="E236" s="1921"/>
      <c r="F236" s="1630" t="s">
        <v>16</v>
      </c>
      <c r="G236" s="1921"/>
      <c r="H236" s="1909"/>
      <c r="I236" s="1495" t="s">
        <v>5460</v>
      </c>
      <c r="J236" s="1493" t="s">
        <v>19</v>
      </c>
      <c r="K236" s="1495" t="s">
        <v>1138</v>
      </c>
      <c r="L236" s="2880" t="s">
        <v>5829</v>
      </c>
      <c r="M236" s="3054">
        <v>3323</v>
      </c>
      <c r="N236" s="3209" t="s">
        <v>5257</v>
      </c>
      <c r="O236" s="1902"/>
      <c r="P236" s="1862"/>
      <c r="Q236" s="3483" t="s">
        <v>5268</v>
      </c>
      <c r="R236" s="2150"/>
      <c r="S236" s="2150"/>
      <c r="T236" s="2150"/>
      <c r="U236" s="2150"/>
      <c r="V236" s="2150"/>
      <c r="W236" s="2150"/>
      <c r="X236" s="2150"/>
      <c r="Y236" s="2150"/>
      <c r="Z236" s="2150"/>
      <c r="AA236" s="2150"/>
    </row>
    <row r="237" spans="1:35" s="2643" customFormat="1" ht="58.5" customHeight="1">
      <c r="A237" s="3482"/>
      <c r="B237" s="3210" t="str">
        <f t="shared" si="7"/>
        <v>2200002281</v>
      </c>
      <c r="C237" s="1780" t="s">
        <v>5558</v>
      </c>
      <c r="D237" s="2607"/>
      <c r="E237" s="1921"/>
      <c r="F237" s="1630" t="s">
        <v>16</v>
      </c>
      <c r="G237" s="1921"/>
      <c r="H237" s="1909"/>
      <c r="I237" s="1495" t="s">
        <v>5460</v>
      </c>
      <c r="J237" s="1493" t="s">
        <v>19</v>
      </c>
      <c r="K237" s="1495" t="s">
        <v>1138</v>
      </c>
      <c r="L237" s="2880" t="s">
        <v>5830</v>
      </c>
      <c r="M237" s="3054">
        <v>796</v>
      </c>
      <c r="N237" s="3209" t="s">
        <v>5831</v>
      </c>
      <c r="O237" s="1902"/>
      <c r="P237" s="1862"/>
      <c r="Q237" s="3483" t="s">
        <v>5268</v>
      </c>
      <c r="R237" s="2150"/>
      <c r="S237" s="2150"/>
      <c r="T237" s="2150"/>
      <c r="U237" s="2150"/>
      <c r="V237" s="2150"/>
      <c r="W237" s="2150"/>
      <c r="X237" s="2150"/>
      <c r="Y237" s="2150"/>
      <c r="Z237" s="2150"/>
      <c r="AA237" s="2150"/>
    </row>
    <row r="238" spans="1:35" s="2643" customFormat="1" ht="58.5" customHeight="1">
      <c r="A238" s="3458"/>
      <c r="B238" s="3210" t="str">
        <f t="shared" si="7"/>
        <v>2200002282</v>
      </c>
      <c r="C238" s="1780" t="s">
        <v>5558</v>
      </c>
      <c r="D238" s="2607"/>
      <c r="E238" s="1921"/>
      <c r="F238" s="1630" t="s">
        <v>16</v>
      </c>
      <c r="G238" s="1921"/>
      <c r="H238" s="1909"/>
      <c r="I238" s="1495" t="s">
        <v>5460</v>
      </c>
      <c r="J238" s="1493" t="s">
        <v>19</v>
      </c>
      <c r="K238" s="1495" t="s">
        <v>1138</v>
      </c>
      <c r="L238" s="2880" t="s">
        <v>5832</v>
      </c>
      <c r="M238" s="3054">
        <v>58</v>
      </c>
      <c r="N238" s="3209" t="s">
        <v>5445</v>
      </c>
      <c r="O238" s="1902"/>
      <c r="P238" s="1862"/>
      <c r="Q238" s="3483" t="s">
        <v>5268</v>
      </c>
      <c r="Z238" s="2150"/>
      <c r="AA238" s="2150"/>
    </row>
    <row r="239" spans="1:35" s="2643" customFormat="1" ht="58.5" customHeight="1">
      <c r="A239" s="3458"/>
      <c r="B239" s="3210" t="str">
        <f t="shared" si="7"/>
        <v>2200002285</v>
      </c>
      <c r="C239" s="1780" t="s">
        <v>5558</v>
      </c>
      <c r="D239" s="2607"/>
      <c r="E239" s="1921"/>
      <c r="F239" s="1630" t="s">
        <v>16</v>
      </c>
      <c r="G239" s="1921"/>
      <c r="H239" s="1909"/>
      <c r="I239" s="1495" t="s">
        <v>5460</v>
      </c>
      <c r="J239" s="1493" t="s">
        <v>19</v>
      </c>
      <c r="K239" s="1495" t="s">
        <v>1138</v>
      </c>
      <c r="L239" s="2880" t="s">
        <v>5833</v>
      </c>
      <c r="M239" s="3054">
        <v>585</v>
      </c>
      <c r="N239" s="3209" t="s">
        <v>5445</v>
      </c>
      <c r="O239" s="1902"/>
      <c r="P239" s="1862"/>
      <c r="Q239" s="3483" t="s">
        <v>5268</v>
      </c>
      <c r="Z239" s="2150"/>
      <c r="AA239" s="2150"/>
    </row>
    <row r="240" spans="1:35" s="2643" customFormat="1" ht="58.5" customHeight="1">
      <c r="A240" s="3458"/>
      <c r="B240" s="3210" t="str">
        <f t="shared" si="7"/>
        <v>2200002286</v>
      </c>
      <c r="C240" s="1780" t="s">
        <v>5558</v>
      </c>
      <c r="D240" s="2607"/>
      <c r="E240" s="1921"/>
      <c r="F240" s="1630" t="s">
        <v>16</v>
      </c>
      <c r="G240" s="1921"/>
      <c r="H240" s="1909"/>
      <c r="I240" s="1495" t="s">
        <v>5460</v>
      </c>
      <c r="J240" s="1493" t="s">
        <v>19</v>
      </c>
      <c r="K240" s="1495" t="s">
        <v>1138</v>
      </c>
      <c r="L240" s="2880" t="s">
        <v>5834</v>
      </c>
      <c r="M240" s="3054">
        <v>1403</v>
      </c>
      <c r="N240" s="3209" t="s">
        <v>5835</v>
      </c>
      <c r="O240" s="1902"/>
      <c r="P240" s="1862"/>
      <c r="Q240" s="3483" t="s">
        <v>5268</v>
      </c>
      <c r="Z240" s="2150"/>
      <c r="AA240" s="2150"/>
    </row>
    <row r="241" spans="1:35" s="3066" customFormat="1" ht="58.5" customHeight="1">
      <c r="A241" s="3485"/>
      <c r="B241" s="3461" t="str">
        <f t="shared" si="7"/>
        <v>2000003456</v>
      </c>
      <c r="C241" s="3486" t="s">
        <v>4064</v>
      </c>
      <c r="D241" s="3487">
        <v>13600</v>
      </c>
      <c r="E241" s="3488" t="s">
        <v>5729</v>
      </c>
      <c r="F241" s="3486" t="s">
        <v>3416</v>
      </c>
      <c r="G241" s="3489"/>
      <c r="H241" s="3489"/>
      <c r="I241" s="3065" t="s">
        <v>5253</v>
      </c>
      <c r="J241" s="3064" t="s">
        <v>19</v>
      </c>
      <c r="K241" s="3065" t="s">
        <v>1138</v>
      </c>
      <c r="L241" s="3490" t="s">
        <v>5836</v>
      </c>
      <c r="M241" s="3443">
        <v>6480</v>
      </c>
      <c r="N241" s="3344" t="s">
        <v>5257</v>
      </c>
      <c r="O241" s="3491"/>
      <c r="P241" s="3492"/>
      <c r="Q241" s="3493" t="s">
        <v>5268</v>
      </c>
      <c r="R241" s="3494"/>
      <c r="S241" s="3495"/>
      <c r="T241" s="3495"/>
      <c r="U241" s="3495"/>
      <c r="V241" s="3495"/>
      <c r="W241" s="3495"/>
      <c r="X241" s="3495"/>
      <c r="Y241" s="3495"/>
      <c r="Z241" s="3495"/>
      <c r="AA241" s="3495"/>
      <c r="AB241" s="3495"/>
      <c r="AC241" s="3495"/>
      <c r="AD241" s="3495"/>
      <c r="AE241" s="3495"/>
      <c r="AF241" s="3495"/>
      <c r="AG241" s="3495"/>
      <c r="AH241" s="3495"/>
      <c r="AI241" s="3495"/>
    </row>
    <row r="242" spans="1:35" s="3504" customFormat="1" ht="58.5" customHeight="1">
      <c r="A242" s="3496"/>
      <c r="B242" s="3461" t="str">
        <f t="shared" si="7"/>
        <v>2200002161</v>
      </c>
      <c r="C242" s="3497" t="s">
        <v>4064</v>
      </c>
      <c r="D242" s="3498"/>
      <c r="E242" s="3499" t="s">
        <v>5729</v>
      </c>
      <c r="F242" s="3497" t="s">
        <v>3416</v>
      </c>
      <c r="G242" s="3065"/>
      <c r="H242" s="3500"/>
      <c r="I242" s="427" t="s">
        <v>5253</v>
      </c>
      <c r="J242" s="3501" t="s">
        <v>19</v>
      </c>
      <c r="K242" s="427" t="s">
        <v>1138</v>
      </c>
      <c r="L242" s="3502" t="s">
        <v>5837</v>
      </c>
      <c r="M242" s="3503">
        <v>4500</v>
      </c>
      <c r="N242" s="3309" t="s">
        <v>5440</v>
      </c>
      <c r="O242" s="3491"/>
      <c r="P242" s="3492"/>
      <c r="Q242" s="3493" t="s">
        <v>5268</v>
      </c>
      <c r="R242" s="3495"/>
      <c r="S242" s="3495"/>
      <c r="T242" s="3495"/>
      <c r="U242" s="3495"/>
      <c r="V242" s="3495"/>
      <c r="W242" s="3495"/>
      <c r="X242" s="3495"/>
      <c r="Y242" s="3495"/>
      <c r="Z242" s="3495"/>
      <c r="AA242" s="3495"/>
      <c r="AB242" s="3495"/>
      <c r="AC242" s="3495"/>
      <c r="AD242" s="3495"/>
      <c r="AE242" s="3495"/>
      <c r="AF242" s="3495"/>
      <c r="AG242" s="3495"/>
      <c r="AH242" s="3495"/>
      <c r="AI242" s="3495"/>
    </row>
    <row r="243" spans="1:35" s="3504" customFormat="1" ht="58.5" customHeight="1">
      <c r="A243" s="3505"/>
      <c r="B243" s="3461" t="str">
        <f t="shared" si="7"/>
        <v>2000003475</v>
      </c>
      <c r="C243" s="3497" t="s">
        <v>4064</v>
      </c>
      <c r="D243" s="3506"/>
      <c r="E243" s="3499" t="s">
        <v>5729</v>
      </c>
      <c r="F243" s="3497" t="s">
        <v>3416</v>
      </c>
      <c r="G243" s="3488"/>
      <c r="H243" s="3500"/>
      <c r="I243" s="3499" t="s">
        <v>5253</v>
      </c>
      <c r="J243" s="3501" t="s">
        <v>19</v>
      </c>
      <c r="K243" s="427" t="s">
        <v>1138</v>
      </c>
      <c r="L243" s="424" t="s">
        <v>5838</v>
      </c>
      <c r="M243" s="3447">
        <v>541</v>
      </c>
      <c r="N243" s="3455" t="s">
        <v>5839</v>
      </c>
      <c r="O243" s="3486"/>
      <c r="P243" s="3507"/>
      <c r="Q243" s="3493" t="s">
        <v>5268</v>
      </c>
      <c r="R243" s="3508"/>
      <c r="S243" s="3509"/>
      <c r="T243" s="3509"/>
      <c r="U243" s="3510"/>
      <c r="V243" s="3511"/>
      <c r="W243" s="3509"/>
      <c r="X243" s="3512"/>
      <c r="Y243" s="3512"/>
      <c r="Z243" s="3509"/>
      <c r="AA243" s="3512"/>
      <c r="AB243" s="3513"/>
      <c r="AC243" s="3514"/>
    </row>
    <row r="244" spans="1:35" s="3504" customFormat="1" ht="58.5" customHeight="1">
      <c r="A244" s="3505"/>
      <c r="B244" s="3461" t="str">
        <f t="shared" si="7"/>
        <v>2000003476</v>
      </c>
      <c r="C244" s="3497" t="s">
        <v>4064</v>
      </c>
      <c r="D244" s="3506"/>
      <c r="E244" s="3499" t="s">
        <v>5729</v>
      </c>
      <c r="F244" s="3497" t="s">
        <v>3416</v>
      </c>
      <c r="G244" s="3488"/>
      <c r="H244" s="3500"/>
      <c r="I244" s="3499" t="s">
        <v>5253</v>
      </c>
      <c r="J244" s="3501" t="s">
        <v>19</v>
      </c>
      <c r="K244" s="427" t="s">
        <v>1138</v>
      </c>
      <c r="L244" s="424" t="s">
        <v>5840</v>
      </c>
      <c r="M244" s="3447">
        <v>68</v>
      </c>
      <c r="N244" s="3515" t="s">
        <v>5841</v>
      </c>
      <c r="O244" s="3486"/>
      <c r="P244" s="3507"/>
      <c r="Q244" s="3493" t="s">
        <v>5268</v>
      </c>
      <c r="R244" s="3508"/>
      <c r="S244" s="3509"/>
      <c r="T244" s="3509"/>
      <c r="U244" s="3510"/>
      <c r="V244" s="3511"/>
      <c r="W244" s="3509"/>
      <c r="X244" s="3512"/>
      <c r="Y244" s="3512"/>
      <c r="Z244" s="3509"/>
      <c r="AA244" s="3512"/>
      <c r="AB244" s="3513"/>
      <c r="AC244" s="3514"/>
    </row>
    <row r="245" spans="1:35" s="3504" customFormat="1" ht="58.5" customHeight="1">
      <c r="A245" s="3505"/>
      <c r="B245" s="3461" t="str">
        <f t="shared" ref="B245:B276" si="8">TEXT(LEFT(L245,10),"0000000000")</f>
        <v>2200002193</v>
      </c>
      <c r="C245" s="3497" t="s">
        <v>4064</v>
      </c>
      <c r="D245" s="3506"/>
      <c r="E245" s="3499" t="s">
        <v>5729</v>
      </c>
      <c r="F245" s="3497" t="s">
        <v>3416</v>
      </c>
      <c r="G245" s="3488"/>
      <c r="H245" s="3500"/>
      <c r="I245" s="427" t="s">
        <v>5253</v>
      </c>
      <c r="J245" s="3501" t="s">
        <v>19</v>
      </c>
      <c r="K245" s="427" t="s">
        <v>1138</v>
      </c>
      <c r="L245" s="424" t="s">
        <v>5842</v>
      </c>
      <c r="M245" s="421">
        <v>2010</v>
      </c>
      <c r="N245" s="3309" t="s">
        <v>5440</v>
      </c>
      <c r="O245" s="3486"/>
      <c r="P245" s="3507"/>
      <c r="Q245" s="3493" t="s">
        <v>5268</v>
      </c>
      <c r="R245" s="3508"/>
      <c r="S245" s="3509"/>
      <c r="T245" s="3509"/>
      <c r="U245" s="3510"/>
      <c r="V245" s="3511"/>
      <c r="W245" s="3509"/>
      <c r="X245" s="3512"/>
      <c r="Y245" s="3512"/>
      <c r="Z245" s="3509"/>
      <c r="AA245" s="3512"/>
      <c r="AB245" s="3513"/>
      <c r="AC245" s="3514"/>
    </row>
    <row r="246" spans="1:35" s="3504" customFormat="1" ht="58.5" customHeight="1">
      <c r="A246" s="3505"/>
      <c r="B246" s="3461" t="str">
        <f t="shared" si="8"/>
        <v>2200002288</v>
      </c>
      <c r="C246" s="3616" t="s">
        <v>5544</v>
      </c>
      <c r="D246" s="3420">
        <v>10650</v>
      </c>
      <c r="E246" s="3488" t="s">
        <v>5752</v>
      </c>
      <c r="F246" s="3617" t="s">
        <v>3401</v>
      </c>
      <c r="G246" s="3488"/>
      <c r="H246" s="3489"/>
      <c r="I246" s="3065" t="s">
        <v>5253</v>
      </c>
      <c r="J246" s="3618" t="s">
        <v>19</v>
      </c>
      <c r="K246" s="3065" t="s">
        <v>1138</v>
      </c>
      <c r="L246" s="424" t="s">
        <v>5843</v>
      </c>
      <c r="M246" s="3619">
        <v>5810</v>
      </c>
      <c r="N246" s="3309" t="s">
        <v>5257</v>
      </c>
      <c r="O246" s="3486"/>
      <c r="P246" s="3507"/>
      <c r="Q246" s="3493" t="s">
        <v>5268</v>
      </c>
      <c r="R246" s="3508"/>
      <c r="S246" s="3509"/>
      <c r="T246" s="3509"/>
      <c r="U246" s="3510"/>
      <c r="V246" s="3511"/>
      <c r="W246" s="3509"/>
      <c r="X246" s="3512"/>
      <c r="Y246" s="3512"/>
      <c r="Z246" s="3509"/>
      <c r="AA246" s="3512"/>
      <c r="AB246" s="3513"/>
      <c r="AC246" s="3514"/>
    </row>
    <row r="247" spans="1:35" s="3504" customFormat="1" ht="58.5" customHeight="1">
      <c r="A247" s="3505"/>
      <c r="B247" s="3461" t="str">
        <f t="shared" si="8"/>
        <v>2200002299</v>
      </c>
      <c r="C247" s="3620" t="s">
        <v>5544</v>
      </c>
      <c r="D247" s="3420"/>
      <c r="E247" s="3499" t="s">
        <v>5752</v>
      </c>
      <c r="F247" s="3621" t="s">
        <v>3401</v>
      </c>
      <c r="G247" s="3488"/>
      <c r="H247" s="3489"/>
      <c r="I247" s="3065" t="s">
        <v>5275</v>
      </c>
      <c r="J247" s="3501" t="s">
        <v>19</v>
      </c>
      <c r="K247" s="427" t="s">
        <v>1138</v>
      </c>
      <c r="L247" s="425" t="s">
        <v>5844</v>
      </c>
      <c r="M247" s="3622">
        <v>4390</v>
      </c>
      <c r="N247" s="3309" t="s">
        <v>5845</v>
      </c>
      <c r="O247" s="3486"/>
      <c r="P247" s="3507"/>
      <c r="Q247" s="3493" t="s">
        <v>5268</v>
      </c>
      <c r="R247" s="3508"/>
      <c r="S247" s="3509"/>
      <c r="T247" s="3509"/>
      <c r="U247" s="3510"/>
      <c r="V247" s="3511"/>
      <c r="W247" s="3509"/>
      <c r="X247" s="3512"/>
      <c r="Y247" s="3512"/>
      <c r="Z247" s="3486"/>
      <c r="AA247" s="3488"/>
      <c r="AB247" s="3513"/>
      <c r="AC247" s="3514"/>
    </row>
    <row r="248" spans="1:35" s="3504" customFormat="1" ht="58.5" customHeight="1">
      <c r="A248" s="3505"/>
      <c r="B248" s="3461" t="str">
        <f t="shared" si="8"/>
        <v>2200002305</v>
      </c>
      <c r="C248" s="3620" t="s">
        <v>5544</v>
      </c>
      <c r="D248" s="3420"/>
      <c r="E248" s="3499" t="s">
        <v>5752</v>
      </c>
      <c r="F248" s="3621" t="s">
        <v>3401</v>
      </c>
      <c r="G248" s="3488"/>
      <c r="H248" s="3489"/>
      <c r="I248" s="3065" t="s">
        <v>5275</v>
      </c>
      <c r="J248" s="3501" t="s">
        <v>19</v>
      </c>
      <c r="K248" s="427" t="s">
        <v>1138</v>
      </c>
      <c r="L248" s="3604" t="s">
        <v>5846</v>
      </c>
      <c r="M248" s="3622">
        <v>250</v>
      </c>
      <c r="N248" s="3309" t="s">
        <v>5845</v>
      </c>
      <c r="O248" s="3486"/>
      <c r="P248" s="3507"/>
      <c r="Q248" s="3493" t="s">
        <v>5268</v>
      </c>
      <c r="R248" s="3508"/>
      <c r="S248" s="3509"/>
      <c r="T248" s="3509"/>
      <c r="U248" s="3510"/>
      <c r="V248" s="3511"/>
      <c r="W248" s="3509"/>
      <c r="X248" s="3512"/>
      <c r="Y248" s="3512"/>
      <c r="Z248" s="3509"/>
      <c r="AA248" s="3512"/>
      <c r="AB248" s="3513"/>
      <c r="AC248" s="3514"/>
    </row>
    <row r="249" spans="1:35" s="3504" customFormat="1" ht="58.5" customHeight="1">
      <c r="A249" s="3505"/>
      <c r="B249" s="3461" t="str">
        <f t="shared" si="8"/>
        <v>2200002306</v>
      </c>
      <c r="C249" s="3620" t="s">
        <v>5544</v>
      </c>
      <c r="D249" s="3420"/>
      <c r="E249" s="3499" t="s">
        <v>5752</v>
      </c>
      <c r="F249" s="3621" t="s">
        <v>3401</v>
      </c>
      <c r="G249" s="3488"/>
      <c r="H249" s="3489"/>
      <c r="I249" s="3065" t="s">
        <v>5275</v>
      </c>
      <c r="J249" s="3501" t="s">
        <v>19</v>
      </c>
      <c r="K249" s="427" t="s">
        <v>1138</v>
      </c>
      <c r="L249" s="3604" t="s">
        <v>5847</v>
      </c>
      <c r="M249" s="3622">
        <v>190</v>
      </c>
      <c r="N249" s="3309" t="s">
        <v>5848</v>
      </c>
      <c r="O249" s="3486"/>
      <c r="P249" s="3507"/>
      <c r="Q249" s="3493" t="s">
        <v>5268</v>
      </c>
      <c r="R249" s="3508"/>
      <c r="S249" s="3509"/>
      <c r="T249" s="3509"/>
      <c r="U249" s="3510"/>
      <c r="V249" s="3511"/>
      <c r="W249" s="3509"/>
      <c r="X249" s="3512"/>
      <c r="Y249" s="3512"/>
      <c r="Z249" s="3509"/>
      <c r="AA249" s="3512"/>
      <c r="AB249" s="3513"/>
      <c r="AC249" s="3514"/>
    </row>
    <row r="250" spans="1:35" s="8" customFormat="1" ht="58.5" customHeight="1">
      <c r="A250" s="3359"/>
      <c r="B250" s="3346" t="str">
        <f t="shared" si="8"/>
        <v>2200002304</v>
      </c>
      <c r="C250" s="3230" t="s">
        <v>5849</v>
      </c>
      <c r="D250" s="3347">
        <v>12350</v>
      </c>
      <c r="E250" s="3222" t="s">
        <v>5759</v>
      </c>
      <c r="F250" s="3396" t="s">
        <v>3401</v>
      </c>
      <c r="G250" s="3563"/>
      <c r="H250" s="3563"/>
      <c r="I250" s="2114" t="s">
        <v>5253</v>
      </c>
      <c r="J250" s="1895" t="s">
        <v>19</v>
      </c>
      <c r="K250" s="2114" t="s">
        <v>1138</v>
      </c>
      <c r="L250" s="3575" t="s">
        <v>5850</v>
      </c>
      <c r="M250" s="3572">
        <v>511</v>
      </c>
      <c r="N250" s="1216" t="s">
        <v>5851</v>
      </c>
      <c r="O250" s="3573"/>
      <c r="P250" s="3360"/>
      <c r="Q250" s="3393" t="s">
        <v>5268</v>
      </c>
      <c r="R250" s="307"/>
      <c r="S250" s="282"/>
      <c r="T250" s="282"/>
      <c r="U250" s="282"/>
      <c r="V250" s="282"/>
      <c r="W250" s="282"/>
      <c r="X250" s="282"/>
      <c r="Y250" s="282"/>
      <c r="Z250" s="282"/>
      <c r="AA250" s="282"/>
      <c r="AB250" s="282"/>
      <c r="AC250" s="282"/>
      <c r="AD250" s="282"/>
      <c r="AE250" s="282"/>
      <c r="AF250" s="282"/>
      <c r="AG250" s="282"/>
      <c r="AH250" s="282"/>
      <c r="AI250" s="282"/>
    </row>
    <row r="251" spans="1:35" ht="58.5" customHeight="1">
      <c r="A251" s="3562"/>
      <c r="B251" s="3556" t="str">
        <f t="shared" si="8"/>
        <v>2000003456</v>
      </c>
      <c r="C251" s="608" t="s">
        <v>5849</v>
      </c>
      <c r="D251" s="1703"/>
      <c r="E251" s="612" t="s">
        <v>5759</v>
      </c>
      <c r="F251" s="760" t="s">
        <v>3401</v>
      </c>
      <c r="G251" s="1772"/>
      <c r="H251" s="1772"/>
      <c r="I251" s="109" t="s">
        <v>5253</v>
      </c>
      <c r="J251" s="102" t="s">
        <v>19</v>
      </c>
      <c r="K251" s="109" t="s">
        <v>1138</v>
      </c>
      <c r="L251" s="3574" t="s">
        <v>5852</v>
      </c>
      <c r="M251" s="2216">
        <v>10052</v>
      </c>
      <c r="N251" s="3252" t="s">
        <v>5257</v>
      </c>
      <c r="O251" s="1853"/>
      <c r="P251" s="3225"/>
      <c r="Q251" s="3557" t="s">
        <v>5268</v>
      </c>
      <c r="R251" s="763"/>
      <c r="S251" s="2225"/>
      <c r="T251" s="2225"/>
      <c r="U251" s="2225"/>
      <c r="V251" s="2225"/>
      <c r="W251" s="2225"/>
      <c r="X251" s="2225"/>
      <c r="Y251" s="2225"/>
      <c r="Z251" s="2225"/>
      <c r="AA251" s="2225"/>
      <c r="AB251" s="2225"/>
      <c r="AC251" s="2225"/>
      <c r="AD251" s="2225"/>
      <c r="AE251" s="2225"/>
      <c r="AF251" s="2225"/>
      <c r="AG251" s="2225"/>
      <c r="AH251" s="2225"/>
      <c r="AI251" s="2225"/>
    </row>
    <row r="252" spans="1:35" s="3231" customFormat="1" ht="58.5" customHeight="1">
      <c r="A252" s="3282"/>
      <c r="B252" s="3346" t="str">
        <f t="shared" si="8"/>
        <v>2200002298</v>
      </c>
      <c r="C252" s="608" t="s">
        <v>5849</v>
      </c>
      <c r="D252" s="2731"/>
      <c r="E252" s="612"/>
      <c r="F252" s="760" t="s">
        <v>3401</v>
      </c>
      <c r="G252" s="3222"/>
      <c r="H252" s="1216"/>
      <c r="I252" s="2114" t="s">
        <v>5275</v>
      </c>
      <c r="J252" s="3411" t="s">
        <v>19</v>
      </c>
      <c r="K252" s="109" t="s">
        <v>1138</v>
      </c>
      <c r="L252" s="670" t="s">
        <v>5853</v>
      </c>
      <c r="M252" s="3481">
        <v>1787</v>
      </c>
      <c r="N252" s="2446" t="s">
        <v>5848</v>
      </c>
      <c r="O252" s="3230"/>
      <c r="P252" s="3377"/>
      <c r="Q252" s="3393" t="s">
        <v>5268</v>
      </c>
      <c r="R252" s="3348"/>
      <c r="S252" s="3349"/>
      <c r="T252" s="3349"/>
      <c r="U252" s="3350"/>
      <c r="V252" s="3351"/>
      <c r="W252" s="3349"/>
      <c r="X252" s="3352"/>
      <c r="Y252" s="3352"/>
      <c r="Z252" s="3230"/>
      <c r="AA252" s="3222"/>
      <c r="AB252" s="2147"/>
      <c r="AC252" s="3353"/>
    </row>
    <row r="253" spans="1:35" s="8" customFormat="1" ht="58.5" customHeight="1">
      <c r="A253" s="3233"/>
      <c r="B253" s="3346" t="str">
        <f t="shared" si="8"/>
        <v>2000003437</v>
      </c>
      <c r="C253" s="3230" t="s">
        <v>5653</v>
      </c>
      <c r="D253" s="2731">
        <v>3750</v>
      </c>
      <c r="E253" s="2114" t="s">
        <v>5252</v>
      </c>
      <c r="F253" s="3396" t="s">
        <v>61</v>
      </c>
      <c r="G253" s="1216"/>
      <c r="H253" s="1216" t="s">
        <v>5854</v>
      </c>
      <c r="I253" s="2114" t="s">
        <v>5253</v>
      </c>
      <c r="J253" s="2906" t="s">
        <v>19</v>
      </c>
      <c r="K253" s="2114" t="s">
        <v>20</v>
      </c>
      <c r="L253" s="2875" t="s">
        <v>5855</v>
      </c>
      <c r="M253" s="2798">
        <v>3750</v>
      </c>
      <c r="N253" s="3543" t="s">
        <v>5454</v>
      </c>
      <c r="O253" s="3421"/>
      <c r="P253" s="3360"/>
      <c r="Q253" s="3393" t="s">
        <v>5268</v>
      </c>
      <c r="R253" s="3422"/>
      <c r="S253" s="2783"/>
      <c r="T253" s="2783"/>
      <c r="U253" s="2783"/>
      <c r="V253" s="2783"/>
      <c r="W253" s="2783"/>
      <c r="X253" s="2783"/>
      <c r="Y253" s="2783"/>
      <c r="Z253" s="2783"/>
      <c r="AA253" s="2783"/>
      <c r="AB253" s="282"/>
      <c r="AC253" s="282"/>
      <c r="AD253" s="282"/>
      <c r="AE253" s="282"/>
      <c r="AF253" s="282"/>
      <c r="AG253" s="282"/>
      <c r="AH253" s="282"/>
      <c r="AI253" s="282"/>
    </row>
    <row r="254" spans="1:35" s="2643" customFormat="1" ht="58.5" customHeight="1">
      <c r="A254" s="1542"/>
      <c r="B254" s="3312" t="str">
        <f t="shared" si="8"/>
        <v>2000003440</v>
      </c>
      <c r="C254" s="1902" t="s">
        <v>3708</v>
      </c>
      <c r="D254" s="2607">
        <v>5700</v>
      </c>
      <c r="E254" s="1921" t="s">
        <v>5856</v>
      </c>
      <c r="F254" s="1902" t="s">
        <v>3416</v>
      </c>
      <c r="G254" s="1921" t="s">
        <v>5857</v>
      </c>
      <c r="H254" s="1921"/>
      <c r="I254" s="1921" t="s">
        <v>5253</v>
      </c>
      <c r="J254" s="3033" t="s">
        <v>19</v>
      </c>
      <c r="K254" s="1921" t="s">
        <v>253</v>
      </c>
      <c r="L254" s="2912" t="s">
        <v>5858</v>
      </c>
      <c r="M254" s="2583">
        <v>5700</v>
      </c>
      <c r="N254" s="2915" t="s">
        <v>5454</v>
      </c>
      <c r="O254" s="1902"/>
      <c r="P254" s="1775"/>
      <c r="Q254" s="3406" t="s">
        <v>5268</v>
      </c>
      <c r="R254" s="2150"/>
      <c r="S254" s="2150"/>
      <c r="T254" s="2150"/>
      <c r="U254" s="2150"/>
      <c r="V254" s="2150"/>
      <c r="W254" s="2150"/>
      <c r="X254" s="2150"/>
      <c r="Y254" s="2150"/>
      <c r="Z254" s="2150"/>
      <c r="AA254" s="2150"/>
    </row>
    <row r="255" spans="1:35" s="2643" customFormat="1" ht="58.5" customHeight="1">
      <c r="A255" s="3749"/>
      <c r="B255" s="3210" t="str">
        <f t="shared" si="8"/>
        <v>2000003465</v>
      </c>
      <c r="C255" s="1902" t="s">
        <v>5549</v>
      </c>
      <c r="D255" s="2607">
        <v>10500</v>
      </c>
      <c r="E255" s="1921" t="s">
        <v>5746</v>
      </c>
      <c r="F255" s="1902" t="s">
        <v>3416</v>
      </c>
      <c r="G255" s="1921" t="s">
        <v>5859</v>
      </c>
      <c r="H255" s="1921"/>
      <c r="I255" s="3035" t="s">
        <v>5253</v>
      </c>
      <c r="J255" s="3033" t="s">
        <v>19</v>
      </c>
      <c r="K255" s="1921" t="s">
        <v>63</v>
      </c>
      <c r="L255" s="1845" t="s">
        <v>5860</v>
      </c>
      <c r="M255" s="2583">
        <v>2800</v>
      </c>
      <c r="N255" s="1921" t="s">
        <v>5454</v>
      </c>
      <c r="O255" s="1902"/>
      <c r="P255" s="1775"/>
      <c r="Q255" s="3406" t="s">
        <v>5339</v>
      </c>
      <c r="R255" s="2150"/>
      <c r="S255" s="2150"/>
      <c r="T255" s="2150"/>
      <c r="U255" s="2150"/>
      <c r="V255" s="2150"/>
      <c r="W255" s="2150"/>
      <c r="X255" s="2150"/>
      <c r="Y255" s="2150"/>
      <c r="Z255" s="2150"/>
      <c r="AA255" s="2150"/>
    </row>
    <row r="256" spans="1:35" s="1467" customFormat="1" ht="57.75" customHeight="1">
      <c r="A256" s="3751"/>
      <c r="B256" s="3210" t="str">
        <f t="shared" si="8"/>
        <v>2000003498</v>
      </c>
      <c r="C256" s="1493" t="s">
        <v>5549</v>
      </c>
      <c r="D256" s="1494"/>
      <c r="E256" s="1495" t="s">
        <v>5746</v>
      </c>
      <c r="F256" s="1493" t="s">
        <v>3416</v>
      </c>
      <c r="G256" s="1495"/>
      <c r="H256" s="1495"/>
      <c r="I256" s="3021" t="s">
        <v>5253</v>
      </c>
      <c r="J256" s="3023" t="s">
        <v>19</v>
      </c>
      <c r="K256" s="1495" t="s">
        <v>63</v>
      </c>
      <c r="L256" s="1600" t="s">
        <v>5861</v>
      </c>
      <c r="M256" s="2357">
        <v>2300</v>
      </c>
      <c r="N256" s="2196" t="s">
        <v>5862</v>
      </c>
      <c r="O256" s="1493"/>
      <c r="P256" s="1859"/>
      <c r="Q256" s="3358" t="s">
        <v>5339</v>
      </c>
      <c r="R256" s="1548"/>
      <c r="S256" s="1548"/>
      <c r="T256" s="1548"/>
      <c r="U256" s="1548"/>
      <c r="V256" s="1548"/>
      <c r="W256" s="1548"/>
      <c r="X256" s="1548"/>
      <c r="Y256" s="1548"/>
      <c r="Z256" s="1548"/>
      <c r="AA256" s="1548"/>
    </row>
    <row r="257" spans="1:35" s="1548" customFormat="1" ht="58.5" customHeight="1">
      <c r="A257" s="3751"/>
      <c r="B257" s="3210" t="str">
        <f t="shared" si="8"/>
        <v>2000003430</v>
      </c>
      <c r="C257" s="1493" t="s">
        <v>5549</v>
      </c>
      <c r="D257" s="3237"/>
      <c r="E257" s="1495" t="s">
        <v>5746</v>
      </c>
      <c r="F257" s="1493" t="s">
        <v>3416</v>
      </c>
      <c r="G257" s="3035"/>
      <c r="H257" s="3035"/>
      <c r="I257" s="3021" t="s">
        <v>5253</v>
      </c>
      <c r="J257" s="3023" t="s">
        <v>19</v>
      </c>
      <c r="K257" s="3021" t="s">
        <v>63</v>
      </c>
      <c r="L257" s="2880" t="s">
        <v>5863</v>
      </c>
      <c r="M257" s="3247">
        <v>3300</v>
      </c>
      <c r="N257" s="1495" t="s">
        <v>5864</v>
      </c>
      <c r="O257" s="3023"/>
      <c r="P257" s="3248"/>
      <c r="Q257" s="3358" t="s">
        <v>5339</v>
      </c>
    </row>
    <row r="258" spans="1:35" s="1467" customFormat="1" ht="58.5" customHeight="1">
      <c r="A258" s="3751"/>
      <c r="B258" s="3210" t="str">
        <f t="shared" si="8"/>
        <v>2000003432</v>
      </c>
      <c r="C258" s="1493" t="s">
        <v>5549</v>
      </c>
      <c r="D258" s="3237"/>
      <c r="E258" s="1495" t="s">
        <v>5746</v>
      </c>
      <c r="F258" s="1493" t="s">
        <v>3416</v>
      </c>
      <c r="G258" s="1495"/>
      <c r="H258" s="1495"/>
      <c r="I258" s="1495" t="s">
        <v>5253</v>
      </c>
      <c r="J258" s="3023" t="s">
        <v>19</v>
      </c>
      <c r="K258" s="1495" t="s">
        <v>5325</v>
      </c>
      <c r="L258" s="3596" t="s">
        <v>5865</v>
      </c>
      <c r="M258" s="2357">
        <v>930</v>
      </c>
      <c r="N258" s="2915" t="s">
        <v>5454</v>
      </c>
      <c r="O258" s="1493"/>
      <c r="P258" s="1859" t="s">
        <v>5866</v>
      </c>
      <c r="Q258" s="3358" t="s">
        <v>5339</v>
      </c>
      <c r="R258" s="1548"/>
      <c r="S258" s="1548"/>
      <c r="T258" s="1548"/>
      <c r="U258" s="1548"/>
      <c r="V258" s="1548"/>
      <c r="W258" s="1548"/>
      <c r="X258" s="1548"/>
      <c r="Y258" s="1548"/>
      <c r="Z258" s="1548"/>
      <c r="AA258" s="1548"/>
    </row>
    <row r="259" spans="1:35" s="1467" customFormat="1" ht="58.5" customHeight="1">
      <c r="A259" s="3751"/>
      <c r="B259" s="3210" t="str">
        <f t="shared" si="8"/>
        <v>2000003433</v>
      </c>
      <c r="C259" s="1493" t="s">
        <v>5549</v>
      </c>
      <c r="D259" s="3237"/>
      <c r="E259" s="1495" t="s">
        <v>5746</v>
      </c>
      <c r="F259" s="1493" t="s">
        <v>3416</v>
      </c>
      <c r="G259" s="1495"/>
      <c r="H259" s="1495"/>
      <c r="I259" s="1495" t="s">
        <v>5253</v>
      </c>
      <c r="J259" s="3023" t="s">
        <v>19</v>
      </c>
      <c r="K259" s="1495" t="s">
        <v>5325</v>
      </c>
      <c r="L259" s="3596" t="s">
        <v>5867</v>
      </c>
      <c r="M259" s="2357">
        <v>1094</v>
      </c>
      <c r="N259" s="2196" t="s">
        <v>5868</v>
      </c>
      <c r="O259" s="1493"/>
      <c r="P259" s="1859"/>
      <c r="Q259" s="3358" t="s">
        <v>5339</v>
      </c>
      <c r="R259" s="1548"/>
      <c r="S259" s="1548"/>
      <c r="T259" s="1548"/>
      <c r="U259" s="1548"/>
      <c r="V259" s="1548"/>
      <c r="W259" s="1548"/>
      <c r="X259" s="1548"/>
      <c r="Y259" s="1548"/>
      <c r="Z259" s="1548"/>
      <c r="AA259" s="1548"/>
    </row>
    <row r="260" spans="1:35" s="1467" customFormat="1" ht="58.5" customHeight="1">
      <c r="A260" s="3750"/>
      <c r="B260" s="3210" t="str">
        <f t="shared" si="8"/>
        <v>2000003426</v>
      </c>
      <c r="C260" s="1545" t="s">
        <v>5549</v>
      </c>
      <c r="D260" s="3597"/>
      <c r="E260" s="1495" t="s">
        <v>5746</v>
      </c>
      <c r="F260" s="1545" t="s">
        <v>3416</v>
      </c>
      <c r="G260" s="3021"/>
      <c r="H260" s="3021"/>
      <c r="I260" s="1495" t="s">
        <v>5253</v>
      </c>
      <c r="J260" s="3023" t="s">
        <v>19</v>
      </c>
      <c r="K260" s="3021" t="s">
        <v>5325</v>
      </c>
      <c r="L260" s="2880" t="s">
        <v>5869</v>
      </c>
      <c r="M260" s="3247">
        <v>200</v>
      </c>
      <c r="N260" s="2915" t="s">
        <v>5257</v>
      </c>
      <c r="O260" s="3023"/>
      <c r="P260" s="3248"/>
      <c r="Q260" s="3358" t="s">
        <v>5339</v>
      </c>
    </row>
    <row r="261" spans="1:35" s="3066" customFormat="1" ht="58.5" customHeight="1">
      <c r="A261" s="3565"/>
      <c r="B261" s="3448" t="str">
        <f t="shared" si="8"/>
        <v>2000003454</v>
      </c>
      <c r="C261" s="3064" t="s">
        <v>3109</v>
      </c>
      <c r="D261" s="3446">
        <v>18500</v>
      </c>
      <c r="E261" s="3064" t="s">
        <v>5870</v>
      </c>
      <c r="F261" s="3064" t="s">
        <v>3401</v>
      </c>
      <c r="G261" s="3449" t="s">
        <v>5871</v>
      </c>
      <c r="H261" s="3065"/>
      <c r="I261" s="427" t="s">
        <v>5253</v>
      </c>
      <c r="J261" s="2939" t="s">
        <v>19</v>
      </c>
      <c r="K261" s="3065" t="s">
        <v>63</v>
      </c>
      <c r="L261" s="3472" t="s">
        <v>5872</v>
      </c>
      <c r="M261" s="3443">
        <v>1000</v>
      </c>
      <c r="N261" s="3309" t="s">
        <v>5454</v>
      </c>
      <c r="O261" s="3064"/>
      <c r="P261" s="3450"/>
      <c r="Q261" s="3415" t="s">
        <v>5339</v>
      </c>
      <c r="R261" s="2430"/>
      <c r="S261" s="2430"/>
      <c r="T261" s="2430"/>
      <c r="U261" s="2430"/>
      <c r="V261" s="2430"/>
      <c r="W261" s="2430"/>
      <c r="X261" s="2430"/>
      <c r="Y261" s="2430"/>
      <c r="Z261" s="2430"/>
      <c r="AA261" s="2430"/>
    </row>
    <row r="262" spans="1:35" s="1958" customFormat="1" ht="58.5" customHeight="1">
      <c r="A262" s="3566"/>
      <c r="B262" s="3532" t="str">
        <f t="shared" si="8"/>
        <v>2000003429</v>
      </c>
      <c r="C262" s="423" t="s">
        <v>3109</v>
      </c>
      <c r="D262" s="3533"/>
      <c r="E262" s="3529"/>
      <c r="F262" s="423" t="s">
        <v>3401</v>
      </c>
      <c r="G262" s="3529"/>
      <c r="H262" s="3529"/>
      <c r="I262" s="3529" t="s">
        <v>5253</v>
      </c>
      <c r="J262" s="3418" t="s">
        <v>19</v>
      </c>
      <c r="K262" s="3529" t="s">
        <v>63</v>
      </c>
      <c r="L262" s="3610" t="s">
        <v>5873</v>
      </c>
      <c r="M262" s="3530">
        <v>3234</v>
      </c>
      <c r="N262" s="3455" t="s">
        <v>5454</v>
      </c>
      <c r="O262" s="3418"/>
      <c r="P262" s="3534" t="s">
        <v>5874</v>
      </c>
      <c r="Q262" s="3535" t="s">
        <v>5268</v>
      </c>
    </row>
    <row r="263" spans="1:35" s="432" customFormat="1" ht="58.5" customHeight="1">
      <c r="A263" s="3566"/>
      <c r="B263" s="3532" t="str">
        <f t="shared" si="8"/>
        <v>2000003496</v>
      </c>
      <c r="C263" s="423" t="s">
        <v>3109</v>
      </c>
      <c r="D263" s="3446"/>
      <c r="E263" s="427"/>
      <c r="F263" s="423" t="s">
        <v>3401</v>
      </c>
      <c r="G263" s="427"/>
      <c r="H263" s="427"/>
      <c r="I263" s="3529" t="s">
        <v>5253</v>
      </c>
      <c r="J263" s="3418" t="s">
        <v>19</v>
      </c>
      <c r="K263" s="427" t="s">
        <v>63</v>
      </c>
      <c r="L263" s="3444" t="s">
        <v>5875</v>
      </c>
      <c r="M263" s="3447">
        <v>3016</v>
      </c>
      <c r="N263" s="3455" t="s">
        <v>5454</v>
      </c>
      <c r="O263" s="423"/>
      <c r="P263" s="1956" t="s">
        <v>5876</v>
      </c>
      <c r="Q263" s="3535" t="s">
        <v>5268</v>
      </c>
      <c r="R263" s="1958"/>
      <c r="S263" s="1958"/>
      <c r="T263" s="1958"/>
      <c r="U263" s="1958"/>
      <c r="V263" s="1958"/>
      <c r="W263" s="1958"/>
      <c r="X263" s="1958"/>
      <c r="Y263" s="1958"/>
      <c r="Z263" s="1958"/>
      <c r="AA263" s="1958"/>
    </row>
    <row r="264" spans="1:35" s="432" customFormat="1" ht="58.5" customHeight="1">
      <c r="A264" s="3566"/>
      <c r="B264" s="3532" t="str">
        <f t="shared" si="8"/>
        <v>2000003497</v>
      </c>
      <c r="C264" s="423" t="s">
        <v>3109</v>
      </c>
      <c r="D264" s="3446"/>
      <c r="E264" s="427"/>
      <c r="F264" s="423" t="s">
        <v>3401</v>
      </c>
      <c r="G264" s="427"/>
      <c r="H264" s="427"/>
      <c r="I264" s="3529" t="s">
        <v>5253</v>
      </c>
      <c r="J264" s="3418" t="s">
        <v>19</v>
      </c>
      <c r="K264" s="427" t="s">
        <v>63</v>
      </c>
      <c r="L264" s="3444" t="s">
        <v>5877</v>
      </c>
      <c r="M264" s="3447">
        <v>2787</v>
      </c>
      <c r="N264" s="3455" t="s">
        <v>5454</v>
      </c>
      <c r="O264" s="423"/>
      <c r="P264" s="1956"/>
      <c r="Q264" s="3535" t="s">
        <v>5268</v>
      </c>
      <c r="R264" s="1958"/>
      <c r="S264" s="1958"/>
      <c r="T264" s="1958"/>
      <c r="U264" s="1958"/>
      <c r="V264" s="1958"/>
      <c r="W264" s="1958"/>
      <c r="X264" s="1958"/>
      <c r="Y264" s="1958"/>
      <c r="Z264" s="1958"/>
      <c r="AA264" s="1958"/>
    </row>
    <row r="265" spans="1:35" s="432" customFormat="1" ht="58.5" customHeight="1">
      <c r="A265" s="3578"/>
      <c r="B265" s="3448" t="str">
        <f t="shared" si="8"/>
        <v>2000003423</v>
      </c>
      <c r="C265" s="423" t="s">
        <v>3109</v>
      </c>
      <c r="D265" s="3579"/>
      <c r="E265" s="427"/>
      <c r="F265" s="423" t="s">
        <v>3401</v>
      </c>
      <c r="G265" s="427"/>
      <c r="H265" s="427"/>
      <c r="I265" s="3529" t="s">
        <v>5253</v>
      </c>
      <c r="J265" s="3418" t="s">
        <v>19</v>
      </c>
      <c r="K265" s="427" t="s">
        <v>123</v>
      </c>
      <c r="L265" s="424" t="s">
        <v>5878</v>
      </c>
      <c r="M265" s="3447">
        <v>2075</v>
      </c>
      <c r="N265" s="3344" t="s">
        <v>5879</v>
      </c>
      <c r="O265" s="423"/>
      <c r="P265" s="3419"/>
      <c r="Q265" s="3415" t="s">
        <v>5339</v>
      </c>
      <c r="R265" s="1958"/>
      <c r="S265" s="1958"/>
      <c r="T265" s="1958"/>
      <c r="U265" s="1958"/>
      <c r="V265" s="1958"/>
      <c r="W265" s="1958"/>
      <c r="X265" s="1958"/>
      <c r="Y265" s="1958"/>
      <c r="Z265" s="1958"/>
      <c r="AA265" s="1958"/>
    </row>
    <row r="266" spans="1:35" s="432" customFormat="1" ht="58.5" customHeight="1">
      <c r="A266" s="3578"/>
      <c r="B266" s="3448" t="str">
        <f t="shared" si="8"/>
        <v>2000003265</v>
      </c>
      <c r="C266" s="423" t="s">
        <v>3109</v>
      </c>
      <c r="D266" s="3579"/>
      <c r="E266" s="427"/>
      <c r="F266" s="423" t="s">
        <v>3401</v>
      </c>
      <c r="G266" s="427"/>
      <c r="H266" s="427"/>
      <c r="I266" s="3529" t="s">
        <v>5253</v>
      </c>
      <c r="J266" s="3418" t="s">
        <v>19</v>
      </c>
      <c r="K266" s="427" t="s">
        <v>123</v>
      </c>
      <c r="L266" s="424" t="s">
        <v>5880</v>
      </c>
      <c r="M266" s="3447">
        <v>2185</v>
      </c>
      <c r="N266" s="3455" t="s">
        <v>5881</v>
      </c>
      <c r="O266" s="423"/>
      <c r="P266" s="3419"/>
      <c r="Q266" s="3415" t="s">
        <v>5339</v>
      </c>
      <c r="R266" s="1958"/>
      <c r="S266" s="1958"/>
      <c r="T266" s="1958"/>
      <c r="U266" s="1958"/>
      <c r="V266" s="1958"/>
      <c r="W266" s="1958"/>
      <c r="X266" s="1958"/>
      <c r="Y266" s="1958"/>
      <c r="Z266" s="1958"/>
      <c r="AA266" s="1958"/>
    </row>
    <row r="267" spans="1:35" s="432" customFormat="1" ht="58.5" customHeight="1">
      <c r="A267" s="3566"/>
      <c r="B267" s="3532" t="str">
        <f t="shared" si="8"/>
        <v>2000003477</v>
      </c>
      <c r="C267" s="423" t="s">
        <v>3109</v>
      </c>
      <c r="D267" s="3064"/>
      <c r="E267" s="3064"/>
      <c r="F267" s="423" t="s">
        <v>3401</v>
      </c>
      <c r="G267" s="3065"/>
      <c r="H267" s="427"/>
      <c r="I267" s="427" t="s">
        <v>5253</v>
      </c>
      <c r="J267" s="3418" t="s">
        <v>19</v>
      </c>
      <c r="K267" s="427" t="s">
        <v>123</v>
      </c>
      <c r="L267" s="424" t="s">
        <v>5882</v>
      </c>
      <c r="M267" s="3447">
        <v>1200</v>
      </c>
      <c r="N267" s="3536" t="s">
        <v>5456</v>
      </c>
      <c r="O267" s="423"/>
      <c r="P267" s="3419" t="s">
        <v>5866</v>
      </c>
      <c r="Q267" s="3415" t="s">
        <v>5339</v>
      </c>
      <c r="R267" s="1958"/>
      <c r="S267" s="1958"/>
      <c r="T267" s="1958"/>
      <c r="U267" s="1958"/>
      <c r="V267" s="1958"/>
      <c r="W267" s="1958"/>
      <c r="X267" s="1958"/>
      <c r="Y267" s="1958"/>
      <c r="Z267" s="1958"/>
      <c r="AA267" s="1958"/>
    </row>
    <row r="268" spans="1:35" s="2430" customFormat="1" ht="58.5" customHeight="1">
      <c r="A268" s="3566"/>
      <c r="B268" s="3532" t="str">
        <f t="shared" si="8"/>
        <v>2000003369</v>
      </c>
      <c r="C268" s="423" t="s">
        <v>3109</v>
      </c>
      <c r="D268" s="3420"/>
      <c r="E268" s="3065"/>
      <c r="F268" s="3064" t="s">
        <v>3401</v>
      </c>
      <c r="G268" s="3065"/>
      <c r="H268" s="3065"/>
      <c r="I268" s="3537" t="s">
        <v>5253</v>
      </c>
      <c r="J268" s="3064" t="s">
        <v>19</v>
      </c>
      <c r="K268" s="3065" t="s">
        <v>123</v>
      </c>
      <c r="L268" s="3445" t="s">
        <v>5883</v>
      </c>
      <c r="M268" s="3473">
        <v>2165</v>
      </c>
      <c r="N268" s="3455" t="s">
        <v>5454</v>
      </c>
      <c r="O268" s="3064"/>
      <c r="P268" s="1997"/>
      <c r="Q268" s="3535" t="s">
        <v>5268</v>
      </c>
      <c r="R268" s="3474"/>
      <c r="S268" s="3475"/>
      <c r="T268" s="3475"/>
      <c r="U268" s="3476"/>
      <c r="V268" s="3477"/>
      <c r="W268" s="3475"/>
      <c r="X268" s="3478"/>
      <c r="Y268" s="3478"/>
      <c r="Z268" s="3064"/>
      <c r="AA268" s="3065"/>
      <c r="AB268" s="3479"/>
      <c r="AC268" s="3480"/>
      <c r="AD268" s="3066"/>
      <c r="AE268" s="3066"/>
      <c r="AF268" s="3066"/>
      <c r="AG268" s="3066"/>
      <c r="AH268" s="3066"/>
      <c r="AI268" s="3066"/>
    </row>
    <row r="269" spans="1:35" s="2430" customFormat="1" ht="58.5" customHeight="1">
      <c r="A269" s="3567"/>
      <c r="B269" s="3532" t="str">
        <f t="shared" si="8"/>
        <v>2000003428</v>
      </c>
      <c r="C269" s="423" t="s">
        <v>3109</v>
      </c>
      <c r="D269" s="3533"/>
      <c r="E269" s="3529"/>
      <c r="F269" s="423" t="s">
        <v>3401</v>
      </c>
      <c r="G269" s="3529"/>
      <c r="H269" s="3529"/>
      <c r="I269" s="3529" t="s">
        <v>5253</v>
      </c>
      <c r="J269" s="3418" t="s">
        <v>19</v>
      </c>
      <c r="K269" s="3529" t="s">
        <v>123</v>
      </c>
      <c r="L269" s="3444" t="s">
        <v>5884</v>
      </c>
      <c r="M269" s="3530">
        <v>647</v>
      </c>
      <c r="N269" s="3455" t="s">
        <v>5454</v>
      </c>
      <c r="O269" s="2939"/>
      <c r="P269" s="1956"/>
      <c r="Q269" s="3535" t="s">
        <v>5268</v>
      </c>
    </row>
    <row r="270" spans="1:35" s="3066" customFormat="1" ht="78" customHeight="1">
      <c r="A270" s="3593"/>
      <c r="B270" s="3528" t="str">
        <f t="shared" si="8"/>
        <v>2000003432</v>
      </c>
      <c r="C270" s="3598" t="s">
        <v>193</v>
      </c>
      <c r="D270" s="3599">
        <v>11700</v>
      </c>
      <c r="E270" s="3600" t="s">
        <v>5885</v>
      </c>
      <c r="F270" s="3598" t="s">
        <v>3401</v>
      </c>
      <c r="G270" s="3600"/>
      <c r="H270" s="3600"/>
      <c r="I270" s="3065" t="s">
        <v>5253</v>
      </c>
      <c r="J270" s="2939" t="s">
        <v>19</v>
      </c>
      <c r="K270" s="3065" t="s">
        <v>5325</v>
      </c>
      <c r="L270" s="3601" t="s">
        <v>5886</v>
      </c>
      <c r="M270" s="3443">
        <v>3000</v>
      </c>
      <c r="N270" s="3110" t="s">
        <v>5887</v>
      </c>
      <c r="O270" s="3064"/>
      <c r="P270" s="3450"/>
      <c r="Q270" s="3451" t="s">
        <v>5339</v>
      </c>
      <c r="R270" s="2430"/>
      <c r="S270" s="2430"/>
      <c r="T270" s="2430"/>
      <c r="U270" s="2430"/>
      <c r="V270" s="2430"/>
      <c r="W270" s="2430"/>
      <c r="X270" s="2430"/>
      <c r="Y270" s="2430"/>
      <c r="Z270" s="2430"/>
      <c r="AA270" s="2430"/>
    </row>
    <row r="271" spans="1:35" s="432" customFormat="1" ht="58.5" customHeight="1">
      <c r="A271" s="3594"/>
      <c r="B271" s="3448" t="str">
        <f t="shared" si="8"/>
        <v>2000003433</v>
      </c>
      <c r="C271" s="423" t="s">
        <v>193</v>
      </c>
      <c r="D271" s="3446"/>
      <c r="E271" s="427"/>
      <c r="F271" s="423" t="s">
        <v>3401</v>
      </c>
      <c r="G271" s="427"/>
      <c r="H271" s="427"/>
      <c r="I271" s="3602" t="s">
        <v>5253</v>
      </c>
      <c r="J271" s="3418" t="s">
        <v>19</v>
      </c>
      <c r="K271" s="427" t="s">
        <v>5325</v>
      </c>
      <c r="L271" s="3531" t="s">
        <v>5888</v>
      </c>
      <c r="M271" s="3447">
        <v>1200</v>
      </c>
      <c r="N271" s="3529" t="s">
        <v>5889</v>
      </c>
      <c r="O271" s="423"/>
      <c r="P271" s="3419"/>
      <c r="Q271" s="3415" t="s">
        <v>5339</v>
      </c>
      <c r="R271" s="1958"/>
      <c r="S271" s="1958"/>
      <c r="T271" s="1958"/>
      <c r="U271" s="1958"/>
      <c r="V271" s="1958"/>
      <c r="W271" s="1958"/>
      <c r="X271" s="1958"/>
      <c r="Y271" s="1958"/>
      <c r="Z271" s="1958"/>
      <c r="AA271" s="1958"/>
    </row>
    <row r="272" spans="1:35" s="432" customFormat="1" ht="58.5" customHeight="1">
      <c r="A272" s="3594"/>
      <c r="B272" s="3603" t="str">
        <f t="shared" si="8"/>
        <v>2000003491</v>
      </c>
      <c r="C272" s="423" t="s">
        <v>193</v>
      </c>
      <c r="D272" s="3446"/>
      <c r="E272" s="427"/>
      <c r="F272" s="423" t="s">
        <v>3401</v>
      </c>
      <c r="G272" s="427"/>
      <c r="H272" s="427"/>
      <c r="I272" s="3602" t="s">
        <v>5253</v>
      </c>
      <c r="J272" s="3418" t="s">
        <v>19</v>
      </c>
      <c r="K272" s="427" t="s">
        <v>5325</v>
      </c>
      <c r="L272" s="3604" t="s">
        <v>5890</v>
      </c>
      <c r="M272" s="3447">
        <v>1950</v>
      </c>
      <c r="N272" s="3529" t="s">
        <v>5891</v>
      </c>
      <c r="O272" s="423"/>
      <c r="P272" s="3419"/>
      <c r="Q272" s="3605"/>
      <c r="R272" s="1958"/>
      <c r="S272" s="1958"/>
      <c r="T272" s="1958"/>
      <c r="U272" s="1958"/>
      <c r="V272" s="1958"/>
      <c r="W272" s="1958"/>
      <c r="X272" s="1958"/>
      <c r="Y272" s="1958"/>
      <c r="Z272" s="1958"/>
      <c r="AA272" s="1958"/>
      <c r="AB272" s="1958"/>
      <c r="AC272" s="1958"/>
      <c r="AD272" s="1958"/>
      <c r="AE272" s="1958"/>
      <c r="AF272" s="1958"/>
      <c r="AG272" s="1958"/>
      <c r="AH272" s="1958"/>
      <c r="AI272" s="1958"/>
    </row>
    <row r="273" spans="1:35" s="1958" customFormat="1" ht="58.5" customHeight="1">
      <c r="A273" s="1954"/>
      <c r="B273" s="3110" t="str">
        <f t="shared" si="8"/>
        <v>2000003494</v>
      </c>
      <c r="C273" s="423" t="s">
        <v>193</v>
      </c>
      <c r="D273" s="3446"/>
      <c r="E273" s="427"/>
      <c r="F273" s="423" t="s">
        <v>3401</v>
      </c>
      <c r="G273" s="427"/>
      <c r="H273" s="427"/>
      <c r="I273" s="427" t="s">
        <v>5253</v>
      </c>
      <c r="J273" s="3418" t="s">
        <v>19</v>
      </c>
      <c r="K273" s="427" t="s">
        <v>123</v>
      </c>
      <c r="L273" s="424" t="s">
        <v>5892</v>
      </c>
      <c r="M273" s="3447">
        <v>720</v>
      </c>
      <c r="N273" s="3455" t="s">
        <v>5454</v>
      </c>
      <c r="O273" s="423"/>
      <c r="P273" s="3419"/>
      <c r="Q273" s="3605"/>
    </row>
    <row r="274" spans="1:35" s="432" customFormat="1" ht="58.5" customHeight="1">
      <c r="A274" s="3595"/>
      <c r="B274" s="3603" t="str">
        <f t="shared" si="8"/>
        <v>2000003478</v>
      </c>
      <c r="C274" s="423" t="s">
        <v>193</v>
      </c>
      <c r="D274" s="3599"/>
      <c r="E274" s="3600"/>
      <c r="F274" s="423" t="s">
        <v>3401</v>
      </c>
      <c r="G274" s="427"/>
      <c r="H274" s="427"/>
      <c r="I274" s="3602" t="s">
        <v>5253</v>
      </c>
      <c r="J274" s="3418" t="s">
        <v>19</v>
      </c>
      <c r="K274" s="427" t="s">
        <v>123</v>
      </c>
      <c r="L274" s="424" t="s">
        <v>5893</v>
      </c>
      <c r="M274" s="3447">
        <v>4700</v>
      </c>
      <c r="N274" s="3529" t="s">
        <v>5894</v>
      </c>
      <c r="O274" s="423"/>
      <c r="P274" s="3419"/>
      <c r="Q274" s="3605"/>
      <c r="R274" s="1958"/>
      <c r="S274" s="1958"/>
      <c r="T274" s="1958"/>
      <c r="U274" s="1958"/>
      <c r="V274" s="1958"/>
      <c r="W274" s="1958"/>
      <c r="X274" s="1958"/>
      <c r="Y274" s="1958"/>
      <c r="Z274" s="1958"/>
      <c r="AA274" s="1958"/>
      <c r="AB274" s="1958"/>
      <c r="AC274" s="1958"/>
      <c r="AD274" s="1958"/>
      <c r="AE274" s="1958"/>
      <c r="AF274" s="1958"/>
      <c r="AG274" s="1958"/>
      <c r="AH274" s="1958"/>
      <c r="AI274" s="1958"/>
    </row>
    <row r="275" spans="1:35" s="1777" customFormat="1" ht="58.5" customHeight="1">
      <c r="A275" s="1344"/>
      <c r="B275" s="3402" t="str">
        <f t="shared" si="8"/>
        <v>2000003499</v>
      </c>
      <c r="C275" s="1895" t="s">
        <v>5628</v>
      </c>
      <c r="D275" s="3187">
        <v>12270</v>
      </c>
      <c r="E275" s="2114" t="s">
        <v>5752</v>
      </c>
      <c r="F275" s="1895" t="s">
        <v>3401</v>
      </c>
      <c r="G275" s="109"/>
      <c r="H275" s="109"/>
      <c r="I275" s="839" t="s">
        <v>5895</v>
      </c>
      <c r="J275" s="2904" t="s">
        <v>19</v>
      </c>
      <c r="K275" s="109" t="s">
        <v>63</v>
      </c>
      <c r="L275" s="2903" t="s">
        <v>5896</v>
      </c>
      <c r="M275" s="2644">
        <v>6200</v>
      </c>
      <c r="N275" s="2887" t="s">
        <v>5897</v>
      </c>
      <c r="O275" s="102"/>
      <c r="P275" s="2389"/>
      <c r="Q275" s="3163"/>
    </row>
    <row r="276" spans="1:35" ht="58.5" customHeight="1">
      <c r="A276" s="1344"/>
      <c r="B276" s="3402" t="str">
        <f t="shared" si="8"/>
        <v>2000003465</v>
      </c>
      <c r="C276" s="1895" t="s">
        <v>5628</v>
      </c>
      <c r="D276" s="3187"/>
      <c r="E276" s="2114"/>
      <c r="F276" s="1895"/>
      <c r="G276" s="109"/>
      <c r="H276" s="109"/>
      <c r="I276" s="3614" t="s">
        <v>5253</v>
      </c>
      <c r="J276" s="2904" t="s">
        <v>19</v>
      </c>
      <c r="K276" s="109" t="s">
        <v>63</v>
      </c>
      <c r="L276" s="2903" t="s">
        <v>5898</v>
      </c>
      <c r="M276" s="2644">
        <v>160</v>
      </c>
      <c r="N276" s="2887" t="s">
        <v>5456</v>
      </c>
      <c r="O276" s="102"/>
      <c r="P276" s="2389"/>
      <c r="Q276" s="3163"/>
      <c r="R276" s="1777"/>
      <c r="S276" s="1777"/>
      <c r="T276" s="1777"/>
      <c r="U276" s="1777"/>
      <c r="V276" s="1777"/>
      <c r="W276" s="1777"/>
      <c r="X276" s="1777"/>
      <c r="Y276" s="1777"/>
      <c r="Z276" s="1777"/>
      <c r="AA276" s="1777"/>
    </row>
    <row r="277" spans="1:35" ht="58.5" customHeight="1">
      <c r="B277" s="3210" t="str">
        <f t="shared" ref="B277:B292" si="9">TEXT(LEFT(L277,10),"0000000000")</f>
        <v>2000003430</v>
      </c>
      <c r="C277" s="102" t="s">
        <v>5628</v>
      </c>
      <c r="D277" s="1148"/>
      <c r="E277" s="109"/>
      <c r="F277" s="102" t="s">
        <v>3401</v>
      </c>
      <c r="G277" s="109"/>
      <c r="H277" s="109"/>
      <c r="I277" s="3614" t="s">
        <v>5253</v>
      </c>
      <c r="J277" s="2904" t="s">
        <v>19</v>
      </c>
      <c r="K277" s="109" t="s">
        <v>63</v>
      </c>
      <c r="L277" s="696" t="s">
        <v>5899</v>
      </c>
      <c r="M277" s="2644">
        <v>100</v>
      </c>
      <c r="N277" s="109" t="s">
        <v>5900</v>
      </c>
      <c r="O277" s="102"/>
      <c r="P277" s="2389"/>
      <c r="Q277" s="3163"/>
      <c r="R277" s="1777"/>
      <c r="S277" s="1777"/>
      <c r="T277" s="1777"/>
      <c r="U277" s="1777"/>
      <c r="V277" s="1777"/>
      <c r="W277" s="1777"/>
      <c r="X277" s="1777"/>
      <c r="Y277" s="1777"/>
      <c r="Z277" s="1777"/>
      <c r="AA277" s="1777"/>
    </row>
    <row r="278" spans="1:35" ht="58.5" customHeight="1">
      <c r="A278" s="3613"/>
      <c r="B278" s="3569" t="str">
        <f t="shared" si="9"/>
        <v>2000003472</v>
      </c>
      <c r="C278" s="102" t="s">
        <v>5628</v>
      </c>
      <c r="D278" s="1277"/>
      <c r="E278" s="102"/>
      <c r="F278" s="102" t="s">
        <v>3401</v>
      </c>
      <c r="G278" s="3254"/>
      <c r="H278" s="2886"/>
      <c r="I278" s="3409" t="s">
        <v>5253</v>
      </c>
      <c r="J278" s="2904" t="s">
        <v>19</v>
      </c>
      <c r="K278" s="2886" t="s">
        <v>63</v>
      </c>
      <c r="L278" s="3577" t="s">
        <v>5901</v>
      </c>
      <c r="M278" s="2935">
        <v>1740</v>
      </c>
      <c r="N278" s="2887" t="s">
        <v>5902</v>
      </c>
      <c r="O278" s="2904"/>
      <c r="P278" s="3571"/>
      <c r="Q278" s="3163" t="s">
        <v>5210</v>
      </c>
      <c r="R278" s="1777"/>
      <c r="S278" s="1777"/>
      <c r="T278" s="1777"/>
      <c r="U278" s="1777"/>
      <c r="V278" s="1777"/>
      <c r="W278" s="1777"/>
      <c r="X278" s="1777"/>
      <c r="Y278" s="1777"/>
      <c r="Z278" s="1777"/>
      <c r="AA278" s="1777"/>
      <c r="AB278" s="1777"/>
      <c r="AC278" s="1777"/>
      <c r="AD278" s="1777"/>
      <c r="AE278" s="1777"/>
      <c r="AF278" s="1777"/>
      <c r="AG278" s="1777"/>
      <c r="AH278" s="1777"/>
      <c r="AI278" s="1777"/>
    </row>
    <row r="279" spans="1:35" ht="58.5" customHeight="1">
      <c r="A279" s="874"/>
      <c r="B279" s="3569" t="str">
        <f t="shared" si="9"/>
        <v>2000003470</v>
      </c>
      <c r="C279" s="102" t="s">
        <v>5628</v>
      </c>
      <c r="D279" s="3568"/>
      <c r="E279" s="735"/>
      <c r="F279" s="102" t="s">
        <v>3401</v>
      </c>
      <c r="G279" s="109"/>
      <c r="H279" s="109"/>
      <c r="I279" s="3409" t="s">
        <v>5253</v>
      </c>
      <c r="J279" s="109" t="s">
        <v>19</v>
      </c>
      <c r="K279" s="109" t="s">
        <v>63</v>
      </c>
      <c r="L279" s="2903" t="s">
        <v>5903</v>
      </c>
      <c r="M279" s="3570">
        <v>4075</v>
      </c>
      <c r="N279" s="2887" t="s">
        <v>5904</v>
      </c>
      <c r="O279" s="2904"/>
      <c r="P279" s="3571"/>
      <c r="Q279" s="3162" t="s">
        <v>5339</v>
      </c>
      <c r="R279" s="1777"/>
      <c r="S279" s="1777"/>
      <c r="T279" s="1777"/>
      <c r="U279" s="1777"/>
      <c r="V279" s="1777"/>
      <c r="W279" s="1777"/>
      <c r="X279" s="1777"/>
      <c r="Y279" s="1777"/>
      <c r="Z279" s="1777"/>
      <c r="AA279" s="1777"/>
    </row>
    <row r="280" spans="1:35" s="1777" customFormat="1" ht="58.5" customHeight="1">
      <c r="A280" s="738"/>
      <c r="B280" s="3250" t="str">
        <f t="shared" si="9"/>
        <v>2400001312</v>
      </c>
      <c r="C280" s="2906" t="s">
        <v>5905</v>
      </c>
      <c r="D280" s="3240">
        <f>SUM(M280:M281)</f>
        <v>25100</v>
      </c>
      <c r="E280" s="2901" t="s">
        <v>5906</v>
      </c>
      <c r="F280" s="2904" t="s">
        <v>4031</v>
      </c>
      <c r="G280" s="2886" t="s">
        <v>5907</v>
      </c>
      <c r="H280" s="2886" t="s">
        <v>764</v>
      </c>
      <c r="I280" s="2886"/>
      <c r="J280" s="2901" t="s">
        <v>3423</v>
      </c>
      <c r="K280" s="2901" t="s">
        <v>5908</v>
      </c>
      <c r="L280" s="2905" t="s">
        <v>5909</v>
      </c>
      <c r="M280" s="2935">
        <v>25000</v>
      </c>
      <c r="N280" s="2926" t="s">
        <v>5456</v>
      </c>
      <c r="O280" s="2906"/>
      <c r="P280" s="2902"/>
      <c r="Q280" s="3162" t="s">
        <v>5268</v>
      </c>
    </row>
    <row r="281" spans="1:35" s="1777" customFormat="1" ht="58.5" customHeight="1">
      <c r="A281" s="3232"/>
      <c r="B281" s="3250" t="str">
        <f t="shared" si="9"/>
        <v>2400001313</v>
      </c>
      <c r="C281" s="2904" t="s">
        <v>5905</v>
      </c>
      <c r="D281" s="3236"/>
      <c r="E281" s="2901"/>
      <c r="F281" s="2904" t="s">
        <v>4031</v>
      </c>
      <c r="G281" s="2886"/>
      <c r="H281" s="2886"/>
      <c r="I281" s="2886"/>
      <c r="J281" s="2901" t="s">
        <v>3423</v>
      </c>
      <c r="K281" s="2901" t="s">
        <v>5908</v>
      </c>
      <c r="L281" s="2905" t="s">
        <v>5910</v>
      </c>
      <c r="M281" s="3188">
        <v>100</v>
      </c>
      <c r="N281" s="2926" t="s">
        <v>5456</v>
      </c>
      <c r="O281" s="2906"/>
      <c r="P281" s="2902"/>
      <c r="Q281" s="3162">
        <v>3</v>
      </c>
    </row>
    <row r="282" spans="1:35" s="1777" customFormat="1" ht="58.5" customHeight="1">
      <c r="A282" s="3232"/>
      <c r="B282" s="3250" t="str">
        <f t="shared" si="9"/>
        <v>2400001318</v>
      </c>
      <c r="C282" s="2906" t="s">
        <v>5911</v>
      </c>
      <c r="D282" s="3240">
        <v>12900</v>
      </c>
      <c r="E282" s="2901" t="s">
        <v>5270</v>
      </c>
      <c r="F282" s="2906" t="s">
        <v>25</v>
      </c>
      <c r="G282" s="2901"/>
      <c r="H282" s="2933"/>
      <c r="I282" s="2933"/>
      <c r="J282" s="2901" t="s">
        <v>3423</v>
      </c>
      <c r="K282" s="2901" t="s">
        <v>267</v>
      </c>
      <c r="L282" s="2875" t="s">
        <v>5912</v>
      </c>
      <c r="M282" s="2934">
        <v>5350</v>
      </c>
      <c r="N282" s="2926" t="s">
        <v>5456</v>
      </c>
      <c r="O282" s="2938"/>
      <c r="P282" s="2902"/>
      <c r="Q282" s="3162" t="s">
        <v>5339</v>
      </c>
      <c r="R282" s="1853"/>
      <c r="S282" s="8"/>
      <c r="T282" s="8"/>
      <c r="U282" s="8"/>
      <c r="V282" s="8"/>
      <c r="W282" s="8"/>
      <c r="X282" s="8"/>
      <c r="Y282" s="8"/>
      <c r="Z282" s="8"/>
      <c r="AA282" s="8"/>
      <c r="AB282" s="8"/>
      <c r="AC282" s="8"/>
      <c r="AD282" s="8"/>
      <c r="AE282" s="8"/>
      <c r="AF282" s="8"/>
      <c r="AG282" s="8"/>
      <c r="AH282" s="8"/>
      <c r="AI282" s="8"/>
    </row>
    <row r="283" spans="1:35" s="1777" customFormat="1" ht="58.5" customHeight="1">
      <c r="A283" s="3232"/>
      <c r="B283" s="3254" t="str">
        <f t="shared" si="9"/>
        <v>2400001319</v>
      </c>
      <c r="C283" s="2904" t="s">
        <v>5911</v>
      </c>
      <c r="D283" s="3236"/>
      <c r="E283" s="2886"/>
      <c r="F283" s="2904" t="s">
        <v>25</v>
      </c>
      <c r="G283" s="2886"/>
      <c r="H283" s="2936"/>
      <c r="I283" s="2936"/>
      <c r="J283" s="2886" t="s">
        <v>3423</v>
      </c>
      <c r="K283" s="2886" t="s">
        <v>267</v>
      </c>
      <c r="L283" s="2903" t="s">
        <v>5913</v>
      </c>
      <c r="M283" s="2935">
        <v>500</v>
      </c>
      <c r="N283" s="2926" t="s">
        <v>5456</v>
      </c>
      <c r="O283" s="2938"/>
      <c r="P283" s="2902"/>
      <c r="Q283" s="3162" t="s">
        <v>5339</v>
      </c>
      <c r="R283" s="1853"/>
      <c r="S283" s="8"/>
      <c r="T283" s="8"/>
      <c r="U283" s="8"/>
      <c r="V283" s="8"/>
      <c r="W283" s="8"/>
      <c r="X283" s="8"/>
      <c r="Y283" s="8"/>
      <c r="Z283" s="8"/>
      <c r="AA283" s="8"/>
      <c r="AB283" s="8"/>
      <c r="AC283" s="8"/>
      <c r="AD283" s="8"/>
      <c r="AE283" s="8"/>
      <c r="AF283" s="8"/>
      <c r="AG283" s="8"/>
      <c r="AH283" s="8"/>
      <c r="AI283" s="8"/>
    </row>
    <row r="284" spans="1:35" s="1777" customFormat="1" ht="58.5" customHeight="1">
      <c r="A284" s="3310"/>
      <c r="B284" s="3250" t="str">
        <f t="shared" si="9"/>
        <v>2400001320</v>
      </c>
      <c r="C284" s="2904" t="s">
        <v>5911</v>
      </c>
      <c r="D284" s="3239"/>
      <c r="E284" s="2886"/>
      <c r="F284" s="2904" t="s">
        <v>25</v>
      </c>
      <c r="G284" s="2886"/>
      <c r="H284" s="2936"/>
      <c r="I284" s="2936"/>
      <c r="J284" s="2886" t="s">
        <v>3423</v>
      </c>
      <c r="K284" s="2886" t="s">
        <v>267</v>
      </c>
      <c r="L284" s="2903" t="s">
        <v>5914</v>
      </c>
      <c r="M284" s="2935">
        <v>2100</v>
      </c>
      <c r="N284" s="2926" t="s">
        <v>5456</v>
      </c>
      <c r="O284" s="2938"/>
      <c r="P284" s="2902"/>
      <c r="Q284" s="3162" t="s">
        <v>5339</v>
      </c>
      <c r="R284" s="1853"/>
      <c r="S284" s="8"/>
      <c r="T284" s="8"/>
      <c r="U284" s="8"/>
      <c r="V284" s="8"/>
      <c r="W284" s="8"/>
      <c r="X284" s="8"/>
      <c r="Y284" s="8"/>
      <c r="Z284" s="8"/>
      <c r="AA284" s="8"/>
      <c r="AB284" s="8"/>
      <c r="AC284" s="8"/>
      <c r="AD284" s="8"/>
      <c r="AE284" s="8"/>
      <c r="AF284" s="8"/>
      <c r="AG284" s="8"/>
      <c r="AH284" s="8"/>
      <c r="AI284" s="8"/>
    </row>
    <row r="285" spans="1:35" s="1777" customFormat="1" ht="58.5" customHeight="1">
      <c r="A285" s="3310"/>
      <c r="B285" s="3254" t="str">
        <f t="shared" si="9"/>
        <v>2400001317</v>
      </c>
      <c r="C285" s="2904" t="s">
        <v>5911</v>
      </c>
      <c r="F285" s="2904" t="s">
        <v>25</v>
      </c>
      <c r="G285" s="2886"/>
      <c r="H285" s="2936"/>
      <c r="I285" s="2936"/>
      <c r="J285" s="2886" t="s">
        <v>3423</v>
      </c>
      <c r="K285" s="2886" t="s">
        <v>267</v>
      </c>
      <c r="L285" s="2903" t="s">
        <v>5915</v>
      </c>
      <c r="M285" s="2935">
        <v>2550</v>
      </c>
      <c r="N285" s="2926" t="s">
        <v>5456</v>
      </c>
      <c r="O285" s="2938"/>
      <c r="P285" s="2902"/>
      <c r="Q285" s="3162" t="s">
        <v>5339</v>
      </c>
      <c r="R285" s="1853"/>
      <c r="S285" s="8"/>
      <c r="T285" s="8"/>
      <c r="U285" s="8"/>
      <c r="V285" s="8"/>
      <c r="W285" s="8"/>
      <c r="X285" s="8"/>
      <c r="Y285" s="8"/>
      <c r="Z285" s="8"/>
      <c r="AA285" s="8"/>
      <c r="AB285" s="8"/>
      <c r="AC285" s="8"/>
      <c r="AD285" s="8"/>
      <c r="AE285" s="8"/>
      <c r="AF285" s="8"/>
      <c r="AG285" s="8"/>
      <c r="AH285" s="8"/>
      <c r="AI285" s="8"/>
    </row>
    <row r="286" spans="1:35" s="1777" customFormat="1" ht="58.5" customHeight="1">
      <c r="A286" s="3310"/>
      <c r="B286" s="3254" t="str">
        <f t="shared" si="9"/>
        <v>2400001314</v>
      </c>
      <c r="C286" s="2904" t="s">
        <v>5911</v>
      </c>
      <c r="F286" s="2904" t="s">
        <v>25</v>
      </c>
      <c r="G286" s="2886"/>
      <c r="H286" s="2936"/>
      <c r="I286" s="2936"/>
      <c r="J286" s="2886" t="s">
        <v>3423</v>
      </c>
      <c r="K286" s="2886" t="s">
        <v>267</v>
      </c>
      <c r="L286" s="2903" t="s">
        <v>5916</v>
      </c>
      <c r="M286" s="2935">
        <v>1125</v>
      </c>
      <c r="N286" s="2926" t="s">
        <v>5456</v>
      </c>
      <c r="O286" s="2938"/>
      <c r="P286" s="2902"/>
      <c r="Q286" s="3162" t="s">
        <v>5339</v>
      </c>
      <c r="R286" s="1853"/>
      <c r="S286" s="8"/>
      <c r="T286" s="8"/>
      <c r="U286" s="8"/>
      <c r="V286" s="8"/>
      <c r="W286" s="8"/>
      <c r="X286" s="8"/>
      <c r="Y286" s="8"/>
      <c r="Z286" s="8"/>
      <c r="AA286" s="8"/>
      <c r="AB286" s="8"/>
      <c r="AC286" s="8"/>
      <c r="AD286" s="8"/>
      <c r="AE286" s="8"/>
      <c r="AF286" s="8"/>
      <c r="AG286" s="8"/>
      <c r="AH286" s="8"/>
      <c r="AI286" s="8"/>
    </row>
    <row r="287" spans="1:35" s="1777" customFormat="1" ht="58.5" customHeight="1">
      <c r="A287" s="3310"/>
      <c r="B287" s="3254" t="str">
        <f t="shared" si="9"/>
        <v>2400001315</v>
      </c>
      <c r="C287" s="2904" t="s">
        <v>5911</v>
      </c>
      <c r="F287" s="2904" t="s">
        <v>25</v>
      </c>
      <c r="G287" s="2886"/>
      <c r="H287" s="2936"/>
      <c r="I287" s="2936"/>
      <c r="J287" s="2886" t="s">
        <v>3423</v>
      </c>
      <c r="K287" s="2886" t="s">
        <v>267</v>
      </c>
      <c r="L287" s="2903" t="s">
        <v>5917</v>
      </c>
      <c r="M287" s="2935">
        <v>575</v>
      </c>
      <c r="N287" s="2926" t="s">
        <v>5456</v>
      </c>
      <c r="O287" s="2938"/>
      <c r="P287" s="2902"/>
      <c r="Q287" s="3162" t="s">
        <v>5339</v>
      </c>
      <c r="R287" s="1853"/>
      <c r="S287" s="8"/>
      <c r="T287" s="8"/>
      <c r="U287" s="8"/>
      <c r="V287" s="8"/>
      <c r="W287" s="8"/>
      <c r="X287" s="8"/>
      <c r="Y287" s="8"/>
      <c r="Z287" s="8"/>
      <c r="AA287" s="8"/>
      <c r="AB287" s="8"/>
      <c r="AC287" s="8"/>
      <c r="AD287" s="8"/>
      <c r="AE287" s="8"/>
      <c r="AF287" s="8"/>
      <c r="AG287" s="8"/>
      <c r="AH287" s="8"/>
      <c r="AI287" s="8"/>
    </row>
    <row r="288" spans="1:35" s="1777" customFormat="1" ht="58.5" customHeight="1">
      <c r="A288" s="3310">
        <v>1</v>
      </c>
      <c r="B288" s="3254" t="str">
        <f t="shared" si="9"/>
        <v>2400001316</v>
      </c>
      <c r="C288" s="2904" t="s">
        <v>5911</v>
      </c>
      <c r="D288" s="3239"/>
      <c r="E288" s="2886"/>
      <c r="F288" s="2904" t="s">
        <v>25</v>
      </c>
      <c r="G288" s="2886"/>
      <c r="H288" s="2886"/>
      <c r="I288" s="2886"/>
      <c r="J288" s="2886" t="s">
        <v>3423</v>
      </c>
      <c r="K288" s="2886" t="s">
        <v>267</v>
      </c>
      <c r="L288" s="2903" t="s">
        <v>5918</v>
      </c>
      <c r="M288" s="2935">
        <v>50</v>
      </c>
      <c r="N288" s="2926" t="s">
        <v>5456</v>
      </c>
      <c r="O288" s="102"/>
      <c r="P288" s="2389"/>
      <c r="Q288" s="3162" t="s">
        <v>5339</v>
      </c>
    </row>
    <row r="289" spans="1:27" ht="58.5" customHeight="1">
      <c r="A289" s="3310"/>
      <c r="B289" s="3254" t="str">
        <f t="shared" si="9"/>
        <v>2400001323</v>
      </c>
      <c r="C289" s="2904" t="s">
        <v>5911</v>
      </c>
      <c r="D289" s="3239"/>
      <c r="E289" s="2886"/>
      <c r="F289" s="2904" t="s">
        <v>25</v>
      </c>
      <c r="G289" s="2886"/>
      <c r="H289" s="2886"/>
      <c r="I289" s="2886"/>
      <c r="J289" s="2886" t="s">
        <v>3423</v>
      </c>
      <c r="K289" s="2886" t="s">
        <v>267</v>
      </c>
      <c r="L289" s="2903" t="s">
        <v>5919</v>
      </c>
      <c r="M289" s="2935">
        <v>75</v>
      </c>
      <c r="N289" s="2926" t="s">
        <v>5456</v>
      </c>
      <c r="O289" s="102"/>
      <c r="P289" s="2389"/>
      <c r="Q289" s="3162" t="s">
        <v>5339</v>
      </c>
      <c r="R289" s="1777"/>
      <c r="S289" s="1777"/>
      <c r="T289" s="1777"/>
      <c r="U289" s="1777"/>
      <c r="V289" s="1777"/>
      <c r="W289" s="1777"/>
      <c r="X289" s="1777"/>
      <c r="Y289" s="1777"/>
      <c r="Z289" s="1777"/>
      <c r="AA289" s="1777"/>
    </row>
    <row r="290" spans="1:27" ht="58.5" customHeight="1">
      <c r="A290" s="3310"/>
      <c r="B290" s="3254" t="str">
        <f t="shared" si="9"/>
        <v>2400001324</v>
      </c>
      <c r="C290" s="2904" t="s">
        <v>5911</v>
      </c>
      <c r="D290" s="3239"/>
      <c r="E290" s="2886"/>
      <c r="F290" s="2904" t="s">
        <v>25</v>
      </c>
      <c r="G290" s="2886"/>
      <c r="H290" s="2886"/>
      <c r="I290" s="2886"/>
      <c r="J290" s="2886" t="s">
        <v>3423</v>
      </c>
      <c r="K290" s="2886" t="s">
        <v>267</v>
      </c>
      <c r="L290" s="2903" t="s">
        <v>5920</v>
      </c>
      <c r="M290" s="2935">
        <v>225</v>
      </c>
      <c r="N290" s="2926" t="s">
        <v>5456</v>
      </c>
      <c r="O290" s="102"/>
      <c r="P290" s="2389"/>
      <c r="Q290" s="3162" t="s">
        <v>5339</v>
      </c>
      <c r="R290" s="1777"/>
      <c r="S290" s="1777"/>
      <c r="T290" s="1777"/>
      <c r="U290" s="1777"/>
      <c r="V290" s="1777"/>
      <c r="W290" s="1777"/>
      <c r="X290" s="1777"/>
      <c r="Y290" s="1777"/>
      <c r="Z290" s="1777"/>
      <c r="AA290" s="1777"/>
    </row>
    <row r="291" spans="1:27" ht="58.5" customHeight="1">
      <c r="A291" s="3310"/>
      <c r="B291" s="3254" t="str">
        <f t="shared" si="9"/>
        <v>2400001325</v>
      </c>
      <c r="C291" s="2904" t="s">
        <v>5911</v>
      </c>
      <c r="D291" s="3239"/>
      <c r="E291" s="2886"/>
      <c r="F291" s="2904" t="s">
        <v>25</v>
      </c>
      <c r="G291" s="2886"/>
      <c r="H291" s="2886"/>
      <c r="I291" s="2886"/>
      <c r="J291" s="2886" t="s">
        <v>3423</v>
      </c>
      <c r="K291" s="2886" t="s">
        <v>267</v>
      </c>
      <c r="L291" s="2903" t="s">
        <v>5921</v>
      </c>
      <c r="M291" s="2935">
        <v>50</v>
      </c>
      <c r="N291" s="2926" t="s">
        <v>5456</v>
      </c>
      <c r="O291" s="102"/>
      <c r="P291" s="2389"/>
      <c r="Q291" s="3162" t="s">
        <v>5339</v>
      </c>
      <c r="R291" s="1777"/>
      <c r="S291" s="1777"/>
      <c r="T291" s="1777"/>
      <c r="U291" s="1777"/>
      <c r="V291" s="1777"/>
      <c r="W291" s="1777"/>
      <c r="X291" s="1777"/>
      <c r="Y291" s="1777"/>
      <c r="Z291" s="1777"/>
      <c r="AA291" s="1777"/>
    </row>
    <row r="292" spans="1:27" ht="58.5" customHeight="1">
      <c r="A292" s="3310"/>
      <c r="B292" s="3254" t="str">
        <f t="shared" si="9"/>
        <v>2400001326</v>
      </c>
      <c r="C292" s="2904" t="s">
        <v>5911</v>
      </c>
      <c r="D292" s="3239"/>
      <c r="E292" s="2886"/>
      <c r="F292" s="2904" t="s">
        <v>25</v>
      </c>
      <c r="G292" s="2886"/>
      <c r="H292" s="2886"/>
      <c r="I292" s="2886"/>
      <c r="J292" s="2886" t="s">
        <v>3423</v>
      </c>
      <c r="K292" s="2886" t="s">
        <v>267</v>
      </c>
      <c r="L292" s="2905" t="s">
        <v>5922</v>
      </c>
      <c r="M292" s="2935">
        <v>500</v>
      </c>
      <c r="N292" s="2926" t="s">
        <v>5456</v>
      </c>
      <c r="O292" s="102"/>
      <c r="P292" s="2389"/>
      <c r="Q292" s="3162" t="s">
        <v>5339</v>
      </c>
      <c r="R292" s="1777"/>
      <c r="S292" s="1777"/>
      <c r="T292" s="1777"/>
      <c r="U292" s="1777"/>
      <c r="V292" s="1777"/>
      <c r="W292" s="1777"/>
      <c r="X292" s="1777"/>
      <c r="Y292" s="1777"/>
      <c r="Z292" s="1777"/>
      <c r="AA292" s="1777"/>
    </row>
    <row r="293" spans="1:27" ht="58.5" customHeight="1">
      <c r="B293" s="3250"/>
      <c r="D293" s="3"/>
      <c r="E293" s="3"/>
      <c r="F293" s="3"/>
      <c r="G293" s="109"/>
      <c r="H293" s="109"/>
      <c r="I293" s="109"/>
      <c r="J293" s="102"/>
      <c r="K293" s="109"/>
      <c r="L293" s="696"/>
      <c r="M293" s="2644"/>
      <c r="N293" s="102"/>
      <c r="O293" s="102"/>
      <c r="P293" s="2389"/>
      <c r="Q293" s="3163"/>
      <c r="R293" s="1777"/>
      <c r="S293" s="1777"/>
      <c r="T293" s="1777"/>
      <c r="U293" s="1777"/>
      <c r="V293" s="1777"/>
      <c r="W293" s="1777"/>
      <c r="X293" s="1777"/>
      <c r="Y293" s="1777"/>
      <c r="Z293" s="1777"/>
      <c r="AA293" s="1777"/>
    </row>
    <row r="294" spans="1:27" ht="58.5" customHeight="1">
      <c r="C294" s="1895"/>
      <c r="D294" s="3187"/>
      <c r="E294" s="2114"/>
      <c r="F294" s="1895"/>
    </row>
  </sheetData>
  <autoFilter ref="A3:V292" xr:uid="{FC159B02-6362-46DA-920F-5BAD62A2C6C7}"/>
  <mergeCells count="42">
    <mergeCell ref="A255:A260"/>
    <mergeCell ref="A175:A178"/>
    <mergeCell ref="A151:A153"/>
    <mergeCell ref="A154:A161"/>
    <mergeCell ref="A164:A165"/>
    <mergeCell ref="A166:A168"/>
    <mergeCell ref="A169:A174"/>
    <mergeCell ref="A131:A132"/>
    <mergeCell ref="A133:A134"/>
    <mergeCell ref="A136:A137"/>
    <mergeCell ref="A138:A143"/>
    <mergeCell ref="A144:A150"/>
    <mergeCell ref="A98:A105"/>
    <mergeCell ref="A106:A110"/>
    <mergeCell ref="A111:A115"/>
    <mergeCell ref="A117:A120"/>
    <mergeCell ref="A121:A130"/>
    <mergeCell ref="S2:V2"/>
    <mergeCell ref="A36:A41"/>
    <mergeCell ref="A30:A35"/>
    <mergeCell ref="A4:A6"/>
    <mergeCell ref="A7:A9"/>
    <mergeCell ref="A10:A11"/>
    <mergeCell ref="A25:A28"/>
    <mergeCell ref="A22:A24"/>
    <mergeCell ref="A12:A16"/>
    <mergeCell ref="A17:A21"/>
    <mergeCell ref="A46:A47"/>
    <mergeCell ref="A1:Q1"/>
    <mergeCell ref="A2:C2"/>
    <mergeCell ref="A42:A45"/>
    <mergeCell ref="A53:A54"/>
    <mergeCell ref="A55:A56"/>
    <mergeCell ref="A49:A52"/>
    <mergeCell ref="A96:A97"/>
    <mergeCell ref="A58:A59"/>
    <mergeCell ref="A61:A63"/>
    <mergeCell ref="A70:A74"/>
    <mergeCell ref="A75:A78"/>
    <mergeCell ref="A64:A69"/>
    <mergeCell ref="A79:A87"/>
    <mergeCell ref="A88:A95"/>
  </mergeCells>
  <conditionalFormatting sqref="B2:B3">
    <cfRule type="duplicateValues" dxfId="332" priority="385"/>
  </conditionalFormatting>
  <conditionalFormatting sqref="B3">
    <cfRule type="duplicateValues" dxfId="331" priority="386"/>
  </conditionalFormatting>
  <conditionalFormatting sqref="B46">
    <cfRule type="duplicateValues" dxfId="330" priority="427"/>
    <cfRule type="duplicateValues" dxfId="329" priority="428"/>
    <cfRule type="duplicateValues" dxfId="328" priority="429"/>
    <cfRule type="duplicateValues" dxfId="327" priority="430"/>
  </conditionalFormatting>
  <conditionalFormatting sqref="B170">
    <cfRule type="duplicateValues" dxfId="326" priority="381"/>
    <cfRule type="duplicateValues" dxfId="325" priority="382"/>
    <cfRule type="duplicateValues" dxfId="324" priority="383"/>
    <cfRule type="duplicateValues" dxfId="323" priority="384"/>
  </conditionalFormatting>
  <conditionalFormatting sqref="S34">
    <cfRule type="duplicateValues" dxfId="322" priority="487"/>
    <cfRule type="duplicateValues" dxfId="321" priority="488"/>
    <cfRule type="duplicateValues" dxfId="320" priority="489"/>
    <cfRule type="duplicateValues" dxfId="319" priority="490"/>
  </conditionalFormatting>
  <conditionalFormatting sqref="S170">
    <cfRule type="duplicateValues" dxfId="318" priority="377"/>
    <cfRule type="duplicateValues" dxfId="317" priority="378"/>
    <cfRule type="duplicateValues" dxfId="316" priority="379"/>
    <cfRule type="duplicateValues" dxfId="315" priority="380"/>
  </conditionalFormatting>
  <conditionalFormatting sqref="B97">
    <cfRule type="duplicateValues" dxfId="314" priority="6032"/>
    <cfRule type="duplicateValues" dxfId="313" priority="6033"/>
    <cfRule type="duplicateValues" dxfId="312" priority="6034"/>
    <cfRule type="duplicateValues" dxfId="311" priority="6035"/>
  </conditionalFormatting>
  <conditionalFormatting sqref="B11">
    <cfRule type="duplicateValues" dxfId="310" priority="6120"/>
    <cfRule type="duplicateValues" dxfId="309" priority="6121"/>
    <cfRule type="duplicateValues" dxfId="308" priority="6122"/>
    <cfRule type="duplicateValues" dxfId="307" priority="6123"/>
  </conditionalFormatting>
  <conditionalFormatting sqref="S39">
    <cfRule type="duplicateValues" dxfId="306" priority="332"/>
    <cfRule type="duplicateValues" dxfId="305" priority="333"/>
    <cfRule type="duplicateValues" dxfId="304" priority="334"/>
    <cfRule type="duplicateValues" dxfId="303" priority="335"/>
  </conditionalFormatting>
  <conditionalFormatting sqref="B93">
    <cfRule type="duplicateValues" dxfId="302" priority="328"/>
    <cfRule type="duplicateValues" dxfId="301" priority="329"/>
    <cfRule type="duplicateValues" dxfId="300" priority="330"/>
    <cfRule type="duplicateValues" dxfId="299" priority="331"/>
  </conditionalFormatting>
  <conditionalFormatting sqref="B48">
    <cfRule type="duplicateValues" dxfId="298" priority="320"/>
    <cfRule type="duplicateValues" dxfId="297" priority="321"/>
    <cfRule type="duplicateValues" dxfId="296" priority="322"/>
    <cfRule type="duplicateValues" dxfId="295" priority="323"/>
  </conditionalFormatting>
  <conditionalFormatting sqref="B64:B69">
    <cfRule type="duplicateValues" dxfId="294" priority="304"/>
    <cfRule type="duplicateValues" dxfId="293" priority="305"/>
    <cfRule type="duplicateValues" dxfId="292" priority="306"/>
    <cfRule type="duplicateValues" dxfId="291" priority="307"/>
  </conditionalFormatting>
  <conditionalFormatting sqref="B96:B97">
    <cfRule type="duplicateValues" dxfId="290" priority="9054"/>
    <cfRule type="duplicateValues" dxfId="289" priority="9055"/>
    <cfRule type="duplicateValues" dxfId="288" priority="9056"/>
    <cfRule type="duplicateValues" dxfId="287" priority="9057"/>
  </conditionalFormatting>
  <conditionalFormatting sqref="B55:B56">
    <cfRule type="duplicateValues" dxfId="286" priority="9161"/>
    <cfRule type="duplicateValues" dxfId="285" priority="9162"/>
    <cfRule type="duplicateValues" dxfId="284" priority="9163"/>
    <cfRule type="duplicateValues" dxfId="283" priority="9164"/>
  </conditionalFormatting>
  <conditionalFormatting sqref="B84">
    <cfRule type="duplicateValues" dxfId="282" priority="9510"/>
    <cfRule type="duplicateValues" dxfId="281" priority="9511"/>
    <cfRule type="duplicateValues" dxfId="280" priority="9512"/>
    <cfRule type="duplicateValues" dxfId="279" priority="9513"/>
  </conditionalFormatting>
  <conditionalFormatting sqref="B60">
    <cfRule type="duplicateValues" dxfId="278" priority="260"/>
    <cfRule type="duplicateValues" dxfId="277" priority="261"/>
    <cfRule type="duplicateValues" dxfId="276" priority="262"/>
    <cfRule type="duplicateValues" dxfId="275" priority="263"/>
  </conditionalFormatting>
  <conditionalFormatting sqref="B260 B111:B112 B58:B59 B53 B82:B87 B213:B224">
    <cfRule type="duplicateValues" dxfId="274" priority="10620"/>
    <cfRule type="duplicateValues" dxfId="273" priority="10621"/>
    <cfRule type="duplicateValues" dxfId="272" priority="10622"/>
    <cfRule type="duplicateValues" dxfId="271" priority="10623"/>
  </conditionalFormatting>
  <conditionalFormatting sqref="B260 B224 B53:B54 B111:B112 B96:B97">
    <cfRule type="duplicateValues" dxfId="270" priority="10644"/>
    <cfRule type="duplicateValues" dxfId="269" priority="10645"/>
    <cfRule type="duplicateValues" dxfId="268" priority="10646"/>
    <cfRule type="duplicateValues" dxfId="267" priority="10647"/>
  </conditionalFormatting>
  <conditionalFormatting sqref="B78">
    <cfRule type="duplicateValues" dxfId="266" priority="248"/>
    <cfRule type="duplicateValues" dxfId="265" priority="249"/>
    <cfRule type="duplicateValues" dxfId="264" priority="250"/>
    <cfRule type="duplicateValues" dxfId="263" priority="251"/>
  </conditionalFormatting>
  <conditionalFormatting sqref="B279">
    <cfRule type="duplicateValues" dxfId="262" priority="224"/>
    <cfRule type="duplicateValues" dxfId="261" priority="225"/>
    <cfRule type="duplicateValues" dxfId="260" priority="226"/>
    <cfRule type="duplicateValues" dxfId="259" priority="227"/>
  </conditionalFormatting>
  <conditionalFormatting sqref="B140">
    <cfRule type="duplicateValues" dxfId="258" priority="220"/>
    <cfRule type="duplicateValues" dxfId="257" priority="221"/>
    <cfRule type="duplicateValues" dxfId="256" priority="222"/>
    <cfRule type="duplicateValues" dxfId="255" priority="223"/>
  </conditionalFormatting>
  <conditionalFormatting sqref="B171:B172">
    <cfRule type="duplicateValues" dxfId="254" priority="212"/>
    <cfRule type="duplicateValues" dxfId="253" priority="213"/>
    <cfRule type="duplicateValues" dxfId="252" priority="214"/>
    <cfRule type="duplicateValues" dxfId="251" priority="215"/>
  </conditionalFormatting>
  <conditionalFormatting sqref="B268">
    <cfRule type="duplicateValues" dxfId="250" priority="204"/>
    <cfRule type="duplicateValues" dxfId="249" priority="205"/>
    <cfRule type="duplicateValues" dxfId="248" priority="206"/>
    <cfRule type="duplicateValues" dxfId="247" priority="207"/>
  </conditionalFormatting>
  <conditionalFormatting sqref="S268">
    <cfRule type="duplicateValues" dxfId="246" priority="200"/>
    <cfRule type="duplicateValues" dxfId="245" priority="201"/>
    <cfRule type="duplicateValues" dxfId="244" priority="202"/>
    <cfRule type="duplicateValues" dxfId="243" priority="203"/>
  </conditionalFormatting>
  <conditionalFormatting sqref="B141:B144">
    <cfRule type="duplicateValues" dxfId="242" priority="20742"/>
    <cfRule type="duplicateValues" dxfId="241" priority="20743"/>
    <cfRule type="duplicateValues" dxfId="240" priority="20744"/>
    <cfRule type="duplicateValues" dxfId="239" priority="20745"/>
  </conditionalFormatting>
  <conditionalFormatting sqref="B181:B183">
    <cfRule type="duplicateValues" dxfId="238" priority="196"/>
    <cfRule type="duplicateValues" dxfId="237" priority="197"/>
    <cfRule type="duplicateValues" dxfId="236" priority="198"/>
    <cfRule type="duplicateValues" dxfId="235" priority="199"/>
  </conditionalFormatting>
  <conditionalFormatting sqref="B195 B185">
    <cfRule type="duplicateValues" dxfId="234" priority="28585"/>
    <cfRule type="duplicateValues" dxfId="233" priority="28586"/>
    <cfRule type="duplicateValues" dxfId="232" priority="28587"/>
    <cfRule type="duplicateValues" dxfId="231" priority="28588"/>
  </conditionalFormatting>
  <conditionalFormatting sqref="B211:B212">
    <cfRule type="duplicateValues" dxfId="230" priority="30159"/>
    <cfRule type="duplicateValues" dxfId="229" priority="30160"/>
    <cfRule type="duplicateValues" dxfId="228" priority="30161"/>
    <cfRule type="duplicateValues" dxfId="227" priority="30162"/>
  </conditionalFormatting>
  <conditionalFormatting sqref="B264">
    <cfRule type="duplicateValues" dxfId="226" priority="180"/>
    <cfRule type="duplicateValues" dxfId="225" priority="181"/>
    <cfRule type="duplicateValues" dxfId="224" priority="182"/>
    <cfRule type="duplicateValues" dxfId="223" priority="183"/>
  </conditionalFormatting>
  <conditionalFormatting sqref="B284">
    <cfRule type="duplicateValues" dxfId="222" priority="172"/>
    <cfRule type="duplicateValues" dxfId="221" priority="173"/>
    <cfRule type="duplicateValues" dxfId="220" priority="174"/>
    <cfRule type="duplicateValues" dxfId="219" priority="175"/>
  </conditionalFormatting>
  <conditionalFormatting sqref="B258:B271 B202:B212 B72 B92 B98:B104 B96 B78:B81 B145 B85:B88 B111:B112 B175:B178 B186:B187 B234:B255">
    <cfRule type="duplicateValues" dxfId="218" priority="35087"/>
    <cfRule type="duplicateValues" dxfId="217" priority="35088"/>
    <cfRule type="duplicateValues" dxfId="216" priority="35089"/>
    <cfRule type="duplicateValues" dxfId="215" priority="35090"/>
  </conditionalFormatting>
  <conditionalFormatting sqref="B202 B188:B189 B114:B115 B146:B161 B182:B184 B163:B168 B117:B139 B192:B194">
    <cfRule type="duplicateValues" dxfId="214" priority="35364"/>
    <cfRule type="duplicateValues" dxfId="213" priority="35365"/>
    <cfRule type="duplicateValues" dxfId="212" priority="35366"/>
    <cfRule type="duplicateValues" dxfId="211" priority="35367"/>
  </conditionalFormatting>
  <conditionalFormatting sqref="B190">
    <cfRule type="duplicateValues" dxfId="210" priority="112"/>
    <cfRule type="duplicateValues" dxfId="209" priority="113"/>
    <cfRule type="duplicateValues" dxfId="208" priority="114"/>
    <cfRule type="duplicateValues" dxfId="207" priority="115"/>
  </conditionalFormatting>
  <conditionalFormatting sqref="S188 S182:S183">
    <cfRule type="duplicateValues" dxfId="206" priority="35896"/>
    <cfRule type="duplicateValues" dxfId="205" priority="35897"/>
    <cfRule type="duplicateValues" dxfId="204" priority="35898"/>
    <cfRule type="duplicateValues" dxfId="203" priority="35899"/>
  </conditionalFormatting>
  <conditionalFormatting sqref="B191">
    <cfRule type="duplicateValues" dxfId="202" priority="108"/>
    <cfRule type="duplicateValues" dxfId="201" priority="109"/>
    <cfRule type="duplicateValues" dxfId="200" priority="110"/>
    <cfRule type="duplicateValues" dxfId="199" priority="111"/>
  </conditionalFormatting>
  <conditionalFormatting sqref="B268:B269 B262:B264 B188:B189 B100 B111:B112 B114:B115 B175:B178 B146:B161 B182:B184 B163:B168 B117:B139 B192:B194 B202 B242:B249 B252:B254">
    <cfRule type="duplicateValues" dxfId="198" priority="37803"/>
    <cfRule type="duplicateValues" dxfId="197" priority="37804"/>
    <cfRule type="duplicateValues" dxfId="196" priority="37805"/>
    <cfRule type="duplicateValues" dxfId="195" priority="37806"/>
  </conditionalFormatting>
  <conditionalFormatting sqref="B247:B249 B252">
    <cfRule type="duplicateValues" dxfId="194" priority="100"/>
    <cfRule type="duplicateValues" dxfId="193" priority="101"/>
    <cfRule type="duplicateValues" dxfId="192" priority="102"/>
    <cfRule type="duplicateValues" dxfId="191" priority="103"/>
  </conditionalFormatting>
  <conditionalFormatting sqref="B242">
    <cfRule type="duplicateValues" dxfId="190" priority="37866"/>
    <cfRule type="duplicateValues" dxfId="189" priority="37867"/>
    <cfRule type="duplicateValues" dxfId="188" priority="37868"/>
    <cfRule type="duplicateValues" dxfId="187" priority="37869"/>
  </conditionalFormatting>
  <conditionalFormatting sqref="S243:S249 S252">
    <cfRule type="duplicateValues" dxfId="186" priority="37994"/>
    <cfRule type="duplicateValues" dxfId="185" priority="37995"/>
    <cfRule type="duplicateValues" dxfId="184" priority="37996"/>
    <cfRule type="duplicateValues" dxfId="183" priority="37997"/>
  </conditionalFormatting>
  <conditionalFormatting sqref="B262:B264 B268:B269 B241:B254">
    <cfRule type="duplicateValues" dxfId="182" priority="38002"/>
    <cfRule type="duplicateValues" dxfId="181" priority="38003"/>
    <cfRule type="duplicateValues" dxfId="180" priority="38004"/>
    <cfRule type="duplicateValues" dxfId="179" priority="38005"/>
  </conditionalFormatting>
  <conditionalFormatting sqref="B275:B276">
    <cfRule type="duplicateValues" dxfId="178" priority="76"/>
    <cfRule type="duplicateValues" dxfId="177" priority="77"/>
    <cfRule type="duplicateValues" dxfId="176" priority="78"/>
    <cfRule type="duplicateValues" dxfId="175" priority="79"/>
  </conditionalFormatting>
  <conditionalFormatting sqref="B275:B276">
    <cfRule type="duplicateValues" dxfId="174" priority="80"/>
  </conditionalFormatting>
  <conditionalFormatting sqref="B275:B276">
    <cfRule type="duplicateValues" dxfId="173" priority="81"/>
    <cfRule type="duplicateValues" dxfId="172" priority="82"/>
    <cfRule type="duplicateValues" dxfId="171" priority="83"/>
    <cfRule type="duplicateValues" dxfId="170" priority="84"/>
  </conditionalFormatting>
  <conditionalFormatting sqref="B280:B292 B262 B257 B162 B94:B95 B70 B54 B49:B52 B57 B75:B77 B169 B179:B180 B173:B174 B269 B277">
    <cfRule type="duplicateValues" dxfId="169" priority="38387"/>
    <cfRule type="duplicateValues" dxfId="168" priority="38388"/>
    <cfRule type="duplicateValues" dxfId="167" priority="38389"/>
    <cfRule type="duplicateValues" dxfId="166" priority="38390"/>
  </conditionalFormatting>
  <conditionalFormatting sqref="B272">
    <cfRule type="duplicateValues" dxfId="165" priority="54"/>
    <cfRule type="duplicateValues" dxfId="164" priority="55"/>
    <cfRule type="duplicateValues" dxfId="163" priority="56"/>
    <cfRule type="duplicateValues" dxfId="162" priority="57"/>
    <cfRule type="duplicateValues" dxfId="161" priority="58"/>
    <cfRule type="duplicateValues" dxfId="160" priority="59"/>
    <cfRule type="duplicateValues" dxfId="159" priority="60"/>
    <cfRule type="duplicateValues" dxfId="158" priority="61"/>
    <cfRule type="duplicateValues" dxfId="157" priority="62"/>
    <cfRule type="duplicateValues" dxfId="156" priority="63"/>
    <cfRule type="duplicateValues" dxfId="155" priority="64"/>
    <cfRule type="duplicateValues" dxfId="154" priority="65"/>
    <cfRule type="duplicateValues" dxfId="153" priority="66"/>
    <cfRule type="duplicateValues" dxfId="152" priority="67"/>
    <cfRule type="duplicateValues" dxfId="151" priority="68"/>
    <cfRule type="duplicateValues" dxfId="150" priority="69"/>
    <cfRule type="duplicateValues" dxfId="149" priority="70"/>
  </conditionalFormatting>
  <conditionalFormatting sqref="B272">
    <cfRule type="duplicateValues" dxfId="148" priority="71"/>
  </conditionalFormatting>
  <conditionalFormatting sqref="B274">
    <cfRule type="duplicateValues" dxfId="147" priority="44"/>
    <cfRule type="duplicateValues" dxfId="146" priority="45"/>
    <cfRule type="duplicateValues" dxfId="145" priority="46"/>
    <cfRule type="duplicateValues" dxfId="144" priority="47"/>
  </conditionalFormatting>
  <conditionalFormatting sqref="B274">
    <cfRule type="duplicateValues" dxfId="143" priority="48"/>
  </conditionalFormatting>
  <conditionalFormatting sqref="B274">
    <cfRule type="duplicateValues" dxfId="142" priority="49"/>
    <cfRule type="duplicateValues" dxfId="141" priority="50"/>
    <cfRule type="duplicateValues" dxfId="140" priority="51"/>
    <cfRule type="duplicateValues" dxfId="139" priority="52"/>
  </conditionalFormatting>
  <conditionalFormatting sqref="B277 B1:B195 B202:B271 B279:B1048576">
    <cfRule type="duplicateValues" dxfId="138" priority="38938"/>
  </conditionalFormatting>
  <conditionalFormatting sqref="B273">
    <cfRule type="duplicateValues" dxfId="137" priority="21"/>
    <cfRule type="duplicateValues" dxfId="136" priority="22"/>
    <cfRule type="duplicateValues" dxfId="135" priority="23"/>
    <cfRule type="duplicateValues" dxfId="134" priority="24"/>
    <cfRule type="duplicateValues" dxfId="133" priority="25"/>
    <cfRule type="duplicateValues" dxfId="132" priority="26"/>
    <cfRule type="duplicateValues" dxfId="131" priority="27"/>
    <cfRule type="duplicateValues" dxfId="130" priority="28"/>
    <cfRule type="duplicateValues" dxfId="129" priority="29"/>
    <cfRule type="duplicateValues" dxfId="128" priority="30"/>
    <cfRule type="duplicateValues" dxfId="127" priority="31"/>
    <cfRule type="duplicateValues" dxfId="126" priority="32"/>
    <cfRule type="duplicateValues" dxfId="125" priority="33"/>
  </conditionalFormatting>
  <conditionalFormatting sqref="B273">
    <cfRule type="duplicateValues" dxfId="124" priority="34"/>
  </conditionalFormatting>
  <conditionalFormatting sqref="B196:B201">
    <cfRule type="duplicateValues" dxfId="123" priority="2"/>
    <cfRule type="duplicateValues" dxfId="122" priority="3"/>
    <cfRule type="duplicateValues" dxfId="121" priority="4"/>
    <cfRule type="duplicateValues" dxfId="120" priority="5"/>
  </conditionalFormatting>
  <conditionalFormatting sqref="S199:S200 S196:S197">
    <cfRule type="duplicateValues" dxfId="119" priority="6"/>
    <cfRule type="duplicateValues" dxfId="118" priority="7"/>
    <cfRule type="duplicateValues" dxfId="117" priority="8"/>
    <cfRule type="duplicateValues" dxfId="116" priority="9"/>
  </conditionalFormatting>
  <conditionalFormatting sqref="B196:B201">
    <cfRule type="duplicateValues" dxfId="115" priority="10"/>
    <cfRule type="duplicateValues" dxfId="114" priority="11"/>
    <cfRule type="duplicateValues" dxfId="113" priority="12"/>
    <cfRule type="duplicateValues" dxfId="112" priority="13"/>
  </conditionalFormatting>
  <conditionalFormatting sqref="B196:B201">
    <cfRule type="duplicateValues" dxfId="111" priority="14"/>
  </conditionalFormatting>
  <conditionalFormatting sqref="B196:B201">
    <cfRule type="duplicateValues" dxfId="110" priority="15"/>
  </conditionalFormatting>
  <conditionalFormatting sqref="B196:B201">
    <cfRule type="duplicateValues" dxfId="109" priority="16"/>
  </conditionalFormatting>
  <conditionalFormatting sqref="S189 S175:S177 S164 S111:S112 S114:S115 S117:S119 S136:S139 S146 S126:S127 S184 S166 S129:S130">
    <cfRule type="duplicateValues" dxfId="108" priority="39667"/>
    <cfRule type="duplicateValues" dxfId="107" priority="39668"/>
    <cfRule type="duplicateValues" dxfId="106" priority="39669"/>
    <cfRule type="duplicateValues" dxfId="105" priority="39670"/>
  </conditionalFormatting>
  <conditionalFormatting sqref="B293:B1048576 B277 B279 B194 B256">
    <cfRule type="duplicateValues" dxfId="104" priority="39744"/>
    <cfRule type="duplicateValues" dxfId="103" priority="39745"/>
    <cfRule type="duplicateValues" dxfId="102" priority="39746"/>
    <cfRule type="duplicateValues" dxfId="101" priority="39747"/>
  </conditionalFormatting>
  <conditionalFormatting sqref="B225:B233">
    <cfRule type="duplicateValues" dxfId="100" priority="39748"/>
    <cfRule type="duplicateValues" dxfId="99" priority="39749"/>
    <cfRule type="duplicateValues" dxfId="98" priority="39750"/>
    <cfRule type="duplicateValues" dxfId="97" priority="39751"/>
  </conditionalFormatting>
  <conditionalFormatting sqref="B278">
    <cfRule type="duplicateValues" dxfId="96" priority="1"/>
  </conditionalFormatting>
  <conditionalFormatting sqref="B277 B4:B195 B202:B271 B279:B293">
    <cfRule type="duplicateValues" dxfId="95" priority="39813"/>
    <cfRule type="duplicateValues" dxfId="94" priority="39814"/>
    <cfRule type="duplicateValues" dxfId="93" priority="39815"/>
    <cfRule type="duplicateValues" dxfId="92" priority="39816"/>
  </conditionalFormatting>
  <pageMargins left="0.7" right="0.7" top="0.75" bottom="0.75" header="0.3" footer="0.3"/>
  <pageSetup paperSize="9" scale="40" orientation="landscape"/>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BC4D98-CE9C-4258-9C75-082B4EE14CD9}">
  <dimension ref="A1"/>
  <sheetViews>
    <sheetView workbookViewId="0"/>
  </sheetViews>
  <sheetFormatPr defaultRowHeight="15"/>
  <sheetData/>
  <pageMargins left="0.7" right="0.7" top="0.75" bottom="0.75" header="0.3" footer="0.3"/>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CF6C76-5B7E-43C2-8C03-7A912A6BB0B0}">
  <sheetPr>
    <tabColor theme="2" tint="-0.249977111117893"/>
    <pageSetUpPr fitToPage="1"/>
  </sheetPr>
  <dimension ref="A1:AA170"/>
  <sheetViews>
    <sheetView zoomScale="70" zoomScaleNormal="70" workbookViewId="0">
      <pane xSplit="3" ySplit="3" topLeftCell="D4" activePane="bottomRight" state="frozen"/>
      <selection pane="topRight" activeCell="D1" sqref="D1"/>
      <selection pane="bottomLeft" activeCell="A4" sqref="A4"/>
      <selection pane="bottomRight" activeCell="D1" sqref="D1"/>
    </sheetView>
  </sheetViews>
  <sheetFormatPr defaultColWidth="32.140625" defaultRowHeight="58.5" customHeight="1"/>
  <cols>
    <col min="1" max="1" width="11" style="359" customWidth="1"/>
    <col min="2" max="2" width="31.42578125" style="763" customWidth="1"/>
    <col min="3" max="3" width="35.42578125" style="1" customWidth="1"/>
    <col min="4" max="4" width="19.28515625" style="1138" customWidth="1"/>
    <col min="5" max="5" width="23.42578125" style="271" customWidth="1"/>
    <col min="6" max="6" width="22.28515625" style="1" customWidth="1"/>
    <col min="7" max="7" width="25.85546875" style="271" customWidth="1"/>
    <col min="8" max="8" width="17.140625" style="271" customWidth="1"/>
    <col min="9" max="9" width="23.42578125" style="271" customWidth="1"/>
    <col min="10" max="10" width="26.42578125" style="271" customWidth="1"/>
    <col min="11" max="11" width="108.140625" style="9" customWidth="1"/>
    <col min="12" max="12" width="25.5703125" style="2217" customWidth="1"/>
    <col min="13" max="13" width="65.42578125" style="1" customWidth="1"/>
    <col min="14" max="14" width="23.140625" style="1" customWidth="1"/>
    <col min="15" max="15" width="32.5703125" style="2260" customWidth="1"/>
    <col min="16" max="16" width="29.28515625" style="2225" customWidth="1"/>
    <col min="17" max="17" width="43.140625" style="3" customWidth="1"/>
    <col min="18" max="20" width="24.140625" style="271" customWidth="1"/>
    <col min="21" max="21" width="24.140625" style="2671" customWidth="1"/>
    <col min="22" max="22" width="36.42578125" style="3" bestFit="1" customWidth="1"/>
    <col min="23" max="24" width="9.42578125" style="3"/>
    <col min="25" max="27" width="32.140625" style="1" bestFit="1" customWidth="1"/>
    <col min="28" max="16384" width="32.140625" style="3"/>
  </cols>
  <sheetData>
    <row r="1" spans="1:27" ht="50.25" customHeight="1">
      <c r="A1" s="3760" t="s">
        <v>5923</v>
      </c>
      <c r="B1" s="3760"/>
      <c r="C1" s="3760"/>
      <c r="D1" s="3760"/>
      <c r="E1" s="3760"/>
      <c r="F1" s="3760"/>
      <c r="G1" s="3760"/>
      <c r="H1" s="3760"/>
      <c r="I1" s="3760"/>
      <c r="J1" s="3760"/>
      <c r="K1" s="3760"/>
      <c r="L1" s="3760"/>
      <c r="M1" s="3760"/>
      <c r="N1" s="3760"/>
      <c r="O1" s="3760"/>
      <c r="P1" s="3760"/>
      <c r="Q1" s="3760"/>
      <c r="R1" s="2670"/>
    </row>
    <row r="2" spans="1:27" ht="78" customHeight="1">
      <c r="A2" s="3761" t="s">
        <v>5186</v>
      </c>
      <c r="B2" s="3761"/>
      <c r="C2" s="3761"/>
      <c r="D2" s="2215">
        <f>SUBTOTAL(9,D3:D322)</f>
        <v>13800</v>
      </c>
      <c r="E2" s="1932"/>
      <c r="F2" s="2092"/>
      <c r="G2" s="2269" t="s">
        <v>5187</v>
      </c>
      <c r="H2" s="1932"/>
      <c r="I2" s="1932"/>
      <c r="J2" s="2765"/>
      <c r="K2" s="2762">
        <f ca="1">TODAY()</f>
        <v>45960</v>
      </c>
      <c r="L2" s="2272">
        <f>SUBTOTAL(9,L4:L505)</f>
        <v>381342</v>
      </c>
      <c r="M2" s="2339" t="s">
        <v>5924</v>
      </c>
      <c r="N2" s="2782"/>
      <c r="O2" s="2099" t="s">
        <v>5925</v>
      </c>
      <c r="P2" s="2754" t="s">
        <v>5170</v>
      </c>
      <c r="Q2" s="2754"/>
      <c r="R2" s="3762" t="s">
        <v>5926</v>
      </c>
      <c r="S2" s="3762"/>
      <c r="T2" s="3763"/>
      <c r="U2" s="3763"/>
    </row>
    <row r="3" spans="1:27" s="2709" customFormat="1" ht="58.5" customHeight="1">
      <c r="A3" s="2703">
        <v>6</v>
      </c>
      <c r="B3" s="2704" t="s">
        <v>5190</v>
      </c>
      <c r="C3" s="2707" t="s">
        <v>5191</v>
      </c>
      <c r="D3" s="2706" t="s">
        <v>5423</v>
      </c>
      <c r="E3" s="2707" t="s">
        <v>3389</v>
      </c>
      <c r="F3" s="2705" t="s">
        <v>5</v>
      </c>
      <c r="G3" s="2707" t="s">
        <v>3390</v>
      </c>
      <c r="H3" s="2707" t="s">
        <v>5927</v>
      </c>
      <c r="I3" s="2707" t="s">
        <v>8</v>
      </c>
      <c r="J3" s="2707" t="s">
        <v>9</v>
      </c>
      <c r="K3" s="2707" t="s">
        <v>5928</v>
      </c>
      <c r="L3" s="2711" t="s">
        <v>5197</v>
      </c>
      <c r="M3" s="2710" t="s">
        <v>5929</v>
      </c>
      <c r="N3" s="2755" t="s">
        <v>5199</v>
      </c>
      <c r="O3" s="2704" t="s">
        <v>11</v>
      </c>
      <c r="P3" s="2704" t="s">
        <v>5200</v>
      </c>
      <c r="Q3" s="2705" t="s">
        <v>5930</v>
      </c>
      <c r="R3" s="2707" t="s">
        <v>5202</v>
      </c>
      <c r="S3" s="2707" t="s">
        <v>5931</v>
      </c>
      <c r="T3" s="2715" t="s">
        <v>5932</v>
      </c>
      <c r="U3" s="2672" t="s">
        <v>5933</v>
      </c>
      <c r="Y3" s="2708"/>
      <c r="Z3" s="2708"/>
      <c r="AA3" s="2708"/>
    </row>
    <row r="4" spans="1:27" s="2643" customFormat="1" ht="75" customHeight="1">
      <c r="A4" s="3749">
        <v>1</v>
      </c>
      <c r="B4" s="1568" t="str">
        <f t="shared" ref="B4:B21" si="0">TEXT(LEFT(K4,10),"0000000000")</f>
        <v>2000002936</v>
      </c>
      <c r="C4" s="1902" t="s">
        <v>3320</v>
      </c>
      <c r="D4" s="2624">
        <v>8320</v>
      </c>
      <c r="E4" s="1921" t="s">
        <v>5934</v>
      </c>
      <c r="F4" s="1902" t="s">
        <v>3416</v>
      </c>
      <c r="G4" s="1909" t="s">
        <v>5935</v>
      </c>
      <c r="H4" s="1921"/>
      <c r="I4" s="1921" t="s">
        <v>19</v>
      </c>
      <c r="J4" s="1921" t="s">
        <v>20</v>
      </c>
      <c r="K4" s="1911" t="s">
        <v>5936</v>
      </c>
      <c r="L4" s="2583">
        <v>4970</v>
      </c>
      <c r="M4" s="2196" t="s">
        <v>5937</v>
      </c>
      <c r="N4" s="1495"/>
      <c r="O4" s="1843"/>
      <c r="P4" s="1790">
        <v>1</v>
      </c>
      <c r="Q4" s="1548"/>
      <c r="R4" s="1495">
        <v>2000002936</v>
      </c>
      <c r="S4" s="2720" t="e">
        <f>VLOOKUP(R4,#REF!,2,0)</f>
        <v>#REF!</v>
      </c>
      <c r="T4" s="2720" t="e">
        <f>VLOOKUP(R4,#REF!,3,0)</f>
        <v>#REF!</v>
      </c>
      <c r="U4" s="2721" t="e">
        <f>S4-T4</f>
        <v>#REF!</v>
      </c>
      <c r="V4" s="1467"/>
      <c r="W4" s="1467"/>
      <c r="X4" s="1467"/>
      <c r="Y4" s="1474"/>
      <c r="Z4" s="1474"/>
      <c r="AA4" s="1474"/>
    </row>
    <row r="5" spans="1:27" s="2643" customFormat="1" ht="60" customHeight="1">
      <c r="A5" s="3750"/>
      <c r="B5" s="1568" t="str">
        <f t="shared" si="0"/>
        <v>2000002953</v>
      </c>
      <c r="C5" s="1493" t="s">
        <v>3320</v>
      </c>
      <c r="D5" s="1826"/>
      <c r="E5" s="1495"/>
      <c r="F5" s="1493" t="s">
        <v>3416</v>
      </c>
      <c r="G5" s="1495"/>
      <c r="H5" s="1495"/>
      <c r="I5" s="1495" t="s">
        <v>19</v>
      </c>
      <c r="J5" s="1495" t="s">
        <v>20</v>
      </c>
      <c r="K5" s="1600" t="s">
        <v>5938</v>
      </c>
      <c r="L5" s="2357">
        <v>3350</v>
      </c>
      <c r="M5" s="2196" t="s">
        <v>5937</v>
      </c>
      <c r="N5" s="1495"/>
      <c r="O5" s="1859"/>
      <c r="P5" s="1790">
        <v>1</v>
      </c>
      <c r="Q5" s="1548"/>
      <c r="R5" s="1495">
        <v>2000002953</v>
      </c>
      <c r="S5" s="2720" t="e">
        <f>VLOOKUP(R5,#REF!,2,0)</f>
        <v>#REF!</v>
      </c>
      <c r="T5" s="2720" t="e">
        <f>VLOOKUP(R5,#REF!,3,0)</f>
        <v>#REF!</v>
      </c>
      <c r="U5" s="2721" t="e">
        <f>S5-T5</f>
        <v>#REF!</v>
      </c>
      <c r="V5" s="1467"/>
      <c r="W5" s="1467"/>
      <c r="X5" s="1467"/>
      <c r="Y5" s="1474"/>
      <c r="Z5" s="1474"/>
      <c r="AA5" s="1474"/>
    </row>
    <row r="6" spans="1:27" s="2643" customFormat="1" ht="69.75" customHeight="1">
      <c r="A6" s="2582">
        <v>2</v>
      </c>
      <c r="B6" s="1900" t="str">
        <f>TEXT(LEFT(K6,10),"0000000000")</f>
        <v>2000002958</v>
      </c>
      <c r="C6" s="2263" t="s">
        <v>52</v>
      </c>
      <c r="D6" s="2456">
        <v>4600</v>
      </c>
      <c r="E6" s="1921" t="s">
        <v>5939</v>
      </c>
      <c r="F6" s="1902" t="s">
        <v>16</v>
      </c>
      <c r="G6" s="1909" t="s">
        <v>5940</v>
      </c>
      <c r="H6" s="1921"/>
      <c r="I6" s="2187" t="s">
        <v>19</v>
      </c>
      <c r="J6" s="1921" t="s">
        <v>74</v>
      </c>
      <c r="K6" s="1911" t="s">
        <v>5941</v>
      </c>
      <c r="L6" s="2583">
        <v>4600</v>
      </c>
      <c r="M6" s="2196" t="s">
        <v>5937</v>
      </c>
      <c r="N6" s="1495"/>
      <c r="O6" s="1775"/>
      <c r="P6" s="2429">
        <v>1</v>
      </c>
      <c r="Q6" s="2150"/>
      <c r="R6" s="1921">
        <v>2000002958</v>
      </c>
      <c r="S6" s="2724" t="e">
        <f>VLOOKUP(R6,#REF!,2,0)</f>
        <v>#REF!</v>
      </c>
      <c r="T6" s="2724" t="e">
        <f>VLOOKUP(R6,#REF!,3,0)</f>
        <v>#REF!</v>
      </c>
      <c r="U6" s="2721" t="e">
        <f>S6-T6</f>
        <v>#REF!</v>
      </c>
      <c r="V6" s="2150"/>
      <c r="W6" s="2150"/>
      <c r="X6" s="2150"/>
      <c r="Y6" s="1902"/>
      <c r="Z6" s="1902"/>
      <c r="AA6" s="1902"/>
    </row>
    <row r="7" spans="1:27" s="2643" customFormat="1" ht="67.5" customHeight="1">
      <c r="A7" s="2436">
        <v>3</v>
      </c>
      <c r="B7" s="1568" t="str">
        <f t="shared" si="0"/>
        <v>2000002952</v>
      </c>
      <c r="C7" s="1902" t="s">
        <v>3460</v>
      </c>
      <c r="D7" s="2624">
        <v>4000</v>
      </c>
      <c r="E7" s="1921" t="s">
        <v>5942</v>
      </c>
      <c r="F7" s="1902" t="s">
        <v>61</v>
      </c>
      <c r="G7" s="1921" t="s">
        <v>5943</v>
      </c>
      <c r="H7" s="1921"/>
      <c r="I7" s="2187" t="s">
        <v>19</v>
      </c>
      <c r="J7" s="1921" t="s">
        <v>123</v>
      </c>
      <c r="K7" s="1911" t="s">
        <v>5944</v>
      </c>
      <c r="L7" s="2583">
        <v>4000</v>
      </c>
      <c r="M7" s="2196" t="s">
        <v>5945</v>
      </c>
      <c r="N7" s="1495"/>
      <c r="O7" s="1775"/>
      <c r="P7" s="2429">
        <v>1</v>
      </c>
      <c r="Q7" s="2150"/>
      <c r="R7" s="1921">
        <v>2000002952</v>
      </c>
      <c r="S7" s="2720" t="e">
        <f>VLOOKUP(R7,#REF!,2,0)</f>
        <v>#REF!</v>
      </c>
      <c r="T7" s="2720" t="e">
        <f>VLOOKUP(R7,#REF!,3,0)</f>
        <v>#REF!</v>
      </c>
      <c r="U7" s="2721" t="e">
        <f>S7-T7</f>
        <v>#REF!</v>
      </c>
      <c r="Y7" s="2659"/>
      <c r="Z7" s="2659"/>
      <c r="AA7" s="2659"/>
    </row>
    <row r="8" spans="1:27" s="2643" customFormat="1" ht="57" customHeight="1">
      <c r="A8" s="3751">
        <v>4</v>
      </c>
      <c r="B8" s="1900" t="str">
        <f t="shared" si="0"/>
        <v>2000002958</v>
      </c>
      <c r="C8" s="2198" t="s">
        <v>5699</v>
      </c>
      <c r="D8" s="2585">
        <v>3900</v>
      </c>
      <c r="E8" s="2187" t="s">
        <v>5946</v>
      </c>
      <c r="F8" s="2263" t="s">
        <v>84</v>
      </c>
      <c r="G8" s="1921" t="s">
        <v>5947</v>
      </c>
      <c r="H8" s="1921"/>
      <c r="I8" s="2187" t="s">
        <v>19</v>
      </c>
      <c r="J8" s="1921" t="s">
        <v>74</v>
      </c>
      <c r="K8" s="1911" t="s">
        <v>5948</v>
      </c>
      <c r="L8" s="2583">
        <v>400</v>
      </c>
      <c r="M8" s="2196" t="s">
        <v>5937</v>
      </c>
      <c r="N8" s="1495"/>
      <c r="O8" s="1862" t="s">
        <v>5949</v>
      </c>
      <c r="P8" s="2429">
        <v>1</v>
      </c>
      <c r="Q8" s="2150"/>
      <c r="R8" s="1921">
        <v>2000002958</v>
      </c>
      <c r="S8" s="2720" t="e">
        <f>VLOOKUP(R8,#REF!,2,0)</f>
        <v>#REF!</v>
      </c>
      <c r="T8" s="2720" t="e">
        <f>VLOOKUP(R8,#REF!,3,0)</f>
        <v>#REF!</v>
      </c>
      <c r="U8" s="2721" t="e">
        <f>S8-T8</f>
        <v>#REF!</v>
      </c>
      <c r="Y8" s="2659"/>
      <c r="Z8" s="2659"/>
      <c r="AA8" s="2659"/>
    </row>
    <row r="9" spans="1:27" s="2643" customFormat="1" ht="58.5" customHeight="1">
      <c r="A9" s="3751"/>
      <c r="B9" s="1900" t="str">
        <f t="shared" si="0"/>
        <v>2200002001</v>
      </c>
      <c r="C9" s="1545" t="s">
        <v>5699</v>
      </c>
      <c r="D9" s="1494"/>
      <c r="E9" s="1543"/>
      <c r="F9" s="1545" t="s">
        <v>84</v>
      </c>
      <c r="G9" s="1495"/>
      <c r="H9" s="1495"/>
      <c r="I9" s="1543" t="s">
        <v>19</v>
      </c>
      <c r="J9" s="1495" t="s">
        <v>74</v>
      </c>
      <c r="K9" s="1600" t="s">
        <v>5950</v>
      </c>
      <c r="L9" s="2357">
        <v>1964</v>
      </c>
      <c r="M9" s="1851" t="s">
        <v>5951</v>
      </c>
      <c r="N9" s="1851"/>
      <c r="O9" s="1862"/>
      <c r="P9" s="2429">
        <v>1</v>
      </c>
      <c r="Q9" s="2150"/>
      <c r="R9" s="1921"/>
      <c r="S9" s="2724"/>
      <c r="T9" s="2725"/>
      <c r="U9" s="2726"/>
      <c r="Y9" s="2659"/>
      <c r="Z9" s="2659"/>
      <c r="AA9" s="2659"/>
    </row>
    <row r="10" spans="1:27" s="2643" customFormat="1" ht="58.5" customHeight="1">
      <c r="A10" s="3751"/>
      <c r="B10" s="1900" t="str">
        <f t="shared" si="0"/>
        <v>2200001995</v>
      </c>
      <c r="C10" s="1545" t="s">
        <v>5699</v>
      </c>
      <c r="D10" s="1494"/>
      <c r="E10" s="1543"/>
      <c r="F10" s="1545" t="s">
        <v>84</v>
      </c>
      <c r="G10" s="1467"/>
      <c r="H10" s="1495"/>
      <c r="I10" s="1495" t="s">
        <v>19</v>
      </c>
      <c r="J10" s="1495" t="s">
        <v>74</v>
      </c>
      <c r="K10" s="1600" t="s">
        <v>5952</v>
      </c>
      <c r="L10" s="2342">
        <v>250</v>
      </c>
      <c r="M10" s="2160" t="s">
        <v>5953</v>
      </c>
      <c r="N10" s="1851"/>
      <c r="O10" s="1790"/>
      <c r="P10" s="2429">
        <v>1</v>
      </c>
      <c r="Q10" s="1493"/>
      <c r="R10" s="1495">
        <v>2200001995</v>
      </c>
      <c r="S10" s="2720" t="e">
        <f>VLOOKUP(R10,#REF!,2,0)</f>
        <v>#REF!</v>
      </c>
      <c r="T10" s="2720" t="e">
        <f>VLOOKUP(R10,#REF!,3,0)</f>
        <v>#REF!</v>
      </c>
      <c r="U10" s="2721" t="e">
        <f>S10-T10</f>
        <v>#REF!</v>
      </c>
      <c r="V10" s="1467"/>
      <c r="W10" s="1467"/>
      <c r="X10" s="1467"/>
      <c r="Y10" s="1474"/>
      <c r="Z10" s="1474"/>
      <c r="AA10" s="1474"/>
    </row>
    <row r="11" spans="1:27" s="2643" customFormat="1" ht="58.5" customHeight="1">
      <c r="A11" s="3750"/>
      <c r="B11" s="1900" t="str">
        <f t="shared" si="0"/>
        <v>2200002002</v>
      </c>
      <c r="C11" s="1545" t="s">
        <v>5699</v>
      </c>
      <c r="D11" s="1494"/>
      <c r="E11" s="1543"/>
      <c r="F11" s="1545" t="s">
        <v>84</v>
      </c>
      <c r="G11" s="1495"/>
      <c r="H11" s="1495"/>
      <c r="I11" s="1495" t="s">
        <v>19</v>
      </c>
      <c r="J11" s="1495" t="s">
        <v>101</v>
      </c>
      <c r="K11" s="1600" t="s">
        <v>5954</v>
      </c>
      <c r="L11" s="2357">
        <v>1300</v>
      </c>
      <c r="M11" s="1851" t="s">
        <v>5951</v>
      </c>
      <c r="N11" s="1851"/>
      <c r="O11" s="1862"/>
      <c r="P11" s="2429">
        <v>1</v>
      </c>
      <c r="Q11" s="2150"/>
      <c r="R11" s="1921"/>
      <c r="S11" s="2724"/>
      <c r="T11" s="2725"/>
      <c r="U11" s="2726"/>
      <c r="Y11" s="2659"/>
      <c r="Z11" s="2659"/>
      <c r="AA11" s="2659"/>
    </row>
    <row r="12" spans="1:27" s="2643" customFormat="1" ht="58.5" customHeight="1">
      <c r="A12" s="3749">
        <v>5</v>
      </c>
      <c r="B12" s="1943" t="str">
        <f t="shared" si="0"/>
        <v>2200001997</v>
      </c>
      <c r="C12" s="1921" t="s">
        <v>5955</v>
      </c>
      <c r="D12" s="2607">
        <v>4300</v>
      </c>
      <c r="E12" s="2419" t="s">
        <v>5956</v>
      </c>
      <c r="F12" s="2263" t="s">
        <v>61</v>
      </c>
      <c r="G12" s="1921" t="s">
        <v>5957</v>
      </c>
      <c r="H12" s="1921"/>
      <c r="I12" s="2187" t="s">
        <v>19</v>
      </c>
      <c r="J12" s="1921" t="s">
        <v>1138</v>
      </c>
      <c r="K12" s="1845" t="s">
        <v>5958</v>
      </c>
      <c r="L12" s="2583">
        <v>2600</v>
      </c>
      <c r="M12" s="1851" t="s">
        <v>5951</v>
      </c>
      <c r="N12" s="1851"/>
      <c r="O12" s="1775"/>
      <c r="P12" s="2429">
        <v>1</v>
      </c>
      <c r="Q12" s="2150"/>
      <c r="R12" s="1921"/>
      <c r="S12" s="2724"/>
      <c r="T12" s="2725"/>
      <c r="U12" s="2726"/>
      <c r="Y12" s="2659"/>
      <c r="Z12" s="2659"/>
      <c r="AA12" s="2659"/>
    </row>
    <row r="13" spans="1:27" s="2643" customFormat="1" ht="58.5" customHeight="1">
      <c r="A13" s="3751"/>
      <c r="B13" s="1943" t="str">
        <f t="shared" si="0"/>
        <v>2200001998</v>
      </c>
      <c r="C13" s="1493" t="s">
        <v>3556</v>
      </c>
      <c r="D13" s="1494"/>
      <c r="E13" s="1900"/>
      <c r="F13" s="1545" t="s">
        <v>61</v>
      </c>
      <c r="G13" s="1495"/>
      <c r="H13" s="1921"/>
      <c r="I13" s="1543" t="s">
        <v>19</v>
      </c>
      <c r="J13" s="1495" t="s">
        <v>1138</v>
      </c>
      <c r="K13" s="1600" t="s">
        <v>5959</v>
      </c>
      <c r="L13" s="2583">
        <v>673</v>
      </c>
      <c r="M13" s="1851" t="s">
        <v>5951</v>
      </c>
      <c r="N13" s="1851"/>
      <c r="O13" s="1775"/>
      <c r="P13" s="2429">
        <v>1</v>
      </c>
      <c r="Q13" s="2150"/>
      <c r="R13" s="1921"/>
      <c r="S13" s="2724"/>
      <c r="T13" s="2725"/>
      <c r="U13" s="2726"/>
      <c r="Y13" s="2659"/>
      <c r="Z13" s="2659"/>
      <c r="AA13" s="2659"/>
    </row>
    <row r="14" spans="1:27" s="2643" customFormat="1" ht="54.75" customHeight="1">
      <c r="A14" s="3751"/>
      <c r="B14" s="1568" t="str">
        <f t="shared" si="0"/>
        <v>2200001982</v>
      </c>
      <c r="C14" s="1493" t="s">
        <v>3556</v>
      </c>
      <c r="D14" s="1494"/>
      <c r="E14" s="1900"/>
      <c r="F14" s="1545" t="s">
        <v>61</v>
      </c>
      <c r="G14" s="1495"/>
      <c r="H14" s="1495"/>
      <c r="I14" s="1495" t="s">
        <v>19</v>
      </c>
      <c r="J14" s="1495" t="s">
        <v>1138</v>
      </c>
      <c r="K14" s="1600" t="s">
        <v>5960</v>
      </c>
      <c r="L14" s="2357">
        <v>329</v>
      </c>
      <c r="M14" s="1748" t="s">
        <v>5961</v>
      </c>
      <c r="N14" s="1495"/>
      <c r="O14" s="1843"/>
      <c r="P14" s="1790">
        <v>1</v>
      </c>
      <c r="Q14" s="1548"/>
      <c r="R14" s="1548"/>
      <c r="S14" s="1548"/>
      <c r="T14" s="1548"/>
      <c r="U14" s="1548"/>
      <c r="V14" s="1548"/>
      <c r="W14" s="1467"/>
      <c r="X14" s="1467"/>
      <c r="Y14" s="1467"/>
      <c r="Z14" s="1467"/>
      <c r="AA14" s="1467"/>
    </row>
    <row r="15" spans="1:27" s="2643" customFormat="1" ht="60.75" customHeight="1">
      <c r="A15" s="3750"/>
      <c r="B15" s="1943" t="str">
        <f>TEXT(LEFT(K15,10),"0000000000")</f>
        <v>2200001999</v>
      </c>
      <c r="C15" s="1493" t="s">
        <v>3556</v>
      </c>
      <c r="D15" s="1494"/>
      <c r="E15" s="1900"/>
      <c r="F15" s="1545" t="s">
        <v>61</v>
      </c>
      <c r="G15" s="1495"/>
      <c r="H15" s="1495"/>
      <c r="I15" s="1495" t="s">
        <v>19</v>
      </c>
      <c r="J15" s="1495" t="s">
        <v>1138</v>
      </c>
      <c r="K15" s="1600" t="s">
        <v>5962</v>
      </c>
      <c r="L15" s="2583">
        <v>663</v>
      </c>
      <c r="M15" s="1851" t="s">
        <v>5951</v>
      </c>
      <c r="N15" s="1851"/>
      <c r="O15" s="1775"/>
      <c r="P15" s="2429">
        <v>1</v>
      </c>
      <c r="Q15" s="2150"/>
      <c r="R15" s="1921"/>
      <c r="S15" s="2724"/>
      <c r="T15" s="2725"/>
      <c r="U15" s="2726"/>
      <c r="Y15" s="2659"/>
      <c r="Z15" s="2659"/>
      <c r="AA15" s="2659"/>
    </row>
    <row r="16" spans="1:27" s="2643" customFormat="1" ht="66" customHeight="1">
      <c r="A16" s="2723">
        <v>6</v>
      </c>
      <c r="B16" s="1900" t="str">
        <f>TEXT(LEFT(K16,10),"0000000000")</f>
        <v>2000002972</v>
      </c>
      <c r="C16" s="2263" t="s">
        <v>82</v>
      </c>
      <c r="D16" s="2201">
        <v>4250</v>
      </c>
      <c r="E16" s="2187" t="s">
        <v>5963</v>
      </c>
      <c r="F16" s="2263" t="s">
        <v>84</v>
      </c>
      <c r="G16" s="1921" t="s">
        <v>5964</v>
      </c>
      <c r="H16" s="1921"/>
      <c r="I16" s="1921" t="s">
        <v>19</v>
      </c>
      <c r="J16" s="1921" t="s">
        <v>123</v>
      </c>
      <c r="K16" s="1845" t="s">
        <v>5965</v>
      </c>
      <c r="L16" s="2583">
        <v>4250</v>
      </c>
      <c r="M16" s="2196" t="s">
        <v>5937</v>
      </c>
      <c r="N16" s="1495"/>
      <c r="O16" s="2429"/>
      <c r="P16" s="2429">
        <v>1</v>
      </c>
      <c r="Q16" s="1902"/>
      <c r="R16" s="1921">
        <v>2000002972</v>
      </c>
      <c r="S16" s="2720" t="e">
        <f>VLOOKUP(R16,#REF!,2,0)</f>
        <v>#REF!</v>
      </c>
      <c r="T16" s="2720" t="e">
        <f>VLOOKUP(R16,#REF!,3,0)</f>
        <v>#REF!</v>
      </c>
      <c r="U16" s="2721" t="e">
        <f>S16-T16</f>
        <v>#REF!</v>
      </c>
      <c r="Y16" s="2659"/>
      <c r="Z16" s="2659"/>
      <c r="AA16" s="2659"/>
    </row>
    <row r="17" spans="1:27" s="1467" customFormat="1" ht="58.5" customHeight="1">
      <c r="A17" s="3744">
        <v>7</v>
      </c>
      <c r="B17" s="1900" t="str">
        <f t="shared" si="0"/>
        <v>2200001996</v>
      </c>
      <c r="C17" s="2263" t="s">
        <v>71</v>
      </c>
      <c r="D17" s="2456">
        <v>3720</v>
      </c>
      <c r="E17" s="2187" t="s">
        <v>5966</v>
      </c>
      <c r="F17" s="2263" t="s">
        <v>84</v>
      </c>
      <c r="G17" s="1921" t="s">
        <v>5967</v>
      </c>
      <c r="H17" s="1921"/>
      <c r="I17" s="1921" t="s">
        <v>19</v>
      </c>
      <c r="J17" s="1921" t="s">
        <v>101</v>
      </c>
      <c r="K17" s="1845" t="s">
        <v>5968</v>
      </c>
      <c r="L17" s="2727">
        <v>475</v>
      </c>
      <c r="M17" s="2160" t="s">
        <v>5953</v>
      </c>
      <c r="N17" s="1875"/>
      <c r="O17" s="1790"/>
      <c r="P17" s="1790">
        <v>1</v>
      </c>
      <c r="Q17" s="1493"/>
      <c r="R17" s="1495">
        <v>2200001996</v>
      </c>
      <c r="S17" s="2720" t="e">
        <f>VLOOKUP(R17,#REF!,2,0)</f>
        <v>#REF!</v>
      </c>
      <c r="T17" s="2720" t="e">
        <f>VLOOKUP(R17,#REF!,3,0)</f>
        <v>#REF!</v>
      </c>
      <c r="U17" s="2721" t="e">
        <f>S17-T17</f>
        <v>#REF!</v>
      </c>
      <c r="Y17" s="1474"/>
      <c r="Z17" s="1474"/>
      <c r="AA17" s="1474"/>
    </row>
    <row r="18" spans="1:27" s="1467" customFormat="1" ht="62.25" customHeight="1">
      <c r="A18" s="3744"/>
      <c r="B18" s="1900" t="str">
        <f t="shared" si="0"/>
        <v>2200002002</v>
      </c>
      <c r="C18" s="1545" t="s">
        <v>71</v>
      </c>
      <c r="D18" s="2456"/>
      <c r="E18" s="2187"/>
      <c r="F18" s="1545" t="s">
        <v>84</v>
      </c>
      <c r="G18" s="2187"/>
      <c r="H18" s="2187"/>
      <c r="I18" s="1495" t="s">
        <v>19</v>
      </c>
      <c r="J18" s="1495" t="s">
        <v>101</v>
      </c>
      <c r="K18" s="1600" t="s">
        <v>5969</v>
      </c>
      <c r="L18" s="2357">
        <v>200</v>
      </c>
      <c r="M18" s="1872" t="s">
        <v>5951</v>
      </c>
      <c r="N18" s="1495"/>
      <c r="O18" s="2040"/>
      <c r="P18" s="1790">
        <v>1</v>
      </c>
      <c r="Q18" s="1545"/>
      <c r="R18" s="1543"/>
      <c r="S18" s="2720"/>
      <c r="T18" s="2720"/>
      <c r="U18" s="2721"/>
      <c r="Y18" s="1474"/>
      <c r="Z18" s="1474"/>
      <c r="AA18" s="1474"/>
    </row>
    <row r="19" spans="1:27" s="1467" customFormat="1" ht="58.5" customHeight="1">
      <c r="A19" s="3744"/>
      <c r="B19" s="1900" t="str">
        <f t="shared" si="0"/>
        <v>2000002971</v>
      </c>
      <c r="C19" s="1545" t="s">
        <v>71</v>
      </c>
      <c r="D19" s="2456"/>
      <c r="E19" s="2187"/>
      <c r="F19" s="1545" t="s">
        <v>84</v>
      </c>
      <c r="G19" s="2187"/>
      <c r="H19" s="2187"/>
      <c r="I19" s="1495" t="s">
        <v>19</v>
      </c>
      <c r="J19" s="1495" t="s">
        <v>123</v>
      </c>
      <c r="K19" s="1600" t="s">
        <v>5970</v>
      </c>
      <c r="L19" s="2357">
        <v>114</v>
      </c>
      <c r="M19" s="1872" t="s">
        <v>5971</v>
      </c>
      <c r="N19" s="1495"/>
      <c r="O19" s="2040"/>
      <c r="P19" s="1790">
        <v>1</v>
      </c>
      <c r="Q19" s="1545"/>
      <c r="R19" s="1543"/>
      <c r="S19" s="2720"/>
      <c r="T19" s="2720"/>
      <c r="U19" s="2721"/>
      <c r="Y19" s="1474"/>
      <c r="Z19" s="1474"/>
      <c r="AA19" s="1474"/>
    </row>
    <row r="20" spans="1:27" s="1467" customFormat="1" ht="58.5" customHeight="1">
      <c r="A20" s="3744"/>
      <c r="B20" s="1900" t="str">
        <f t="shared" si="0"/>
        <v>2000002966</v>
      </c>
      <c r="C20" s="1545" t="s">
        <v>71</v>
      </c>
      <c r="D20" s="2456"/>
      <c r="E20" s="2187"/>
      <c r="F20" s="1545" t="s">
        <v>84</v>
      </c>
      <c r="G20" s="2187"/>
      <c r="H20" s="2187"/>
      <c r="I20" s="1495" t="s">
        <v>19</v>
      </c>
      <c r="J20" s="1495" t="s">
        <v>123</v>
      </c>
      <c r="K20" s="1600" t="s">
        <v>5972</v>
      </c>
      <c r="L20" s="2357">
        <v>210</v>
      </c>
      <c r="M20" s="1872" t="s">
        <v>5971</v>
      </c>
      <c r="N20" s="1495"/>
      <c r="O20" s="2040"/>
      <c r="P20" s="1790">
        <v>1</v>
      </c>
      <c r="Q20" s="1545"/>
      <c r="R20" s="1543"/>
      <c r="S20" s="2720"/>
      <c r="T20" s="2720"/>
      <c r="U20" s="2721"/>
      <c r="Y20" s="1474"/>
      <c r="Z20" s="1474"/>
      <c r="AA20" s="1474"/>
    </row>
    <row r="21" spans="1:27" s="1467" customFormat="1" ht="72" customHeight="1">
      <c r="A21" s="3744"/>
      <c r="B21" s="1900" t="str">
        <f t="shared" si="0"/>
        <v>2000002885</v>
      </c>
      <c r="C21" s="1545" t="s">
        <v>71</v>
      </c>
      <c r="D21" s="2456"/>
      <c r="E21" s="2187"/>
      <c r="F21" s="1545" t="s">
        <v>84</v>
      </c>
      <c r="G21" s="2187"/>
      <c r="H21" s="2187"/>
      <c r="I21" s="1495" t="s">
        <v>19</v>
      </c>
      <c r="J21" s="1495" t="s">
        <v>123</v>
      </c>
      <c r="K21" s="1600" t="s">
        <v>5973</v>
      </c>
      <c r="L21" s="2357">
        <v>300</v>
      </c>
      <c r="M21" s="2496" t="s">
        <v>5974</v>
      </c>
      <c r="N21" s="1495"/>
      <c r="O21" s="2040"/>
      <c r="P21" s="1790">
        <v>1</v>
      </c>
      <c r="Q21" s="1545"/>
      <c r="R21" s="1543">
        <v>2000002885</v>
      </c>
      <c r="S21" s="2720" t="e">
        <f>VLOOKUP(R21,#REF!,2,0)</f>
        <v>#REF!</v>
      </c>
      <c r="T21" s="2720" t="e">
        <f>VLOOKUP(R21,#REF!,3,0)</f>
        <v>#REF!</v>
      </c>
      <c r="U21" s="2721" t="e">
        <f>S21-T21</f>
        <v>#REF!</v>
      </c>
      <c r="Y21" s="1474"/>
      <c r="Z21" s="1474"/>
      <c r="AA21" s="1474"/>
    </row>
    <row r="22" spans="1:27" s="2643" customFormat="1" ht="56.25" customHeight="1">
      <c r="A22" s="3744"/>
      <c r="B22" s="1568" t="str">
        <f t="shared" ref="B22" si="1">TEXT(LEFT(K22,10),"0000000000")</f>
        <v>2000002972</v>
      </c>
      <c r="C22" s="1493" t="s">
        <v>71</v>
      </c>
      <c r="D22" s="2607"/>
      <c r="E22" s="1921"/>
      <c r="F22" s="1493" t="s">
        <v>84</v>
      </c>
      <c r="G22" s="1921"/>
      <c r="H22" s="1495"/>
      <c r="I22" s="1495" t="s">
        <v>19</v>
      </c>
      <c r="J22" s="1495" t="s">
        <v>123</v>
      </c>
      <c r="K22" s="1600" t="s">
        <v>5975</v>
      </c>
      <c r="L22" s="2357">
        <v>1700</v>
      </c>
      <c r="M22" s="2196" t="s">
        <v>5945</v>
      </c>
      <c r="N22" s="1946"/>
      <c r="O22" s="2627"/>
      <c r="P22" s="2429">
        <v>1</v>
      </c>
      <c r="Q22" s="2127"/>
      <c r="R22" s="2187">
        <v>2000002972</v>
      </c>
      <c r="S22" s="2724" t="e">
        <f>VLOOKUP(R22,#REF!,2,0)</f>
        <v>#REF!</v>
      </c>
      <c r="T22" s="2724" t="e">
        <f>VLOOKUP(R22,#REF!,3,0)</f>
        <v>#REF!</v>
      </c>
      <c r="U22" s="2721" t="e">
        <f>S22-T22</f>
        <v>#REF!</v>
      </c>
      <c r="V22" s="2127"/>
      <c r="W22" s="2308"/>
      <c r="X22" s="2127"/>
      <c r="Y22" s="2263"/>
      <c r="Z22" s="2263"/>
      <c r="AA22" s="2263"/>
    </row>
    <row r="23" spans="1:27" s="1467" customFormat="1" ht="58.5" customHeight="1">
      <c r="A23" s="3744"/>
      <c r="B23" s="1946" t="str">
        <f t="shared" ref="B23:B24" si="2">TEXT(LEFT(K23,10),"0000000000")</f>
        <v>2000002898</v>
      </c>
      <c r="C23" s="1869" t="s">
        <v>71</v>
      </c>
      <c r="D23" s="2743"/>
      <c r="E23" s="1875"/>
      <c r="F23" s="1869" t="s">
        <v>84</v>
      </c>
      <c r="G23" s="1875"/>
      <c r="H23" s="1875"/>
      <c r="I23" s="1851" t="s">
        <v>19</v>
      </c>
      <c r="J23" s="1851" t="s">
        <v>5976</v>
      </c>
      <c r="K23" s="1497" t="s">
        <v>5977</v>
      </c>
      <c r="L23" s="2361">
        <v>367</v>
      </c>
      <c r="M23" s="1872" t="s">
        <v>5978</v>
      </c>
      <c r="N23" s="1495"/>
      <c r="O23" s="2728"/>
      <c r="P23" s="1790">
        <v>1</v>
      </c>
      <c r="Q23" s="1559"/>
      <c r="R23" s="1543"/>
      <c r="S23" s="2729"/>
      <c r="T23" s="2729"/>
      <c r="U23" s="2730"/>
      <c r="V23" s="1559"/>
      <c r="W23" s="1747"/>
      <c r="X23" s="1559"/>
      <c r="Y23" s="1545"/>
      <c r="Z23" s="1545"/>
      <c r="AA23" s="1545"/>
    </row>
    <row r="24" spans="1:27" s="1467" customFormat="1" ht="58.5" customHeight="1">
      <c r="A24" s="3749"/>
      <c r="B24" s="1900" t="str">
        <f t="shared" si="2"/>
        <v>2000002900</v>
      </c>
      <c r="C24" s="2761" t="s">
        <v>71</v>
      </c>
      <c r="D24" s="1494"/>
      <c r="E24" s="1495"/>
      <c r="F24" s="1493" t="s">
        <v>84</v>
      </c>
      <c r="G24" s="1495"/>
      <c r="H24" s="1900"/>
      <c r="I24" s="1495" t="s">
        <v>19</v>
      </c>
      <c r="J24" s="1495" t="s">
        <v>5976</v>
      </c>
      <c r="K24" s="1600" t="s">
        <v>5979</v>
      </c>
      <c r="L24" s="2357">
        <v>421</v>
      </c>
      <c r="M24" s="1495" t="s">
        <v>5978</v>
      </c>
      <c r="N24" s="1875"/>
      <c r="O24" s="2544"/>
      <c r="P24" s="1790">
        <v>1</v>
      </c>
      <c r="Q24" s="1559"/>
      <c r="R24" s="1543"/>
      <c r="S24" s="2729"/>
      <c r="T24" s="2729"/>
      <c r="U24" s="2730"/>
      <c r="V24" s="1559"/>
      <c r="W24" s="1747"/>
      <c r="X24" s="1559"/>
      <c r="Y24" s="1545"/>
      <c r="Z24" s="1545"/>
      <c r="AA24" s="1545"/>
    </row>
    <row r="25" spans="1:27" s="1467" customFormat="1" ht="43.5" customHeight="1">
      <c r="A25" s="2582">
        <v>8</v>
      </c>
      <c r="B25" s="1568" t="str">
        <f>TEXT(LEFT(K25,10),"0000000000")</f>
        <v>2200001981</v>
      </c>
      <c r="C25" s="1902" t="s">
        <v>211</v>
      </c>
      <c r="D25" s="2585">
        <v>3950</v>
      </c>
      <c r="E25" s="2118" t="s">
        <v>5980</v>
      </c>
      <c r="F25" s="2391" t="s">
        <v>61</v>
      </c>
      <c r="G25" s="2118" t="s">
        <v>5981</v>
      </c>
      <c r="H25" s="1921"/>
      <c r="I25" s="1921" t="s">
        <v>19</v>
      </c>
      <c r="J25" s="1921" t="s">
        <v>959</v>
      </c>
      <c r="K25" s="1845" t="s">
        <v>5982</v>
      </c>
      <c r="L25" s="2583">
        <v>4000</v>
      </c>
      <c r="M25" s="2196" t="s">
        <v>5945</v>
      </c>
      <c r="N25" s="1495" t="s">
        <v>5983</v>
      </c>
      <c r="O25" s="1775"/>
      <c r="P25" s="2429">
        <v>1</v>
      </c>
      <c r="Q25" s="2150"/>
      <c r="R25" s="1921">
        <v>2200001981</v>
      </c>
      <c r="S25" s="2724" t="e">
        <f>VLOOKUP(R25,#REF!,2,0)</f>
        <v>#REF!</v>
      </c>
      <c r="T25" s="2724" t="e">
        <f>VLOOKUP(R25,#REF!,3,0)</f>
        <v>#REF!</v>
      </c>
      <c r="U25" s="2721" t="e">
        <f>S25-T25</f>
        <v>#REF!</v>
      </c>
      <c r="V25" s="2643"/>
      <c r="W25" s="2643"/>
      <c r="X25" s="2643"/>
      <c r="Y25" s="2659"/>
      <c r="Z25" s="2659"/>
      <c r="AA25" s="2659"/>
    </row>
    <row r="26" spans="1:27" s="1467" customFormat="1" ht="48" customHeight="1">
      <c r="A26" s="3749">
        <v>9</v>
      </c>
      <c r="B26" s="2055" t="str">
        <f>TEXT(LEFT(K26,10),"0000000000")</f>
        <v>2000002934</v>
      </c>
      <c r="C26" s="2429" t="s">
        <v>5984</v>
      </c>
      <c r="D26" s="2744">
        <v>4350</v>
      </c>
      <c r="E26" s="1909" t="s">
        <v>5985</v>
      </c>
      <c r="F26" s="2429" t="s">
        <v>61</v>
      </c>
      <c r="G26" s="1909" t="s">
        <v>5986</v>
      </c>
      <c r="H26" s="1909"/>
      <c r="I26" s="1909" t="s">
        <v>19</v>
      </c>
      <c r="J26" s="1909" t="s">
        <v>253</v>
      </c>
      <c r="K26" s="1862" t="s">
        <v>5987</v>
      </c>
      <c r="L26" s="2583">
        <v>3750</v>
      </c>
      <c r="M26" s="2196" t="s">
        <v>5937</v>
      </c>
      <c r="N26" s="1495" t="s">
        <v>5988</v>
      </c>
      <c r="O26" s="1775"/>
      <c r="P26" s="2429">
        <v>1</v>
      </c>
      <c r="Q26" s="2150"/>
      <c r="R26" s="1921">
        <v>2000002934</v>
      </c>
      <c r="S26" s="2724" t="e">
        <f>VLOOKUP(R26,#REF!,2,0)</f>
        <v>#REF!</v>
      </c>
      <c r="T26" s="2724" t="e">
        <f>VLOOKUP(R26,#REF!,3,0)</f>
        <v>#REF!</v>
      </c>
      <c r="U26" s="2721" t="e">
        <f>S26-T26</f>
        <v>#REF!</v>
      </c>
      <c r="V26" s="2643"/>
      <c r="W26" s="2643"/>
      <c r="X26" s="2643"/>
      <c r="Y26" s="2659"/>
      <c r="Z26" s="2659"/>
      <c r="AA26" s="2659"/>
    </row>
    <row r="27" spans="1:27" s="1467" customFormat="1" ht="59.25" customHeight="1">
      <c r="A27" s="3750"/>
      <c r="B27" s="2055" t="str">
        <f>TEXT(LEFT(K27,10),"0000000000")</f>
        <v>2000002954</v>
      </c>
      <c r="C27" s="1790" t="s">
        <v>5984</v>
      </c>
      <c r="D27" s="1870"/>
      <c r="E27" s="1748"/>
      <c r="F27" s="1790" t="s">
        <v>61</v>
      </c>
      <c r="G27" s="1748"/>
      <c r="H27" s="1748"/>
      <c r="I27" s="1748" t="s">
        <v>19</v>
      </c>
      <c r="J27" s="1748" t="s">
        <v>253</v>
      </c>
      <c r="K27" s="1843" t="s">
        <v>5989</v>
      </c>
      <c r="L27" s="2357">
        <v>600</v>
      </c>
      <c r="M27" s="2196" t="s">
        <v>5937</v>
      </c>
      <c r="N27" s="1495"/>
      <c r="O27" s="1495"/>
      <c r="P27" s="1790">
        <v>1</v>
      </c>
      <c r="Q27" s="1548"/>
      <c r="R27" s="1495">
        <v>2000002954</v>
      </c>
      <c r="S27" s="2720" t="e">
        <f>VLOOKUP(R27,#REF!,2,0)</f>
        <v>#REF!</v>
      </c>
      <c r="T27" s="2720" t="e">
        <f>VLOOKUP(R27,#REF!,3,0)</f>
        <v>#REF!</v>
      </c>
      <c r="U27" s="2721" t="e">
        <f>S27-T27</f>
        <v>#REF!</v>
      </c>
      <c r="Y27" s="1474"/>
      <c r="Z27" s="1474"/>
      <c r="AA27" s="1474"/>
    </row>
    <row r="28" spans="1:27" s="1467" customFormat="1" ht="60" customHeight="1">
      <c r="A28" s="3751">
        <v>10</v>
      </c>
      <c r="B28" s="1568" t="str">
        <f t="shared" ref="B28:B36" si="3">TEXT(LEFT(K28,10),"0000000000")</f>
        <v>2000002998</v>
      </c>
      <c r="C28" s="1902" t="s">
        <v>3629</v>
      </c>
      <c r="D28" s="2624">
        <v>23000</v>
      </c>
      <c r="E28" s="1921" t="s">
        <v>5990</v>
      </c>
      <c r="F28" s="1902" t="s">
        <v>3416</v>
      </c>
      <c r="G28" s="1921" t="s">
        <v>5991</v>
      </c>
      <c r="H28" s="1921"/>
      <c r="I28" s="1921" t="s">
        <v>19</v>
      </c>
      <c r="J28" s="1921" t="s">
        <v>123</v>
      </c>
      <c r="K28" s="1911" t="s">
        <v>5992</v>
      </c>
      <c r="L28" s="2746">
        <v>703</v>
      </c>
      <c r="M28" s="2196" t="s">
        <v>5945</v>
      </c>
      <c r="N28" s="1543" t="s">
        <v>5993</v>
      </c>
      <c r="O28" s="1775"/>
      <c r="P28" s="2429">
        <v>1</v>
      </c>
      <c r="Q28" s="2150"/>
      <c r="R28" s="1921" t="s">
        <v>5994</v>
      </c>
      <c r="S28" s="2724" t="e">
        <f>VLOOKUP(R28,#REF!,2,0)</f>
        <v>#REF!</v>
      </c>
      <c r="T28" s="2724" t="e">
        <f>VLOOKUP(R28,#REF!,3,0)</f>
        <v>#REF!</v>
      </c>
      <c r="U28" s="2721" t="e">
        <f t="shared" ref="U28:U29" si="4">S28-T28</f>
        <v>#REF!</v>
      </c>
      <c r="V28" s="2643"/>
      <c r="W28" s="2643"/>
      <c r="X28" s="2643"/>
      <c r="Y28" s="2659"/>
      <c r="Z28" s="2659"/>
      <c r="AA28" s="2659"/>
    </row>
    <row r="29" spans="1:27" s="1467" customFormat="1" ht="60" customHeight="1">
      <c r="A29" s="3751"/>
      <c r="B29" s="1568" t="str">
        <f t="shared" si="3"/>
        <v>2000002972</v>
      </c>
      <c r="C29" s="1493" t="s">
        <v>3629</v>
      </c>
      <c r="D29" s="1826"/>
      <c r="E29" s="1748" t="s">
        <v>5995</v>
      </c>
      <c r="F29" s="1493" t="s">
        <v>3416</v>
      </c>
      <c r="G29" s="1921"/>
      <c r="H29" s="1921"/>
      <c r="I29" s="1495" t="s">
        <v>19</v>
      </c>
      <c r="J29" s="1495" t="s">
        <v>123</v>
      </c>
      <c r="K29" s="1600" t="s">
        <v>5996</v>
      </c>
      <c r="L29" s="2357">
        <v>2130</v>
      </c>
      <c r="M29" s="2196" t="s">
        <v>5945</v>
      </c>
      <c r="N29" s="1495"/>
      <c r="O29" s="1859"/>
      <c r="P29" s="1790">
        <v>1</v>
      </c>
      <c r="Q29" s="1548"/>
      <c r="R29" s="1495">
        <v>2000002932</v>
      </c>
      <c r="S29" s="2720" t="e">
        <f>VLOOKUP(R29,#REF!,2,0)</f>
        <v>#REF!</v>
      </c>
      <c r="T29" s="2720" t="e">
        <f>VLOOKUP(R29,#REF!,3,0)</f>
        <v>#REF!</v>
      </c>
      <c r="U29" s="2721" t="e">
        <f t="shared" si="4"/>
        <v>#REF!</v>
      </c>
      <c r="Y29" s="1474"/>
      <c r="Z29" s="1474"/>
      <c r="AA29" s="1474"/>
    </row>
    <row r="30" spans="1:27" s="1467" customFormat="1" ht="57.75" customHeight="1">
      <c r="A30" s="3751"/>
      <c r="B30" s="1568" t="str">
        <f t="shared" si="3"/>
        <v>2200002004</v>
      </c>
      <c r="C30" s="1493" t="s">
        <v>3629</v>
      </c>
      <c r="D30" s="1826"/>
      <c r="E30" s="1748"/>
      <c r="F30" s="1493" t="s">
        <v>3416</v>
      </c>
      <c r="G30" s="1921"/>
      <c r="H30" s="1921"/>
      <c r="I30" s="1495" t="s">
        <v>19</v>
      </c>
      <c r="J30" s="1495" t="s">
        <v>123</v>
      </c>
      <c r="K30" s="1605" t="s">
        <v>5997</v>
      </c>
      <c r="L30" s="2747">
        <v>921</v>
      </c>
      <c r="M30" s="2196" t="s">
        <v>5945</v>
      </c>
      <c r="N30" s="1495"/>
      <c r="O30" s="1859"/>
      <c r="P30" s="1790">
        <v>1</v>
      </c>
      <c r="Q30" s="1548"/>
      <c r="R30" s="1495">
        <v>2200002004</v>
      </c>
      <c r="S30" s="2720" t="e">
        <f>VLOOKUP(R30,#REF!,2,0)</f>
        <v>#REF!</v>
      </c>
      <c r="T30" s="2720" t="e">
        <f>VLOOKUP(R30,#REF!,3,0)</f>
        <v>#REF!</v>
      </c>
      <c r="U30" s="2721" t="e">
        <f>S30-T30</f>
        <v>#REF!</v>
      </c>
      <c r="Y30" s="1474"/>
      <c r="Z30" s="1474"/>
      <c r="AA30" s="1474"/>
    </row>
    <row r="31" spans="1:27" s="1467" customFormat="1" ht="49.5" customHeight="1">
      <c r="A31" s="3751"/>
      <c r="B31" s="1568" t="str">
        <f t="shared" si="3"/>
        <v>2200002005</v>
      </c>
      <c r="C31" s="1493" t="s">
        <v>3629</v>
      </c>
      <c r="D31" s="1826"/>
      <c r="E31" s="1748"/>
      <c r="F31" s="1493" t="s">
        <v>3416</v>
      </c>
      <c r="G31" s="1921"/>
      <c r="H31" s="1921"/>
      <c r="I31" s="1495" t="s">
        <v>19</v>
      </c>
      <c r="J31" s="1495" t="s">
        <v>123</v>
      </c>
      <c r="K31" s="1605" t="s">
        <v>5998</v>
      </c>
      <c r="L31" s="2747">
        <v>494</v>
      </c>
      <c r="M31" s="2748" t="s">
        <v>5999</v>
      </c>
      <c r="N31" s="1495"/>
      <c r="O31" s="1859"/>
      <c r="P31" s="1790">
        <v>1</v>
      </c>
      <c r="Q31" s="1548"/>
      <c r="R31" s="1495"/>
      <c r="S31" s="2720"/>
      <c r="T31" s="2720"/>
      <c r="U31" s="2721"/>
      <c r="Y31" s="1474"/>
      <c r="Z31" s="1474"/>
      <c r="AA31" s="1474"/>
    </row>
    <row r="32" spans="1:27" s="1467" customFormat="1" ht="50.25" customHeight="1">
      <c r="A32" s="3751"/>
      <c r="B32" s="1568" t="str">
        <f t="shared" si="3"/>
        <v>2000002969</v>
      </c>
      <c r="C32" s="1493" t="s">
        <v>3629</v>
      </c>
      <c r="D32" s="1494"/>
      <c r="E32" s="1495"/>
      <c r="F32" s="1493" t="s">
        <v>3416</v>
      </c>
      <c r="G32" s="1495"/>
      <c r="H32" s="1495"/>
      <c r="I32" s="1543" t="s">
        <v>19</v>
      </c>
      <c r="J32" s="1543" t="s">
        <v>63</v>
      </c>
      <c r="K32" s="1605" t="s">
        <v>6000</v>
      </c>
      <c r="L32" s="2747">
        <v>7003</v>
      </c>
      <c r="M32" s="2748" t="s">
        <v>5961</v>
      </c>
      <c r="N32" s="1495"/>
      <c r="O32" s="1859"/>
      <c r="P32" s="1790">
        <v>1</v>
      </c>
      <c r="Q32" s="1548"/>
      <c r="R32" s="1495"/>
      <c r="S32" s="1495"/>
      <c r="T32" s="1495"/>
      <c r="U32" s="1909"/>
      <c r="V32" s="1548"/>
      <c r="W32" s="1548"/>
      <c r="X32" s="1548"/>
      <c r="Y32" s="1493"/>
      <c r="Z32" s="1493"/>
      <c r="AA32" s="1493"/>
    </row>
    <row r="33" spans="1:27" s="1467" customFormat="1" ht="57.75" customHeight="1">
      <c r="A33" s="3751"/>
      <c r="B33" s="1568" t="str">
        <f t="shared" si="3"/>
        <v>2000002937</v>
      </c>
      <c r="C33" s="1493" t="s">
        <v>3629</v>
      </c>
      <c r="D33" s="1494"/>
      <c r="E33" s="1495"/>
      <c r="F33" s="1493" t="s">
        <v>3416</v>
      </c>
      <c r="G33" s="1495" t="s">
        <v>222</v>
      </c>
      <c r="H33" s="1495"/>
      <c r="I33" s="1543" t="s">
        <v>19</v>
      </c>
      <c r="J33" s="1495" t="s">
        <v>63</v>
      </c>
      <c r="K33" s="1600" t="s">
        <v>6001</v>
      </c>
      <c r="L33" s="2357">
        <v>3186</v>
      </c>
      <c r="M33" s="2196" t="s">
        <v>5945</v>
      </c>
      <c r="N33" s="1495"/>
      <c r="O33" s="1859"/>
      <c r="P33" s="1790">
        <v>1</v>
      </c>
      <c r="Q33" s="1548"/>
      <c r="R33" s="1495">
        <v>2000002937</v>
      </c>
      <c r="S33" s="2720" t="e">
        <f>VLOOKUP(R33,#REF!,2,0)</f>
        <v>#REF!</v>
      </c>
      <c r="T33" s="2720" t="e">
        <f>VLOOKUP(R33,#REF!,3,0)</f>
        <v>#REF!</v>
      </c>
      <c r="U33" s="2721" t="e">
        <f>S33-T33</f>
        <v>#REF!</v>
      </c>
      <c r="V33" s="1548"/>
      <c r="W33" s="1548"/>
      <c r="X33" s="1548"/>
      <c r="Y33" s="1493"/>
      <c r="Z33" s="1493"/>
      <c r="AA33" s="1493"/>
    </row>
    <row r="34" spans="1:27" s="1467" customFormat="1" ht="52.5" customHeight="1">
      <c r="A34" s="3751"/>
      <c r="B34" s="1568" t="str">
        <f>TEXT(LEFT(K34,10),"0000000000")</f>
        <v>2000002994</v>
      </c>
      <c r="C34" s="1493" t="s">
        <v>3629</v>
      </c>
      <c r="D34" s="1494"/>
      <c r="E34" s="1495"/>
      <c r="F34" s="1493" t="s">
        <v>3416</v>
      </c>
      <c r="G34" s="1543"/>
      <c r="H34" s="1543"/>
      <c r="I34" s="1495" t="s">
        <v>19</v>
      </c>
      <c r="J34" s="1495" t="s">
        <v>63</v>
      </c>
      <c r="K34" s="1600" t="s">
        <v>6002</v>
      </c>
      <c r="L34" s="2357">
        <v>6200</v>
      </c>
      <c r="M34" s="2196" t="s">
        <v>5945</v>
      </c>
      <c r="N34" s="1495"/>
      <c r="O34" s="2544"/>
      <c r="P34" s="1790">
        <v>1</v>
      </c>
      <c r="Q34" s="1559"/>
      <c r="R34" s="1543">
        <v>2000002994</v>
      </c>
      <c r="S34" s="2720" t="e">
        <f>VLOOKUP(R34,#REF!,2,0)</f>
        <v>#REF!</v>
      </c>
      <c r="T34" s="2720" t="e">
        <f>VLOOKUP(R34,#REF!,3,0)</f>
        <v>#REF!</v>
      </c>
      <c r="U34" s="2721" t="e">
        <f t="shared" ref="U34:U36" si="5">S34-T34</f>
        <v>#REF!</v>
      </c>
      <c r="V34" s="1559"/>
      <c r="W34" s="1747"/>
      <c r="X34" s="1559"/>
      <c r="Y34" s="1545"/>
      <c r="Z34" s="1545"/>
      <c r="AA34" s="1545"/>
    </row>
    <row r="35" spans="1:27" s="1467" customFormat="1" ht="50.25" customHeight="1">
      <c r="A35" s="3751"/>
      <c r="B35" s="1568" t="str">
        <f t="shared" si="3"/>
        <v>2000003006</v>
      </c>
      <c r="C35" s="1493" t="s">
        <v>3629</v>
      </c>
      <c r="D35" s="1494"/>
      <c r="E35" s="1495"/>
      <c r="F35" s="1493" t="s">
        <v>3416</v>
      </c>
      <c r="G35" s="1543"/>
      <c r="H35" s="1543"/>
      <c r="I35" s="1495" t="s">
        <v>19</v>
      </c>
      <c r="J35" s="1495" t="s">
        <v>63</v>
      </c>
      <c r="K35" s="1600" t="s">
        <v>6003</v>
      </c>
      <c r="L35" s="2357">
        <v>2000</v>
      </c>
      <c r="M35" s="2196" t="s">
        <v>5945</v>
      </c>
      <c r="N35" s="1543"/>
      <c r="O35" s="2544"/>
      <c r="P35" s="1790">
        <v>1</v>
      </c>
      <c r="Q35" s="1559"/>
      <c r="R35" s="1543"/>
      <c r="S35" s="2720"/>
      <c r="T35" s="2720"/>
      <c r="U35" s="2721"/>
      <c r="V35" s="1559"/>
      <c r="W35" s="1747"/>
      <c r="X35" s="1559"/>
      <c r="Y35" s="1545"/>
      <c r="Z35" s="1545"/>
      <c r="AA35" s="1545"/>
    </row>
    <row r="36" spans="1:27" s="1467" customFormat="1" ht="84.75" customHeight="1">
      <c r="A36" s="3750"/>
      <c r="B36" s="1568" t="str">
        <f t="shared" si="3"/>
        <v>2000002951</v>
      </c>
      <c r="C36" s="1493" t="s">
        <v>3629</v>
      </c>
      <c r="D36" s="1494"/>
      <c r="E36" s="1495"/>
      <c r="F36" s="1493" t="s">
        <v>3416</v>
      </c>
      <c r="G36" s="1543"/>
      <c r="H36" s="1543"/>
      <c r="I36" s="1495" t="s">
        <v>19</v>
      </c>
      <c r="J36" s="1495" t="s">
        <v>63</v>
      </c>
      <c r="K36" s="1600" t="s">
        <v>6004</v>
      </c>
      <c r="L36" s="2357">
        <v>396</v>
      </c>
      <c r="M36" s="2196" t="s">
        <v>6005</v>
      </c>
      <c r="N36" s="1543"/>
      <c r="O36" s="2544"/>
      <c r="P36" s="1790">
        <v>1</v>
      </c>
      <c r="Q36" s="1559"/>
      <c r="R36" s="1543">
        <v>2000002951</v>
      </c>
      <c r="S36" s="2720" t="e">
        <f>VLOOKUP(R36,#REF!,2,0)</f>
        <v>#REF!</v>
      </c>
      <c r="T36" s="2720" t="e">
        <f>VLOOKUP(R36,#REF!,3,0)</f>
        <v>#REF!</v>
      </c>
      <c r="U36" s="2721" t="e">
        <f t="shared" si="5"/>
        <v>#REF!</v>
      </c>
      <c r="V36" s="1559"/>
      <c r="W36" s="1747"/>
      <c r="X36" s="1559"/>
      <c r="Y36" s="1545"/>
      <c r="Z36" s="1545"/>
      <c r="AA36" s="1545"/>
    </row>
    <row r="37" spans="1:27" s="1467" customFormat="1" ht="54" customHeight="1">
      <c r="A37" s="3744">
        <v>11</v>
      </c>
      <c r="B37" s="1568" t="str">
        <f t="shared" ref="B37:B46" si="6">TEXT(LEFT(K37,10),"0000000000")</f>
        <v>2200001992</v>
      </c>
      <c r="C37" s="1902" t="s">
        <v>3957</v>
      </c>
      <c r="D37" s="2201">
        <v>12700</v>
      </c>
      <c r="E37" s="1921" t="s">
        <v>6006</v>
      </c>
      <c r="F37" s="1902" t="s">
        <v>16</v>
      </c>
      <c r="G37" s="1921" t="s">
        <v>6007</v>
      </c>
      <c r="H37" s="1921"/>
      <c r="I37" s="1921" t="s">
        <v>19</v>
      </c>
      <c r="J37" s="1921" t="s">
        <v>1138</v>
      </c>
      <c r="K37" s="1845" t="s">
        <v>6008</v>
      </c>
      <c r="L37" s="2727">
        <v>2242</v>
      </c>
      <c r="M37" s="2200" t="s">
        <v>5953</v>
      </c>
      <c r="N37" s="1495" t="s">
        <v>6009</v>
      </c>
      <c r="O37" s="2749"/>
      <c r="P37" s="1790">
        <v>1</v>
      </c>
      <c r="Q37" s="1493"/>
      <c r="R37" s="1495">
        <v>2200001992</v>
      </c>
      <c r="S37" s="2720" t="e">
        <f>VLOOKUP(R37,#REF!,2,0)</f>
        <v>#REF!</v>
      </c>
      <c r="T37" s="2720" t="e">
        <f>VLOOKUP(R37,#REF!,3,0)</f>
        <v>#REF!</v>
      </c>
      <c r="U37" s="2721" t="e">
        <f>S37-T37</f>
        <v>#REF!</v>
      </c>
      <c r="Y37" s="1474"/>
      <c r="Z37" s="1474"/>
      <c r="AA37" s="1474"/>
    </row>
    <row r="38" spans="1:27" s="1467" customFormat="1" ht="54" customHeight="1">
      <c r="A38" s="3744"/>
      <c r="B38" s="1568" t="str">
        <f t="shared" si="6"/>
        <v>2200001997</v>
      </c>
      <c r="C38" s="1493" t="s">
        <v>3957</v>
      </c>
      <c r="D38" s="2203"/>
      <c r="E38" s="1748" t="s">
        <v>6010</v>
      </c>
      <c r="F38" s="1493" t="s">
        <v>16</v>
      </c>
      <c r="G38" s="1495"/>
      <c r="H38" s="1495"/>
      <c r="I38" s="1495" t="s">
        <v>19</v>
      </c>
      <c r="J38" s="1495" t="s">
        <v>1138</v>
      </c>
      <c r="K38" s="1600" t="s">
        <v>6011</v>
      </c>
      <c r="L38" s="2357">
        <v>638</v>
      </c>
      <c r="M38" s="1851" t="s">
        <v>5951</v>
      </c>
      <c r="N38" s="1851"/>
      <c r="O38" s="1790"/>
      <c r="P38" s="1790">
        <v>1</v>
      </c>
      <c r="Q38" s="1493"/>
      <c r="R38" s="1495"/>
      <c r="S38" s="2720"/>
      <c r="T38" s="2720"/>
      <c r="U38" s="2721"/>
      <c r="Y38" s="1474"/>
      <c r="Z38" s="1474"/>
      <c r="AA38" s="1474"/>
    </row>
    <row r="39" spans="1:27" s="1467" customFormat="1" ht="54" customHeight="1">
      <c r="A39" s="3744"/>
      <c r="B39" s="1568" t="str">
        <f t="shared" si="6"/>
        <v>2200001994</v>
      </c>
      <c r="C39" s="1493" t="s">
        <v>3957</v>
      </c>
      <c r="D39" s="2203"/>
      <c r="E39" s="1495"/>
      <c r="F39" s="1493" t="s">
        <v>16</v>
      </c>
      <c r="G39" s="1495"/>
      <c r="H39" s="1495"/>
      <c r="I39" s="1495" t="s">
        <v>19</v>
      </c>
      <c r="J39" s="1495" t="s">
        <v>1138</v>
      </c>
      <c r="K39" s="1600" t="s">
        <v>6012</v>
      </c>
      <c r="L39" s="2342">
        <v>69</v>
      </c>
      <c r="M39" s="2160" t="s">
        <v>5953</v>
      </c>
      <c r="N39" s="1851"/>
      <c r="O39" s="1790"/>
      <c r="P39" s="1790">
        <v>1</v>
      </c>
      <c r="Q39" s="1493"/>
      <c r="R39" s="1495">
        <v>2200001994</v>
      </c>
      <c r="S39" s="2720" t="e">
        <f>VLOOKUP(R39,#REF!,2,0)</f>
        <v>#REF!</v>
      </c>
      <c r="T39" s="2720" t="e">
        <f>VLOOKUP(R39,#REF!,3,0)</f>
        <v>#REF!</v>
      </c>
      <c r="U39" s="2721" t="e">
        <f>S39-T39</f>
        <v>#REF!</v>
      </c>
      <c r="Y39" s="1474"/>
      <c r="Z39" s="1474"/>
      <c r="AA39" s="1474"/>
    </row>
    <row r="40" spans="1:27" s="1467" customFormat="1" ht="54" customHeight="1">
      <c r="A40" s="3744"/>
      <c r="B40" s="1568" t="str">
        <f t="shared" si="6"/>
        <v>2200001981</v>
      </c>
      <c r="C40" s="1493" t="s">
        <v>3957</v>
      </c>
      <c r="D40" s="2203"/>
      <c r="E40" s="1495"/>
      <c r="F40" s="1493" t="s">
        <v>16</v>
      </c>
      <c r="G40" s="1495"/>
      <c r="H40" s="1495"/>
      <c r="I40" s="1495" t="s">
        <v>19</v>
      </c>
      <c r="J40" s="1495" t="s">
        <v>1138</v>
      </c>
      <c r="K40" s="1600" t="s">
        <v>6013</v>
      </c>
      <c r="L40" s="2342">
        <v>700</v>
      </c>
      <c r="M40" s="1495" t="s">
        <v>6014</v>
      </c>
      <c r="N40" s="1851"/>
      <c r="O40" s="1790"/>
      <c r="P40" s="1790">
        <v>1</v>
      </c>
      <c r="Q40" s="1493"/>
      <c r="R40" s="1495">
        <v>2200001981</v>
      </c>
      <c r="S40" s="2720" t="e">
        <f>VLOOKUP(R40,#REF!,2,0)</f>
        <v>#REF!</v>
      </c>
      <c r="T40" s="2720" t="e">
        <f>VLOOKUP(R40,#REF!,3,0)</f>
        <v>#REF!</v>
      </c>
      <c r="U40" s="2721" t="e">
        <f>S40-T40</f>
        <v>#REF!</v>
      </c>
      <c r="Y40" s="1474"/>
      <c r="Z40" s="1474"/>
      <c r="AA40" s="1474"/>
    </row>
    <row r="41" spans="1:27" s="1467" customFormat="1" ht="54" customHeight="1">
      <c r="A41" s="3744"/>
      <c r="B41" s="1568" t="str">
        <f t="shared" si="6"/>
        <v>2000003018</v>
      </c>
      <c r="C41" s="1493" t="s">
        <v>3957</v>
      </c>
      <c r="D41" s="1494"/>
      <c r="E41" s="1495"/>
      <c r="F41" s="1493" t="s">
        <v>16</v>
      </c>
      <c r="G41" s="1495"/>
      <c r="H41" s="1495"/>
      <c r="I41" s="1495" t="s">
        <v>19</v>
      </c>
      <c r="J41" s="1495" t="s">
        <v>1138</v>
      </c>
      <c r="K41" s="1600" t="s">
        <v>6015</v>
      </c>
      <c r="L41" s="2357">
        <v>5000</v>
      </c>
      <c r="M41" s="2196" t="s">
        <v>5945</v>
      </c>
      <c r="N41" s="1495"/>
      <c r="O41" s="1859"/>
      <c r="P41" s="1790">
        <v>1</v>
      </c>
      <c r="Q41" s="1548"/>
      <c r="R41" s="1495" t="s">
        <v>5994</v>
      </c>
      <c r="S41" s="2720" t="e">
        <f>VLOOKUP(R41,#REF!,2,0)</f>
        <v>#REF!</v>
      </c>
      <c r="T41" s="2720" t="e">
        <f>VLOOKUP(R41,#REF!,3,0)</f>
        <v>#REF!</v>
      </c>
      <c r="U41" s="2721" t="e">
        <f>S41-T41</f>
        <v>#REF!</v>
      </c>
      <c r="V41" s="1548"/>
      <c r="W41" s="1548"/>
      <c r="X41" s="1548"/>
      <c r="Y41" s="1493"/>
      <c r="Z41" s="1493"/>
      <c r="AA41" s="1493"/>
    </row>
    <row r="42" spans="1:27" s="1467" customFormat="1" ht="54" customHeight="1">
      <c r="A42" s="3744"/>
      <c r="B42" s="1568" t="str">
        <f t="shared" si="6"/>
        <v>2000002982</v>
      </c>
      <c r="C42" s="1493" t="s">
        <v>3957</v>
      </c>
      <c r="D42" s="2613"/>
      <c r="E42" s="1543"/>
      <c r="F42" s="1493" t="s">
        <v>16</v>
      </c>
      <c r="G42" s="1543"/>
      <c r="H42" s="1543"/>
      <c r="I42" s="1543" t="s">
        <v>19</v>
      </c>
      <c r="J42" s="1495" t="s">
        <v>1138</v>
      </c>
      <c r="K42" s="2693" t="s">
        <v>6016</v>
      </c>
      <c r="L42" s="2610">
        <v>4000</v>
      </c>
      <c r="M42" s="2196" t="s">
        <v>5937</v>
      </c>
      <c r="N42" s="1495"/>
      <c r="O42" s="1859"/>
      <c r="P42" s="1790">
        <v>1</v>
      </c>
      <c r="Q42" s="1548"/>
      <c r="R42" s="1495" t="s">
        <v>5994</v>
      </c>
      <c r="S42" s="2720" t="e">
        <f>VLOOKUP(R42,#REF!,2,0)</f>
        <v>#REF!</v>
      </c>
      <c r="T42" s="2720" t="e">
        <f>VLOOKUP(R42,#REF!,3,0)</f>
        <v>#REF!</v>
      </c>
      <c r="U42" s="2721" t="e">
        <f>S42-T42</f>
        <v>#REF!</v>
      </c>
      <c r="V42" s="1548"/>
    </row>
    <row r="43" spans="1:27" s="1467" customFormat="1" ht="57" customHeight="1">
      <c r="A43" s="3749">
        <v>12</v>
      </c>
      <c r="B43" s="1568" t="str">
        <f t="shared" si="6"/>
        <v>2200002008</v>
      </c>
      <c r="C43" s="1902" t="s">
        <v>3699</v>
      </c>
      <c r="D43" s="2607">
        <v>4370</v>
      </c>
      <c r="E43" s="1921" t="s">
        <v>6017</v>
      </c>
      <c r="F43" s="1902" t="s">
        <v>61</v>
      </c>
      <c r="G43" s="2187" t="s">
        <v>6018</v>
      </c>
      <c r="H43" s="2187"/>
      <c r="I43" s="1921" t="s">
        <v>19</v>
      </c>
      <c r="J43" s="1921" t="s">
        <v>101</v>
      </c>
      <c r="K43" s="1845" t="s">
        <v>6019</v>
      </c>
      <c r="L43" s="2583">
        <v>3757</v>
      </c>
      <c r="M43" s="2196" t="s">
        <v>6020</v>
      </c>
      <c r="N43" s="1543" t="s">
        <v>5988</v>
      </c>
      <c r="O43" s="2544"/>
      <c r="P43" s="1790">
        <v>1</v>
      </c>
      <c r="Q43" s="1559"/>
      <c r="R43" s="1543"/>
      <c r="S43" s="2720"/>
      <c r="T43" s="2720"/>
      <c r="U43" s="2745"/>
      <c r="Y43" s="1474"/>
      <c r="Z43" s="1474"/>
      <c r="AA43" s="1474"/>
    </row>
    <row r="44" spans="1:27" s="1467" customFormat="1" ht="57" customHeight="1">
      <c r="A44" s="3750"/>
      <c r="B44" s="1568" t="str">
        <f t="shared" si="6"/>
        <v>2200002009</v>
      </c>
      <c r="C44" s="1493" t="s">
        <v>3699</v>
      </c>
      <c r="D44" s="1494"/>
      <c r="E44" s="1495"/>
      <c r="F44" s="1493" t="s">
        <v>61</v>
      </c>
      <c r="G44" s="1543"/>
      <c r="H44" s="1543"/>
      <c r="I44" s="1495" t="s">
        <v>19</v>
      </c>
      <c r="J44" s="1495" t="s">
        <v>74</v>
      </c>
      <c r="K44" s="1600" t="s">
        <v>6021</v>
      </c>
      <c r="L44" s="2357">
        <v>613</v>
      </c>
      <c r="M44" s="2196" t="s">
        <v>6022</v>
      </c>
      <c r="N44" s="1543"/>
      <c r="O44" s="2544"/>
      <c r="P44" s="1790">
        <v>1</v>
      </c>
      <c r="Q44" s="1559"/>
      <c r="R44" s="1543"/>
      <c r="S44" s="2720"/>
      <c r="T44" s="2720"/>
      <c r="U44" s="2721"/>
      <c r="Y44" s="1474"/>
      <c r="Z44" s="1474"/>
      <c r="AA44" s="1474"/>
    </row>
    <row r="45" spans="1:27" s="1467" customFormat="1" ht="75.75" customHeight="1">
      <c r="A45" s="2582">
        <v>13</v>
      </c>
      <c r="B45" s="1568" t="str">
        <f t="shared" si="6"/>
        <v>2000002938</v>
      </c>
      <c r="C45" s="1902" t="s">
        <v>4786</v>
      </c>
      <c r="D45" s="2585">
        <v>5800</v>
      </c>
      <c r="E45" s="2118" t="s">
        <v>6023</v>
      </c>
      <c r="F45" s="2401" t="s">
        <v>16</v>
      </c>
      <c r="G45" s="1921" t="s">
        <v>6024</v>
      </c>
      <c r="H45" s="2279"/>
      <c r="I45" s="1921" t="s">
        <v>19</v>
      </c>
      <c r="J45" s="2187" t="s">
        <v>63</v>
      </c>
      <c r="K45" s="1845" t="s">
        <v>6025</v>
      </c>
      <c r="L45" s="2583">
        <v>5800</v>
      </c>
      <c r="M45" s="2196" t="s">
        <v>5937</v>
      </c>
      <c r="N45" s="1543" t="s">
        <v>6026</v>
      </c>
      <c r="O45" s="2565"/>
      <c r="P45" s="2626">
        <v>1</v>
      </c>
      <c r="Q45" s="2127"/>
      <c r="R45" s="1921"/>
      <c r="S45" s="2724"/>
      <c r="T45" s="2724"/>
      <c r="U45" s="2721"/>
      <c r="V45" s="2643"/>
      <c r="W45" s="2643"/>
      <c r="X45" s="2643"/>
      <c r="Y45" s="2643"/>
      <c r="Z45" s="2643"/>
      <c r="AA45" s="2643"/>
    </row>
    <row r="46" spans="1:27" s="1467" customFormat="1" ht="66" customHeight="1">
      <c r="A46" s="2582">
        <v>14</v>
      </c>
      <c r="B46" s="1568" t="str">
        <f t="shared" si="6"/>
        <v>2000002955</v>
      </c>
      <c r="C46" s="1902" t="s">
        <v>3908</v>
      </c>
      <c r="D46" s="2585">
        <v>4300</v>
      </c>
      <c r="E46" s="2118" t="s">
        <v>6027</v>
      </c>
      <c r="F46" s="2391" t="s">
        <v>84</v>
      </c>
      <c r="G46" s="2118" t="s">
        <v>6028</v>
      </c>
      <c r="H46" s="1921"/>
      <c r="I46" s="1921" t="s">
        <v>19</v>
      </c>
      <c r="J46" s="1921" t="s">
        <v>123</v>
      </c>
      <c r="K46" s="1845" t="s">
        <v>6029</v>
      </c>
      <c r="L46" s="2583">
        <v>4340</v>
      </c>
      <c r="M46" s="2196" t="s">
        <v>5945</v>
      </c>
      <c r="N46" s="1543" t="s">
        <v>6030</v>
      </c>
      <c r="O46" s="2565"/>
      <c r="P46" s="2626">
        <v>2</v>
      </c>
      <c r="Q46" s="2127"/>
      <c r="R46" s="1921"/>
      <c r="S46" s="2724"/>
      <c r="T46" s="2724"/>
      <c r="U46" s="2721"/>
      <c r="V46" s="2643"/>
      <c r="W46" s="2643"/>
      <c r="X46" s="2643"/>
      <c r="Y46" s="2643"/>
      <c r="Z46" s="2643"/>
      <c r="AA46" s="2643"/>
    </row>
    <row r="47" spans="1:27" s="1467" customFormat="1" ht="75.75" customHeight="1">
      <c r="A47" s="3749">
        <v>15</v>
      </c>
      <c r="B47" s="1568" t="str">
        <f t="shared" ref="B47" si="7">TEXT(LEFT(K47,10),"0000000000")</f>
        <v>2000002956</v>
      </c>
      <c r="C47" s="1902" t="s">
        <v>3460</v>
      </c>
      <c r="D47" s="2607">
        <v>4000</v>
      </c>
      <c r="E47" s="1921" t="s">
        <v>6031</v>
      </c>
      <c r="F47" s="1902" t="s">
        <v>61</v>
      </c>
      <c r="G47" s="1921" t="s">
        <v>6032</v>
      </c>
      <c r="H47" s="1921"/>
      <c r="I47" s="1921" t="s">
        <v>19</v>
      </c>
      <c r="J47" s="1921" t="s">
        <v>123</v>
      </c>
      <c r="K47" s="1845" t="s">
        <v>6033</v>
      </c>
      <c r="L47" s="2583">
        <v>3000</v>
      </c>
      <c r="M47" s="2196" t="s">
        <v>5937</v>
      </c>
      <c r="N47" s="1493" t="s">
        <v>6026</v>
      </c>
      <c r="O47" s="1775"/>
      <c r="P47" s="2429">
        <v>2</v>
      </c>
      <c r="Q47" s="2150"/>
      <c r="R47" s="1921">
        <v>2000002962</v>
      </c>
      <c r="S47" s="2724" t="e">
        <f>VLOOKUP(R47,#REF!,2,0)</f>
        <v>#REF!</v>
      </c>
      <c r="T47" s="2724" t="e">
        <f>VLOOKUP(R47,#REF!,3,0)</f>
        <v>#REF!</v>
      </c>
      <c r="U47" s="2721" t="e">
        <f>S47-T47</f>
        <v>#REF!</v>
      </c>
      <c r="V47" s="2150"/>
      <c r="W47" s="2150"/>
      <c r="X47" s="2150"/>
      <c r="Y47" s="1902"/>
      <c r="Z47" s="1902"/>
      <c r="AA47" s="1902"/>
    </row>
    <row r="48" spans="1:27" s="1467" customFormat="1" ht="57" customHeight="1">
      <c r="A48" s="3750"/>
      <c r="B48" s="1568" t="str">
        <f t="shared" ref="B48:B56" si="8">TEXT(LEFT(K48,10),"0000000000")</f>
        <v>2000003016</v>
      </c>
      <c r="C48" s="1493" t="s">
        <v>3460</v>
      </c>
      <c r="D48" s="1494"/>
      <c r="E48" s="1495"/>
      <c r="F48" s="1493" t="s">
        <v>61</v>
      </c>
      <c r="G48" s="1495"/>
      <c r="H48" s="1495"/>
      <c r="I48" s="1495" t="s">
        <v>19</v>
      </c>
      <c r="J48" s="1495" t="s">
        <v>123</v>
      </c>
      <c r="K48" s="1600" t="s">
        <v>6034</v>
      </c>
      <c r="L48" s="2357">
        <v>1000</v>
      </c>
      <c r="M48" s="2196" t="s">
        <v>6035</v>
      </c>
      <c r="N48" s="1493"/>
      <c r="O48" s="1859"/>
      <c r="P48" s="1790">
        <v>2</v>
      </c>
      <c r="Q48" s="1548"/>
      <c r="R48" s="1495">
        <v>2000002962</v>
      </c>
      <c r="S48" s="2720" t="e">
        <f>VLOOKUP(R48,#REF!,2,0)</f>
        <v>#REF!</v>
      </c>
      <c r="T48" s="2720" t="e">
        <f>VLOOKUP(R48,#REF!,3,0)</f>
        <v>#REF!</v>
      </c>
      <c r="U48" s="2745" t="e">
        <f>S48-T48</f>
        <v>#REF!</v>
      </c>
      <c r="V48" s="1548"/>
      <c r="W48" s="1548"/>
      <c r="X48" s="1548"/>
      <c r="Y48" s="1493"/>
      <c r="Z48" s="1493"/>
      <c r="AA48" s="1493"/>
    </row>
    <row r="49" spans="1:27" s="1467" customFormat="1" ht="66" customHeight="1">
      <c r="A49" s="3735">
        <v>16</v>
      </c>
      <c r="B49" s="1568" t="str">
        <f t="shared" si="8"/>
        <v>2000002968</v>
      </c>
      <c r="C49" s="1902" t="s">
        <v>5699</v>
      </c>
      <c r="D49" s="2607">
        <v>3950</v>
      </c>
      <c r="E49" s="1921" t="s">
        <v>6036</v>
      </c>
      <c r="F49" s="1902" t="s">
        <v>84</v>
      </c>
      <c r="G49" s="1909" t="s">
        <v>6037</v>
      </c>
      <c r="H49" s="1921"/>
      <c r="I49" s="1921" t="s">
        <v>19</v>
      </c>
      <c r="J49" s="1921" t="s">
        <v>74</v>
      </c>
      <c r="K49" s="1845" t="s">
        <v>6038</v>
      </c>
      <c r="L49" s="2583">
        <v>500</v>
      </c>
      <c r="M49" s="1790" t="s">
        <v>5961</v>
      </c>
      <c r="N49" s="1493" t="s">
        <v>5983</v>
      </c>
      <c r="O49" s="1859"/>
      <c r="P49" s="1790">
        <v>2</v>
      </c>
      <c r="Q49" s="1548"/>
      <c r="R49" s="1495"/>
      <c r="S49" s="1495"/>
      <c r="T49" s="1495"/>
      <c r="U49" s="1909"/>
      <c r="V49" s="1548"/>
      <c r="W49" s="1548"/>
      <c r="X49" s="1548"/>
      <c r="Y49" s="1493"/>
      <c r="Z49" s="1493"/>
      <c r="AA49" s="1493"/>
    </row>
    <row r="50" spans="1:27" s="1467" customFormat="1" ht="57" customHeight="1">
      <c r="A50" s="3736"/>
      <c r="B50" s="1568" t="str">
        <f t="shared" si="8"/>
        <v>2000003003</v>
      </c>
      <c r="C50" s="1493" t="s">
        <v>5699</v>
      </c>
      <c r="D50" s="1494"/>
      <c r="E50" s="1748"/>
      <c r="F50" s="1493" t="s">
        <v>84</v>
      </c>
      <c r="G50" s="1495"/>
      <c r="H50" s="1495"/>
      <c r="I50" s="1495" t="s">
        <v>19</v>
      </c>
      <c r="J50" s="1495" t="s">
        <v>74</v>
      </c>
      <c r="K50" s="1547" t="s">
        <v>6039</v>
      </c>
      <c r="L50" s="2357">
        <v>500</v>
      </c>
      <c r="M50" s="1790" t="s">
        <v>5961</v>
      </c>
      <c r="N50" s="1493"/>
      <c r="O50" s="1859"/>
      <c r="P50" s="1790">
        <v>2</v>
      </c>
      <c r="Q50" s="1548"/>
      <c r="R50" s="1495"/>
      <c r="S50" s="1495"/>
      <c r="T50" s="1495"/>
      <c r="U50" s="1909"/>
      <c r="V50" s="1548"/>
      <c r="W50" s="1548"/>
      <c r="X50" s="1548"/>
      <c r="Y50" s="1493"/>
      <c r="Z50" s="1493"/>
      <c r="AA50" s="1493"/>
    </row>
    <row r="51" spans="1:27" s="1467" customFormat="1" ht="78.75" customHeight="1">
      <c r="A51" s="3737"/>
      <c r="B51" s="1568" t="str">
        <f t="shared" si="8"/>
        <v>2000003006</v>
      </c>
      <c r="C51" s="1493" t="s">
        <v>5699</v>
      </c>
      <c r="D51" s="1494"/>
      <c r="E51" s="1495"/>
      <c r="F51" s="1493" t="s">
        <v>84</v>
      </c>
      <c r="G51" s="1495"/>
      <c r="H51" s="1495"/>
      <c r="I51" s="1495" t="s">
        <v>19</v>
      </c>
      <c r="J51" s="1495" t="s">
        <v>199</v>
      </c>
      <c r="K51" s="1600" t="s">
        <v>6040</v>
      </c>
      <c r="L51" s="2357">
        <v>3000</v>
      </c>
      <c r="M51" s="2196" t="s">
        <v>5937</v>
      </c>
      <c r="N51" s="1493"/>
      <c r="O51" s="1775"/>
      <c r="P51" s="2429">
        <v>2</v>
      </c>
      <c r="Q51" s="2150"/>
      <c r="R51" s="1921">
        <v>2000003008</v>
      </c>
      <c r="S51" s="2724" t="e">
        <f>VLOOKUP(R51,#REF!,2,0)</f>
        <v>#REF!</v>
      </c>
      <c r="T51" s="2724" t="e">
        <f>VLOOKUP(R51,#REF!,3,0)</f>
        <v>#REF!</v>
      </c>
      <c r="U51" s="2721" t="e">
        <f>S51-T51</f>
        <v>#REF!</v>
      </c>
      <c r="V51" s="2150"/>
      <c r="W51" s="2150"/>
      <c r="X51" s="2150"/>
      <c r="Y51" s="1902"/>
      <c r="Z51" s="1902"/>
      <c r="AA51" s="1902"/>
    </row>
    <row r="52" spans="1:27" s="2643" customFormat="1" ht="66" customHeight="1">
      <c r="A52" s="3749">
        <v>17</v>
      </c>
      <c r="B52" s="1568" t="str">
        <f>TEXT(LEFT(K52,10),"0000000000")</f>
        <v>2000003008</v>
      </c>
      <c r="C52" s="1902" t="s">
        <v>5512</v>
      </c>
      <c r="D52" s="2607">
        <v>4350</v>
      </c>
      <c r="E52" s="1921" t="s">
        <v>6041</v>
      </c>
      <c r="F52" s="1902" t="s">
        <v>61</v>
      </c>
      <c r="G52" s="1921" t="s">
        <v>6042</v>
      </c>
      <c r="H52" s="1921"/>
      <c r="I52" s="1921" t="s">
        <v>19</v>
      </c>
      <c r="J52" s="1921" t="s">
        <v>199</v>
      </c>
      <c r="K52" s="1845" t="s">
        <v>6043</v>
      </c>
      <c r="L52" s="2583">
        <v>1650</v>
      </c>
      <c r="M52" s="2196" t="s">
        <v>5937</v>
      </c>
      <c r="N52" s="1493" t="s">
        <v>5988</v>
      </c>
      <c r="O52" s="1775"/>
      <c r="P52" s="2429">
        <v>2</v>
      </c>
      <c r="Q52" s="2150"/>
      <c r="R52" s="1921">
        <v>2000003008</v>
      </c>
      <c r="S52" s="2724" t="e">
        <f>VLOOKUP(R52,#REF!,2,0)</f>
        <v>#REF!</v>
      </c>
      <c r="T52" s="2724" t="e">
        <f>VLOOKUP(R52,#REF!,3,0)</f>
        <v>#REF!</v>
      </c>
      <c r="U52" s="2721" t="e">
        <f>S52-T52</f>
        <v>#REF!</v>
      </c>
      <c r="V52" s="2150"/>
      <c r="W52" s="2150"/>
      <c r="X52" s="2150"/>
      <c r="Y52" s="1902"/>
      <c r="Z52" s="1902"/>
      <c r="AA52" s="1902"/>
    </row>
    <row r="53" spans="1:27" s="1467" customFormat="1" ht="57" customHeight="1">
      <c r="A53" s="3751"/>
      <c r="B53" s="1568">
        <v>2200002022</v>
      </c>
      <c r="C53" s="1493" t="s">
        <v>5512</v>
      </c>
      <c r="D53" s="1494"/>
      <c r="E53" s="1495"/>
      <c r="F53" s="1493" t="s">
        <v>61</v>
      </c>
      <c r="G53" s="1495"/>
      <c r="H53" s="1495"/>
      <c r="I53" s="1495" t="s">
        <v>19</v>
      </c>
      <c r="J53" s="1495" t="s">
        <v>101</v>
      </c>
      <c r="K53" s="1600" t="s">
        <v>6044</v>
      </c>
      <c r="L53" s="2357">
        <v>200</v>
      </c>
      <c r="M53" s="2196" t="s">
        <v>5937</v>
      </c>
      <c r="N53" s="1493"/>
      <c r="O53" s="1859"/>
      <c r="P53" s="1790">
        <v>2</v>
      </c>
      <c r="Q53" s="1548"/>
      <c r="R53" s="1495"/>
      <c r="S53" s="2720"/>
      <c r="T53" s="2720"/>
      <c r="U53" s="2745"/>
      <c r="V53" s="1548"/>
      <c r="W53" s="1548"/>
      <c r="X53" s="1548"/>
      <c r="Y53" s="1493"/>
      <c r="Z53" s="1493"/>
      <c r="AA53" s="1493"/>
    </row>
    <row r="54" spans="1:27" s="2643" customFormat="1" ht="84" customHeight="1">
      <c r="A54" s="3750"/>
      <c r="B54" s="1568" t="str">
        <f t="shared" si="8"/>
        <v>2000003001</v>
      </c>
      <c r="C54" s="1493" t="s">
        <v>5512</v>
      </c>
      <c r="D54" s="1494"/>
      <c r="E54" s="1495" t="s">
        <v>6045</v>
      </c>
      <c r="F54" s="1493" t="s">
        <v>61</v>
      </c>
      <c r="G54" s="1495"/>
      <c r="H54" s="1495"/>
      <c r="I54" s="1495" t="s">
        <v>19</v>
      </c>
      <c r="J54" s="1495" t="s">
        <v>101</v>
      </c>
      <c r="K54" s="1600" t="s">
        <v>6046</v>
      </c>
      <c r="L54" s="2357">
        <v>2500</v>
      </c>
      <c r="M54" s="1790" t="s">
        <v>5961</v>
      </c>
      <c r="N54" s="1493"/>
      <c r="O54" s="1859"/>
      <c r="P54" s="1790">
        <v>2</v>
      </c>
      <c r="Q54" s="1548"/>
      <c r="R54" s="1495"/>
      <c r="S54" s="1495"/>
      <c r="T54" s="1495"/>
      <c r="U54" s="1909"/>
      <c r="V54" s="1548"/>
      <c r="W54" s="1548"/>
      <c r="X54" s="1548"/>
      <c r="Y54" s="1493"/>
      <c r="Z54" s="1493"/>
      <c r="AA54" s="1493"/>
    </row>
    <row r="55" spans="1:27" s="2643" customFormat="1" ht="57" customHeight="1">
      <c r="A55" s="3749">
        <v>18</v>
      </c>
      <c r="B55" s="1568" t="str">
        <f t="shared" si="8"/>
        <v>2200002007</v>
      </c>
      <c r="C55" s="1493" t="s">
        <v>3455</v>
      </c>
      <c r="D55" s="2607">
        <v>8800</v>
      </c>
      <c r="E55" s="1921" t="s">
        <v>6047</v>
      </c>
      <c r="F55" s="1902" t="s">
        <v>3401</v>
      </c>
      <c r="G55" s="2187" t="s">
        <v>6048</v>
      </c>
      <c r="H55" s="2187"/>
      <c r="I55" s="1921" t="s">
        <v>19</v>
      </c>
      <c r="J55" s="1921" t="s">
        <v>1138</v>
      </c>
      <c r="K55" s="1845" t="s">
        <v>6049</v>
      </c>
      <c r="L55" s="2583">
        <v>2517</v>
      </c>
      <c r="M55" s="2196" t="s">
        <v>6022</v>
      </c>
      <c r="N55" s="1543" t="s">
        <v>6026</v>
      </c>
      <c r="O55" s="2565"/>
      <c r="P55" s="2429">
        <v>2</v>
      </c>
      <c r="Q55" s="2127"/>
      <c r="R55" s="2187"/>
      <c r="S55" s="2724"/>
      <c r="T55" s="2724"/>
      <c r="U55" s="2721"/>
      <c r="Y55" s="2659"/>
      <c r="Z55" s="2659"/>
      <c r="AA55" s="2659"/>
    </row>
    <row r="56" spans="1:27" s="1467" customFormat="1" ht="57" customHeight="1">
      <c r="A56" s="3751"/>
      <c r="B56" s="1568" t="str">
        <f t="shared" si="8"/>
        <v>2200002010</v>
      </c>
      <c r="C56" s="1493" t="s">
        <v>3455</v>
      </c>
      <c r="D56" s="1494"/>
      <c r="E56" s="1495"/>
      <c r="F56" s="1493" t="s">
        <v>3401</v>
      </c>
      <c r="G56" s="1543"/>
      <c r="H56" s="1543"/>
      <c r="I56" s="1495" t="s">
        <v>19</v>
      </c>
      <c r="J56" s="1495" t="s">
        <v>1138</v>
      </c>
      <c r="K56" s="1600" t="s">
        <v>6050</v>
      </c>
      <c r="L56" s="2357">
        <v>515</v>
      </c>
      <c r="M56" s="2196" t="s">
        <v>6022</v>
      </c>
      <c r="N56" s="1543"/>
      <c r="O56" s="2544"/>
      <c r="P56" s="1790">
        <v>2</v>
      </c>
      <c r="Q56" s="1559"/>
      <c r="R56" s="1543"/>
      <c r="S56" s="2720"/>
      <c r="T56" s="2720"/>
      <c r="U56" s="2721"/>
      <c r="Y56" s="1474"/>
      <c r="Z56" s="1474"/>
      <c r="AA56" s="1474"/>
    </row>
    <row r="57" spans="1:27" s="1467" customFormat="1" ht="58.5" customHeight="1">
      <c r="A57" s="3751"/>
      <c r="B57" s="1568" t="str">
        <f t="shared" ref="B57" si="9">TEXT(LEFT(K57,10),"0000000000")</f>
        <v>2000002919</v>
      </c>
      <c r="C57" s="1493" t="s">
        <v>3455</v>
      </c>
      <c r="D57" s="1494"/>
      <c r="E57" s="1495"/>
      <c r="F57" s="1493" t="s">
        <v>3401</v>
      </c>
      <c r="G57" s="1495"/>
      <c r="H57" s="1495"/>
      <c r="I57" s="1495" t="s">
        <v>19</v>
      </c>
      <c r="J57" s="1495" t="s">
        <v>1138</v>
      </c>
      <c r="K57" s="1547" t="s">
        <v>6051</v>
      </c>
      <c r="L57" s="2357">
        <v>2000</v>
      </c>
      <c r="M57" s="2196" t="s">
        <v>5937</v>
      </c>
      <c r="N57" s="1495"/>
      <c r="O57" s="1843"/>
      <c r="P57" s="1790">
        <v>2</v>
      </c>
      <c r="Q57" s="1548"/>
      <c r="R57" s="1495">
        <v>2000002919</v>
      </c>
      <c r="S57" s="2720" t="e">
        <f>VLOOKUP(R57,#REF!,2,0)</f>
        <v>#REF!</v>
      </c>
      <c r="T57" s="2720" t="e">
        <f>VLOOKUP(R57,#REF!,3,0)</f>
        <v>#REF!</v>
      </c>
      <c r="U57" s="2721" t="e">
        <f>S57-T57</f>
        <v>#REF!</v>
      </c>
      <c r="Y57" s="1474"/>
      <c r="Z57" s="1474"/>
      <c r="AA57" s="1474"/>
    </row>
    <row r="58" spans="1:27" s="1467" customFormat="1" ht="58.5" customHeight="1">
      <c r="A58" s="3751"/>
      <c r="B58" s="1543" t="str">
        <f>TEXT(LEFT(K58,10),"0000000000")</f>
        <v>2000002930</v>
      </c>
      <c r="C58" s="1493" t="s">
        <v>3455</v>
      </c>
      <c r="D58" s="2756"/>
      <c r="E58" s="1559"/>
      <c r="F58" s="1493" t="s">
        <v>3401</v>
      </c>
      <c r="G58" s="1559"/>
      <c r="H58" s="1559"/>
      <c r="I58" s="1495" t="s">
        <v>19</v>
      </c>
      <c r="J58" s="1495" t="s">
        <v>1138</v>
      </c>
      <c r="K58" s="1559" t="s">
        <v>6052</v>
      </c>
      <c r="L58" s="2747">
        <v>500</v>
      </c>
      <c r="M58" s="2196" t="s">
        <v>5937</v>
      </c>
      <c r="N58" s="1543"/>
      <c r="O58" s="1559"/>
      <c r="P58" s="1790">
        <v>2</v>
      </c>
      <c r="Q58" s="1559"/>
      <c r="R58" s="1543">
        <v>2000002930</v>
      </c>
      <c r="S58" s="2720" t="e">
        <f>VLOOKUP(R58,#REF!,2,0)</f>
        <v>#REF!</v>
      </c>
      <c r="T58" s="2720" t="e">
        <f>VLOOKUP(R58,#REF!,3,0)</f>
        <v>#REF!</v>
      </c>
      <c r="U58" s="2721" t="e">
        <f>S58-T58</f>
        <v>#REF!</v>
      </c>
      <c r="V58" s="1559"/>
      <c r="W58" s="1559"/>
      <c r="X58" s="1559"/>
      <c r="Y58" s="1559"/>
      <c r="Z58" s="1559"/>
      <c r="AA58" s="1559"/>
    </row>
    <row r="59" spans="1:27" s="1467" customFormat="1" ht="58.5" customHeight="1">
      <c r="A59" s="3751"/>
      <c r="B59" s="1543" t="str">
        <f>TEXT(LEFT(K59,10),"0000000000")</f>
        <v>2000002977</v>
      </c>
      <c r="C59" s="1493" t="s">
        <v>3455</v>
      </c>
      <c r="D59" s="2756"/>
      <c r="E59" s="1559"/>
      <c r="F59" s="1493" t="s">
        <v>3401</v>
      </c>
      <c r="G59" s="1559"/>
      <c r="H59" s="1559"/>
      <c r="I59" s="1495" t="s">
        <v>19</v>
      </c>
      <c r="J59" s="1495" t="s">
        <v>1138</v>
      </c>
      <c r="K59" s="1559" t="s">
        <v>6053</v>
      </c>
      <c r="L59" s="2747">
        <v>3000</v>
      </c>
      <c r="M59" s="2196" t="s">
        <v>5937</v>
      </c>
      <c r="N59" s="1543"/>
      <c r="O59" s="1559"/>
      <c r="P59" s="1790">
        <v>2</v>
      </c>
      <c r="Q59" s="1559"/>
      <c r="R59" s="1543">
        <v>2000002977</v>
      </c>
      <c r="S59" s="2720" t="e">
        <f>VLOOKUP(R59,#REF!,2,0)</f>
        <v>#REF!</v>
      </c>
      <c r="T59" s="2720" t="e">
        <f>VLOOKUP(R59,#REF!,3,0)</f>
        <v>#REF!</v>
      </c>
      <c r="U59" s="2721" t="e">
        <f>S59-T59</f>
        <v>#REF!</v>
      </c>
      <c r="V59" s="1559"/>
      <c r="W59" s="1559"/>
      <c r="X59" s="1559"/>
      <c r="Y59" s="1559"/>
      <c r="Z59" s="1559"/>
      <c r="AA59" s="1559"/>
    </row>
    <row r="60" spans="1:27" s="1467" customFormat="1" ht="58.5" customHeight="1">
      <c r="A60" s="3750"/>
      <c r="B60" s="1568" t="str">
        <f>TEXT(LEFT(K60,10),"0000000000")</f>
        <v>2000003000</v>
      </c>
      <c r="C60" s="1493" t="s">
        <v>3455</v>
      </c>
      <c r="D60" s="1494"/>
      <c r="E60" s="1495"/>
      <c r="F60" s="1493" t="s">
        <v>3401</v>
      </c>
      <c r="G60" s="1495"/>
      <c r="H60" s="1495"/>
      <c r="I60" s="1495" t="s">
        <v>19</v>
      </c>
      <c r="J60" s="1495" t="s">
        <v>1138</v>
      </c>
      <c r="K60" s="1547" t="s">
        <v>6054</v>
      </c>
      <c r="L60" s="2357">
        <v>350</v>
      </c>
      <c r="M60" s="1748" t="s">
        <v>5961</v>
      </c>
      <c r="N60" s="1495"/>
      <c r="O60" s="1859"/>
      <c r="P60" s="1790">
        <v>2</v>
      </c>
      <c r="Q60" s="1548"/>
      <c r="R60" s="1493"/>
      <c r="S60" s="1493"/>
      <c r="T60" s="1493"/>
      <c r="U60" s="2429"/>
    </row>
    <row r="61" spans="1:27" s="2643" customFormat="1" ht="58.5" customHeight="1">
      <c r="A61" s="3749">
        <v>19</v>
      </c>
      <c r="B61" s="1900" t="str">
        <f t="shared" ref="B61:B90" si="10">TEXT(LEFT(K61,10),"0000000000")</f>
        <v>2000003026</v>
      </c>
      <c r="C61" s="1493" t="s">
        <v>4417</v>
      </c>
      <c r="D61" s="2607">
        <v>24000</v>
      </c>
      <c r="E61" s="1921" t="s">
        <v>6055</v>
      </c>
      <c r="F61" s="1902" t="s">
        <v>3416</v>
      </c>
      <c r="G61" s="1921" t="s">
        <v>6056</v>
      </c>
      <c r="H61" s="1921" t="s">
        <v>6057</v>
      </c>
      <c r="I61" s="1921" t="s">
        <v>19</v>
      </c>
      <c r="J61" s="1921" t="s">
        <v>123</v>
      </c>
      <c r="K61" s="1845" t="s">
        <v>6058</v>
      </c>
      <c r="L61" s="2583">
        <v>3000</v>
      </c>
      <c r="M61" s="2196" t="s">
        <v>5945</v>
      </c>
      <c r="N61" s="1493" t="s">
        <v>5993</v>
      </c>
      <c r="O61" s="1775"/>
      <c r="P61" s="2429">
        <v>2</v>
      </c>
      <c r="Q61" s="2150"/>
      <c r="R61" s="1921">
        <v>2000002956</v>
      </c>
      <c r="S61" s="2724" t="e">
        <f>VLOOKUP(R61,#REF!,2,0)</f>
        <v>#REF!</v>
      </c>
      <c r="T61" s="2724" t="e">
        <f>VLOOKUP(R61,#REF!,3,0)</f>
        <v>#REF!</v>
      </c>
      <c r="U61" s="2721" t="e">
        <f>S61-T61</f>
        <v>#REF!</v>
      </c>
      <c r="V61" s="2150"/>
      <c r="W61" s="2150"/>
      <c r="X61" s="2150"/>
      <c r="Y61" s="1902"/>
      <c r="Z61" s="1902"/>
      <c r="AA61" s="1902"/>
    </row>
    <row r="62" spans="1:27" s="1467" customFormat="1" ht="51" customHeight="1">
      <c r="A62" s="3751"/>
      <c r="B62" s="1900" t="str">
        <f t="shared" si="10"/>
        <v>2000003027</v>
      </c>
      <c r="C62" s="1493" t="s">
        <v>4417</v>
      </c>
      <c r="D62" s="1494"/>
      <c r="E62" s="1495"/>
      <c r="F62" s="1493" t="s">
        <v>3416</v>
      </c>
      <c r="G62" s="1495"/>
      <c r="H62" s="1495"/>
      <c r="I62" s="1495" t="s">
        <v>19</v>
      </c>
      <c r="J62" s="1495" t="s">
        <v>123</v>
      </c>
      <c r="K62" s="1600" t="s">
        <v>6059</v>
      </c>
      <c r="L62" s="2357">
        <v>1000</v>
      </c>
      <c r="M62" s="2196" t="s">
        <v>5945</v>
      </c>
      <c r="N62" s="1493"/>
      <c r="O62" s="1859"/>
      <c r="P62" s="1790">
        <v>2</v>
      </c>
      <c r="Q62" s="1548"/>
      <c r="R62" s="1495">
        <v>2000002957</v>
      </c>
      <c r="S62" s="2720" t="e">
        <f>VLOOKUP(R62,#REF!,2,0)</f>
        <v>#REF!</v>
      </c>
      <c r="T62" s="2720" t="e">
        <f>VLOOKUP(R62,#REF!,3,0)</f>
        <v>#REF!</v>
      </c>
      <c r="U62" s="2721" t="e">
        <f>S62-T62</f>
        <v>#REF!</v>
      </c>
      <c r="V62" s="1548"/>
      <c r="W62" s="1548"/>
      <c r="X62" s="1548"/>
      <c r="Y62" s="1493"/>
      <c r="Z62" s="1493"/>
      <c r="AA62" s="1493"/>
    </row>
    <row r="63" spans="1:27" s="1467" customFormat="1" ht="58.5" customHeight="1">
      <c r="A63" s="3751"/>
      <c r="B63" s="1900" t="str">
        <f t="shared" si="10"/>
        <v>2000003016</v>
      </c>
      <c r="C63" s="1493" t="s">
        <v>4417</v>
      </c>
      <c r="D63" s="1494"/>
      <c r="E63" s="1495"/>
      <c r="F63" s="1493" t="s">
        <v>3416</v>
      </c>
      <c r="G63" s="1495"/>
      <c r="H63" s="1495"/>
      <c r="I63" s="1495" t="s">
        <v>19</v>
      </c>
      <c r="J63" s="1495" t="s">
        <v>123</v>
      </c>
      <c r="K63" s="1600" t="s">
        <v>6060</v>
      </c>
      <c r="L63" s="2357">
        <v>2000</v>
      </c>
      <c r="M63" s="2196" t="s">
        <v>5945</v>
      </c>
      <c r="N63" s="1493"/>
      <c r="O63" s="1859"/>
      <c r="P63" s="1790">
        <v>2</v>
      </c>
      <c r="Q63" s="1548"/>
      <c r="R63" s="1495">
        <v>2000002957</v>
      </c>
      <c r="S63" s="2720" t="e">
        <f>VLOOKUP(R63,#REF!,2,0)</f>
        <v>#REF!</v>
      </c>
      <c r="T63" s="2720" t="e">
        <f>VLOOKUP(R63,#REF!,3,0)</f>
        <v>#REF!</v>
      </c>
      <c r="U63" s="2721" t="e">
        <f>S63-T63</f>
        <v>#REF!</v>
      </c>
      <c r="V63" s="1548"/>
      <c r="W63" s="1548"/>
      <c r="X63" s="1548"/>
      <c r="Y63" s="1493"/>
      <c r="Z63" s="1493"/>
      <c r="AA63" s="1493"/>
    </row>
    <row r="64" spans="1:27" s="1467" customFormat="1" ht="79.5" customHeight="1">
      <c r="A64" s="3751"/>
      <c r="B64" s="1568" t="str">
        <f t="shared" si="10"/>
        <v>2000002997</v>
      </c>
      <c r="C64" s="1493" t="s">
        <v>4417</v>
      </c>
      <c r="D64" s="1826"/>
      <c r="E64" s="1495"/>
      <c r="F64" s="1493" t="s">
        <v>3416</v>
      </c>
      <c r="G64" s="1495"/>
      <c r="H64" s="1495"/>
      <c r="I64" s="1495" t="s">
        <v>19</v>
      </c>
      <c r="J64" s="1495" t="s">
        <v>123</v>
      </c>
      <c r="K64" s="1600" t="s">
        <v>6061</v>
      </c>
      <c r="L64" s="2357">
        <v>500</v>
      </c>
      <c r="M64" s="1748" t="s">
        <v>5961</v>
      </c>
      <c r="N64" s="1495"/>
      <c r="O64" s="1859"/>
      <c r="P64" s="1790">
        <v>2</v>
      </c>
      <c r="Q64" s="1548"/>
      <c r="R64" s="1493"/>
      <c r="S64" s="2628"/>
      <c r="T64" s="2628"/>
      <c r="U64" s="2629"/>
      <c r="Y64" s="1474"/>
      <c r="Z64" s="1474"/>
      <c r="AA64" s="1474"/>
    </row>
    <row r="65" spans="1:27" s="1467" customFormat="1" ht="75.75" customHeight="1">
      <c r="A65" s="3751"/>
      <c r="B65" s="1543" t="str">
        <f t="shared" si="10"/>
        <v>2000003015</v>
      </c>
      <c r="C65" s="1493" t="s">
        <v>4417</v>
      </c>
      <c r="D65" s="1494"/>
      <c r="E65" s="1495"/>
      <c r="F65" s="1493" t="s">
        <v>3416</v>
      </c>
      <c r="G65" s="1921"/>
      <c r="H65" s="1921"/>
      <c r="I65" s="1495" t="s">
        <v>19</v>
      </c>
      <c r="J65" s="1495" t="s">
        <v>123</v>
      </c>
      <c r="K65" s="1600" t="s">
        <v>6062</v>
      </c>
      <c r="L65" s="2357">
        <v>6000</v>
      </c>
      <c r="M65" s="2196" t="s">
        <v>5945</v>
      </c>
      <c r="N65" s="1493"/>
      <c r="O65" s="1859"/>
      <c r="P65" s="1790">
        <v>2</v>
      </c>
      <c r="Q65" s="1548"/>
      <c r="R65" s="1495"/>
      <c r="S65" s="1495"/>
      <c r="T65" s="1495"/>
      <c r="U65" s="1909"/>
      <c r="V65" s="1548"/>
      <c r="W65" s="1548"/>
      <c r="X65" s="1548"/>
      <c r="Y65" s="1493"/>
      <c r="Z65" s="1493"/>
      <c r="AA65" s="1493"/>
    </row>
    <row r="66" spans="1:27" s="1467" customFormat="1" ht="48.75" customHeight="1">
      <c r="A66" s="3751"/>
      <c r="B66" s="1900" t="str">
        <f t="shared" si="10"/>
        <v>2000002978</v>
      </c>
      <c r="C66" s="1493" t="s">
        <v>4417</v>
      </c>
      <c r="D66" s="2757"/>
      <c r="E66" s="1548"/>
      <c r="F66" s="1493" t="s">
        <v>3416</v>
      </c>
      <c r="G66" s="1548"/>
      <c r="H66" s="1548"/>
      <c r="I66" s="1495" t="s">
        <v>19</v>
      </c>
      <c r="J66" s="1543" t="s">
        <v>63</v>
      </c>
      <c r="K66" s="1548" t="s">
        <v>6063</v>
      </c>
      <c r="L66" s="2747">
        <v>500</v>
      </c>
      <c r="M66" s="1790" t="s">
        <v>5961</v>
      </c>
      <c r="N66" s="1493"/>
      <c r="O66" s="1548"/>
      <c r="P66" s="1790">
        <v>2</v>
      </c>
      <c r="Q66" s="1548"/>
      <c r="R66" s="1548"/>
      <c r="S66" s="2628" t="e">
        <f>VLOOKUP(R66,#REF!,2,0)</f>
        <v>#REF!</v>
      </c>
      <c r="T66" s="2628" t="e">
        <f>VLOOKUP(R66,#REF!,3,0)</f>
        <v>#REF!</v>
      </c>
      <c r="U66" s="2629" t="e">
        <f t="shared" ref="U66" si="11">S66-T66</f>
        <v>#REF!</v>
      </c>
      <c r="V66" s="1548"/>
      <c r="W66" s="1548"/>
      <c r="X66" s="1548"/>
      <c r="Y66" s="1548"/>
      <c r="Z66" s="1548"/>
      <c r="AA66" s="1548"/>
    </row>
    <row r="67" spans="1:27" s="1467" customFormat="1" ht="58.5" customHeight="1">
      <c r="A67" s="3751"/>
      <c r="B67" s="1900" t="str">
        <f t="shared" si="10"/>
        <v>2000002938</v>
      </c>
      <c r="C67" s="1493" t="s">
        <v>4417</v>
      </c>
      <c r="D67" s="1494"/>
      <c r="E67" s="1495"/>
      <c r="F67" s="1493" t="s">
        <v>3416</v>
      </c>
      <c r="G67" s="1495"/>
      <c r="H67" s="1495"/>
      <c r="I67" s="1495" t="s">
        <v>19</v>
      </c>
      <c r="J67" s="1495" t="s">
        <v>63</v>
      </c>
      <c r="K67" s="1600" t="s">
        <v>6064</v>
      </c>
      <c r="L67" s="2357">
        <v>4200</v>
      </c>
      <c r="M67" s="2196" t="s">
        <v>5945</v>
      </c>
      <c r="N67" s="1495"/>
      <c r="O67" s="1859"/>
      <c r="P67" s="1790">
        <v>2</v>
      </c>
      <c r="Q67" s="1548"/>
      <c r="R67" s="1495">
        <v>2000002938</v>
      </c>
      <c r="S67" s="2720" t="e">
        <f>VLOOKUP(R67,#REF!,2,0)</f>
        <v>#REF!</v>
      </c>
      <c r="T67" s="2720" t="e">
        <f>VLOOKUP(R67,#REF!,3,0)</f>
        <v>#REF!</v>
      </c>
      <c r="U67" s="2721" t="e">
        <f>S67-T67</f>
        <v>#REF!</v>
      </c>
      <c r="V67" s="1548"/>
      <c r="W67" s="1548"/>
      <c r="X67" s="1548"/>
      <c r="Y67" s="1493"/>
      <c r="Z67" s="1493"/>
      <c r="AA67" s="1493"/>
    </row>
    <row r="68" spans="1:27" s="1467" customFormat="1" ht="58.5" customHeight="1">
      <c r="A68" s="3751"/>
      <c r="B68" s="1900" t="str">
        <f t="shared" si="10"/>
        <v>2000002990</v>
      </c>
      <c r="C68" s="1493" t="s">
        <v>4417</v>
      </c>
      <c r="D68" s="1494"/>
      <c r="E68" s="1495"/>
      <c r="F68" s="1493" t="s">
        <v>3416</v>
      </c>
      <c r="G68" s="1495"/>
      <c r="H68" s="1495"/>
      <c r="I68" s="1495" t="s">
        <v>19</v>
      </c>
      <c r="J68" s="1495" t="s">
        <v>63</v>
      </c>
      <c r="K68" s="1547" t="s">
        <v>6065</v>
      </c>
      <c r="L68" s="2357">
        <v>3000</v>
      </c>
      <c r="M68" s="1748" t="s">
        <v>5961</v>
      </c>
      <c r="N68" s="1495"/>
      <c r="O68" s="1859" t="s">
        <v>6066</v>
      </c>
      <c r="P68" s="1790">
        <v>2</v>
      </c>
      <c r="Q68" s="1548"/>
      <c r="R68" s="1495"/>
      <c r="S68" s="1495"/>
      <c r="T68" s="1495"/>
      <c r="U68" s="1909"/>
      <c r="V68" s="1548"/>
      <c r="W68" s="1548"/>
      <c r="X68" s="1548"/>
      <c r="Y68" s="1493"/>
      <c r="Z68" s="1493"/>
      <c r="AA68" s="1493"/>
    </row>
    <row r="69" spans="1:27" s="1467" customFormat="1" ht="72.75" customHeight="1">
      <c r="A69" s="3751"/>
      <c r="B69" s="1900" t="str">
        <f t="shared" si="10"/>
        <v>2000002965</v>
      </c>
      <c r="C69" s="1493" t="s">
        <v>4417</v>
      </c>
      <c r="D69" s="1494"/>
      <c r="E69" s="1543"/>
      <c r="F69" s="1493" t="s">
        <v>3416</v>
      </c>
      <c r="G69" s="1495"/>
      <c r="H69" s="1495"/>
      <c r="I69" s="1495" t="s">
        <v>19</v>
      </c>
      <c r="J69" s="1495" t="s">
        <v>63</v>
      </c>
      <c r="K69" s="1600" t="s">
        <v>6067</v>
      </c>
      <c r="L69" s="2758">
        <v>3500</v>
      </c>
      <c r="M69" s="1790" t="s">
        <v>6068</v>
      </c>
      <c r="N69" s="1493"/>
      <c r="O69" s="1859"/>
      <c r="P69" s="1790">
        <v>2</v>
      </c>
      <c r="Q69" s="1548"/>
      <c r="R69" s="1493"/>
      <c r="S69" s="1493"/>
      <c r="T69" s="1493"/>
      <c r="U69" s="2429"/>
      <c r="V69" s="1548"/>
    </row>
    <row r="70" spans="1:27" s="1467" customFormat="1" ht="46.5" customHeight="1">
      <c r="A70" s="3735">
        <v>20</v>
      </c>
      <c r="B70" s="1543" t="str">
        <f>TEXT(LEFT(K70,10),"0000000000")</f>
        <v>2400001198</v>
      </c>
      <c r="C70" s="1902" t="s">
        <v>6069</v>
      </c>
      <c r="D70" s="1494">
        <v>35000</v>
      </c>
      <c r="E70" s="1495" t="s">
        <v>6070</v>
      </c>
      <c r="F70" s="1493" t="s">
        <v>3421</v>
      </c>
      <c r="G70" s="1495" t="s">
        <v>6071</v>
      </c>
      <c r="H70" s="1495"/>
      <c r="I70" s="1495" t="s">
        <v>19</v>
      </c>
      <c r="J70" s="1495" t="s">
        <v>4543</v>
      </c>
      <c r="K70" s="1547" t="s">
        <v>6072</v>
      </c>
      <c r="L70" s="2357">
        <v>10550</v>
      </c>
      <c r="M70" s="2196" t="s">
        <v>6073</v>
      </c>
      <c r="N70" s="1495"/>
      <c r="O70" s="1859" t="s">
        <v>6074</v>
      </c>
      <c r="P70" s="1790">
        <v>2</v>
      </c>
      <c r="Q70" s="1548"/>
      <c r="R70" s="1495">
        <v>2400001198</v>
      </c>
      <c r="S70" s="2720" t="e">
        <f>VLOOKUP(R70,#REF!,2,0)</f>
        <v>#REF!</v>
      </c>
      <c r="T70" s="2720" t="e">
        <f>VLOOKUP(R70,#REF!,3,0)</f>
        <v>#REF!</v>
      </c>
      <c r="U70" s="2721" t="e">
        <f>S70-T70</f>
        <v>#REF!</v>
      </c>
      <c r="V70" s="1548"/>
      <c r="W70" s="1548"/>
      <c r="X70" s="1548"/>
      <c r="Y70" s="1493"/>
      <c r="Z70" s="1493"/>
      <c r="AA70" s="1493"/>
    </row>
    <row r="71" spans="1:27" s="1467" customFormat="1" ht="72.75" customHeight="1">
      <c r="A71" s="3736"/>
      <c r="B71" s="1543" t="str">
        <f t="shared" ref="B71:B85" si="12">TEXT(LEFT(K71,10),"0000000000")</f>
        <v>2400001197</v>
      </c>
      <c r="C71" s="1493" t="s">
        <v>6069</v>
      </c>
      <c r="D71" s="1494"/>
      <c r="E71" s="1495"/>
      <c r="F71" s="1493" t="s">
        <v>3421</v>
      </c>
      <c r="G71" s="1495"/>
      <c r="H71" s="1495"/>
      <c r="I71" s="1495" t="s">
        <v>19</v>
      </c>
      <c r="J71" s="1495" t="s">
        <v>4543</v>
      </c>
      <c r="K71" s="1547" t="s">
        <v>6075</v>
      </c>
      <c r="L71" s="2357">
        <v>24450</v>
      </c>
      <c r="M71" s="1748" t="s">
        <v>6076</v>
      </c>
      <c r="N71" s="1495"/>
      <c r="O71" s="1859"/>
      <c r="P71" s="1790">
        <v>2</v>
      </c>
      <c r="Q71" s="1548"/>
      <c r="R71" s="1495"/>
      <c r="S71" s="1495"/>
      <c r="T71" s="1495"/>
      <c r="U71" s="1909"/>
      <c r="V71" s="1548"/>
      <c r="W71" s="1548"/>
      <c r="X71" s="1548"/>
      <c r="Y71" s="1493"/>
      <c r="Z71" s="1493"/>
      <c r="AA71" s="1493"/>
    </row>
    <row r="72" spans="1:27" s="1467" customFormat="1" ht="72.75" customHeight="1">
      <c r="A72" s="3737"/>
      <c r="B72" s="1543" t="str">
        <f t="shared" si="12"/>
        <v>2400001205</v>
      </c>
      <c r="C72" s="1545" t="s">
        <v>6069</v>
      </c>
      <c r="D72" s="1494"/>
      <c r="E72" s="1495"/>
      <c r="F72" s="1493" t="s">
        <v>3421</v>
      </c>
      <c r="G72" s="1495"/>
      <c r="H72" s="1495"/>
      <c r="I72" s="1495" t="s">
        <v>19</v>
      </c>
      <c r="J72" s="1495" t="s">
        <v>4543</v>
      </c>
      <c r="K72" s="1547" t="s">
        <v>6077</v>
      </c>
      <c r="L72" s="2357">
        <v>25</v>
      </c>
      <c r="M72" s="1748" t="s">
        <v>5961</v>
      </c>
      <c r="N72" s="1495"/>
      <c r="O72" s="1859" t="s">
        <v>6078</v>
      </c>
      <c r="P72" s="1790">
        <v>2</v>
      </c>
      <c r="Q72" s="1548"/>
      <c r="R72" s="1495"/>
      <c r="S72" s="1495"/>
      <c r="T72" s="1495"/>
      <c r="U72" s="1909"/>
      <c r="V72" s="1548"/>
      <c r="W72" s="1548"/>
      <c r="X72" s="1548"/>
      <c r="Y72" s="1493"/>
      <c r="Z72" s="1493"/>
      <c r="AA72" s="1493"/>
    </row>
    <row r="73" spans="1:27" s="1467" customFormat="1" ht="48.75" customHeight="1">
      <c r="A73" s="3749">
        <v>21</v>
      </c>
      <c r="B73" s="1937" t="str">
        <f t="shared" si="12"/>
        <v>2200002008</v>
      </c>
      <c r="C73" s="1902" t="s">
        <v>3715</v>
      </c>
      <c r="D73" s="2767">
        <v>4450</v>
      </c>
      <c r="E73" s="1921" t="s">
        <v>6079</v>
      </c>
      <c r="F73" s="1902" t="s">
        <v>84</v>
      </c>
      <c r="G73" s="2184" t="s">
        <v>6080</v>
      </c>
      <c r="H73" s="2187"/>
      <c r="I73" s="1921" t="s">
        <v>19</v>
      </c>
      <c r="J73" s="1921" t="s">
        <v>101</v>
      </c>
      <c r="K73" s="1845" t="s">
        <v>6019</v>
      </c>
      <c r="L73" s="2583">
        <v>1100</v>
      </c>
      <c r="M73" s="2196" t="s">
        <v>6020</v>
      </c>
      <c r="N73" s="1543" t="s">
        <v>6030</v>
      </c>
      <c r="O73" s="2544"/>
      <c r="P73" s="1790">
        <v>2</v>
      </c>
      <c r="Q73" s="1559"/>
      <c r="R73" s="1543"/>
      <c r="S73" s="2720"/>
      <c r="T73" s="2720"/>
      <c r="U73" s="2745"/>
      <c r="Y73" s="1474"/>
      <c r="Z73" s="1474"/>
      <c r="AA73" s="1474"/>
    </row>
    <row r="74" spans="1:27" s="1467" customFormat="1" ht="64.5" customHeight="1">
      <c r="A74" s="3750"/>
      <c r="B74" s="1568" t="str">
        <f t="shared" si="12"/>
        <v>2000003008</v>
      </c>
      <c r="C74" s="1630" t="s">
        <v>3715</v>
      </c>
      <c r="D74" s="1494"/>
      <c r="E74" s="1495"/>
      <c r="F74" s="1493" t="s">
        <v>84</v>
      </c>
      <c r="G74" s="1495"/>
      <c r="H74" s="1495"/>
      <c r="I74" s="1495" t="s">
        <v>19</v>
      </c>
      <c r="J74" s="1495" t="s">
        <v>199</v>
      </c>
      <c r="K74" s="1600" t="s">
        <v>6081</v>
      </c>
      <c r="L74" s="2357">
        <v>3350</v>
      </c>
      <c r="M74" s="2196" t="s">
        <v>5945</v>
      </c>
      <c r="N74" s="1493"/>
      <c r="O74" s="1859"/>
      <c r="P74" s="1790">
        <v>2</v>
      </c>
      <c r="Q74" s="1548"/>
      <c r="R74" s="1495">
        <v>2000003006</v>
      </c>
      <c r="S74" s="2720" t="e">
        <f>VLOOKUP(R74,#REF!,2,0)</f>
        <v>#REF!</v>
      </c>
      <c r="T74" s="2720" t="e">
        <f>VLOOKUP(R74,#REF!,3,0)</f>
        <v>#REF!</v>
      </c>
      <c r="U74" s="2721" t="e">
        <f>S74-T74</f>
        <v>#REF!</v>
      </c>
      <c r="V74" s="1548"/>
      <c r="W74" s="1548"/>
      <c r="X74" s="1548"/>
      <c r="Y74" s="1493"/>
      <c r="Z74" s="1493"/>
      <c r="AA74" s="1493"/>
    </row>
    <row r="75" spans="1:27" s="1467" customFormat="1" ht="55.5" customHeight="1">
      <c r="A75" s="3735">
        <v>22</v>
      </c>
      <c r="B75" s="1568" t="str">
        <f>TEXT(LEFT(K75,10),"0000000000")</f>
        <v>2200001955</v>
      </c>
      <c r="C75" s="1921" t="s">
        <v>6082</v>
      </c>
      <c r="D75" s="2624">
        <v>13300</v>
      </c>
      <c r="E75" s="1921" t="s">
        <v>6083</v>
      </c>
      <c r="F75" s="1902" t="s">
        <v>3416</v>
      </c>
      <c r="G75" s="1921" t="s">
        <v>6084</v>
      </c>
      <c r="H75" s="1921"/>
      <c r="I75" s="1921" t="s">
        <v>19</v>
      </c>
      <c r="J75" s="1921" t="s">
        <v>959</v>
      </c>
      <c r="K75" s="1845" t="s">
        <v>6085</v>
      </c>
      <c r="L75" s="2583">
        <v>2000</v>
      </c>
      <c r="M75" s="1909" t="s">
        <v>6086</v>
      </c>
      <c r="N75" s="1543" t="s">
        <v>6030</v>
      </c>
      <c r="O75" s="1862"/>
      <c r="P75" s="2429">
        <v>2</v>
      </c>
      <c r="Q75" s="2150"/>
      <c r="R75" s="2150"/>
      <c r="S75" s="2150"/>
      <c r="T75" s="2150"/>
      <c r="U75" s="2150"/>
      <c r="V75" s="2150"/>
      <c r="W75" s="2643"/>
      <c r="X75" s="2643"/>
      <c r="Y75" s="2643"/>
      <c r="Z75" s="2643"/>
      <c r="AA75" s="2643"/>
    </row>
    <row r="76" spans="1:27" s="1467" customFormat="1" ht="55.5" customHeight="1">
      <c r="A76" s="3736"/>
      <c r="B76" s="1568" t="str">
        <f t="shared" si="12"/>
        <v>2000002981</v>
      </c>
      <c r="C76" s="1493" t="s">
        <v>4216</v>
      </c>
      <c r="D76" s="2613"/>
      <c r="E76" s="1543"/>
      <c r="F76" s="1493" t="s">
        <v>3416</v>
      </c>
      <c r="G76" s="1543"/>
      <c r="H76" s="1495"/>
      <c r="I76" s="1495" t="s">
        <v>19</v>
      </c>
      <c r="J76" s="1495" t="s">
        <v>959</v>
      </c>
      <c r="K76" s="1854" t="s">
        <v>6087</v>
      </c>
      <c r="L76" s="2357">
        <v>5000</v>
      </c>
      <c r="M76" s="2196" t="s">
        <v>5945</v>
      </c>
      <c r="N76" s="1543"/>
      <c r="O76" s="2544"/>
      <c r="P76" s="1852">
        <v>2</v>
      </c>
      <c r="Q76" s="1559"/>
      <c r="R76" s="1495" t="s">
        <v>5994</v>
      </c>
      <c r="S76" s="2720" t="e">
        <f>VLOOKUP(R76,#REF!,2,0)</f>
        <v>#REF!</v>
      </c>
      <c r="T76" s="2720" t="e">
        <f>VLOOKUP(R76,#REF!,3,0)</f>
        <v>#REF!</v>
      </c>
      <c r="U76" s="2721" t="e">
        <f>S76-T76</f>
        <v>#REF!</v>
      </c>
    </row>
    <row r="77" spans="1:27" s="1467" customFormat="1" ht="55.5" customHeight="1">
      <c r="A77" s="3736"/>
      <c r="B77" s="1900" t="str">
        <f t="shared" si="12"/>
        <v>2000003038</v>
      </c>
      <c r="C77" s="1493" t="s">
        <v>4216</v>
      </c>
      <c r="D77" s="1548"/>
      <c r="E77" s="1548"/>
      <c r="F77" s="1493" t="s">
        <v>3416</v>
      </c>
      <c r="G77" s="1495"/>
      <c r="H77" s="1568"/>
      <c r="I77" s="1495" t="s">
        <v>19</v>
      </c>
      <c r="J77" s="1495" t="s">
        <v>959</v>
      </c>
      <c r="K77" s="1600" t="s">
        <v>6088</v>
      </c>
      <c r="L77" s="2357">
        <v>1900</v>
      </c>
      <c r="M77" s="2196" t="s">
        <v>5945</v>
      </c>
      <c r="N77" s="1493"/>
      <c r="O77" s="1859"/>
      <c r="P77" s="1790">
        <v>2</v>
      </c>
      <c r="Q77" s="1548"/>
      <c r="R77" s="1495"/>
      <c r="S77" s="1495"/>
      <c r="T77" s="1495"/>
      <c r="U77" s="1748"/>
      <c r="V77" s="1548"/>
      <c r="W77" s="1548"/>
      <c r="X77" s="1548"/>
      <c r="Y77" s="1493"/>
      <c r="Z77" s="1493"/>
      <c r="AA77" s="1493"/>
    </row>
    <row r="78" spans="1:27" s="1467" customFormat="1" ht="55.5" customHeight="1">
      <c r="A78" s="3736"/>
      <c r="B78" s="1900" t="str">
        <f t="shared" si="12"/>
        <v>2000003039</v>
      </c>
      <c r="C78" s="1493" t="s">
        <v>4216</v>
      </c>
      <c r="D78" s="1548"/>
      <c r="E78" s="1548"/>
      <c r="F78" s="1493" t="s">
        <v>3416</v>
      </c>
      <c r="G78" s="1495"/>
      <c r="H78" s="1568"/>
      <c r="I78" s="1495" t="s">
        <v>19</v>
      </c>
      <c r="J78" s="1495" t="s">
        <v>959</v>
      </c>
      <c r="K78" s="1600" t="s">
        <v>6089</v>
      </c>
      <c r="L78" s="2357">
        <v>1100</v>
      </c>
      <c r="M78" s="2196" t="s">
        <v>5945</v>
      </c>
      <c r="N78" s="1493"/>
      <c r="O78" s="1859"/>
      <c r="P78" s="1790">
        <v>2</v>
      </c>
      <c r="Q78" s="1548"/>
      <c r="R78" s="1495"/>
      <c r="S78" s="1495"/>
      <c r="T78" s="1495"/>
      <c r="U78" s="1748"/>
      <c r="V78" s="1548"/>
      <c r="W78" s="1548"/>
      <c r="X78" s="1548"/>
      <c r="Y78" s="1493"/>
      <c r="Z78" s="1493"/>
      <c r="AA78" s="1493"/>
    </row>
    <row r="79" spans="1:27" s="1467" customFormat="1" ht="55.5" customHeight="1">
      <c r="A79" s="3736"/>
      <c r="B79" s="1900" t="str">
        <f t="shared" si="12"/>
        <v>2200001990</v>
      </c>
      <c r="C79" s="1493" t="s">
        <v>4216</v>
      </c>
      <c r="D79" s="1548"/>
      <c r="E79" s="1548"/>
      <c r="F79" s="1493" t="s">
        <v>3416</v>
      </c>
      <c r="G79" s="1495"/>
      <c r="H79" s="1568"/>
      <c r="I79" s="1495" t="s">
        <v>19</v>
      </c>
      <c r="J79" s="1495" t="s">
        <v>959</v>
      </c>
      <c r="K79" s="1600" t="s">
        <v>6090</v>
      </c>
      <c r="L79" s="2357">
        <v>164</v>
      </c>
      <c r="M79" s="2196" t="s">
        <v>6091</v>
      </c>
      <c r="N79" s="1545"/>
      <c r="O79" s="2544"/>
      <c r="P79" s="1790">
        <v>2</v>
      </c>
      <c r="Q79" s="1559"/>
      <c r="R79" s="1495"/>
      <c r="S79" s="1495"/>
      <c r="T79" s="1495"/>
      <c r="U79" s="1748"/>
      <c r="Y79" s="1474"/>
      <c r="Z79" s="1474"/>
      <c r="AA79" s="1474"/>
    </row>
    <row r="80" spans="1:27" s="1467" customFormat="1" ht="55.5" customHeight="1">
      <c r="A80" s="3736"/>
      <c r="B80" s="1900" t="str">
        <f t="shared" si="12"/>
        <v>2200001976</v>
      </c>
      <c r="C80" s="1493" t="s">
        <v>4216</v>
      </c>
      <c r="D80" s="1883"/>
      <c r="E80" s="1883"/>
      <c r="F80" s="1493" t="s">
        <v>3416</v>
      </c>
      <c r="G80" s="1851"/>
      <c r="H80" s="1568"/>
      <c r="I80" s="1495" t="s">
        <v>19</v>
      </c>
      <c r="J80" s="1495" t="s">
        <v>959</v>
      </c>
      <c r="K80" s="1600" t="s">
        <v>6092</v>
      </c>
      <c r="L80" s="2357">
        <v>94</v>
      </c>
      <c r="M80" s="2196" t="s">
        <v>5945</v>
      </c>
      <c r="N80" s="1545"/>
      <c r="O80" s="2544"/>
      <c r="P80" s="1790">
        <v>2</v>
      </c>
      <c r="Q80" s="1559"/>
      <c r="R80" s="1495"/>
      <c r="S80" s="1495"/>
      <c r="T80" s="1495"/>
      <c r="U80" s="1748"/>
      <c r="Y80" s="1474"/>
      <c r="Z80" s="1474"/>
      <c r="AA80" s="1474"/>
    </row>
    <row r="81" spans="1:27" s="1467" customFormat="1" ht="55.5" customHeight="1">
      <c r="A81" s="3736"/>
      <c r="B81" s="1900" t="str">
        <f t="shared" si="12"/>
        <v>2200002019</v>
      </c>
      <c r="C81" s="1493" t="s">
        <v>4216</v>
      </c>
      <c r="D81" s="1883"/>
      <c r="E81" s="1883"/>
      <c r="F81" s="1493" t="s">
        <v>3416</v>
      </c>
      <c r="G81" s="1851"/>
      <c r="H81" s="1568"/>
      <c r="I81" s="1495" t="s">
        <v>19</v>
      </c>
      <c r="J81" s="1495" t="s">
        <v>959</v>
      </c>
      <c r="K81" s="1547" t="s">
        <v>6093</v>
      </c>
      <c r="L81" s="2357">
        <v>400</v>
      </c>
      <c r="M81" s="1748" t="s">
        <v>6094</v>
      </c>
      <c r="N81" s="1545"/>
      <c r="O81" s="2544"/>
      <c r="P81" s="1790">
        <v>2</v>
      </c>
      <c r="Q81" s="1559"/>
      <c r="R81" s="1495"/>
      <c r="S81" s="1495"/>
      <c r="T81" s="1495"/>
      <c r="U81" s="1748"/>
      <c r="Y81" s="1474"/>
      <c r="Z81" s="1474"/>
      <c r="AA81" s="1474"/>
    </row>
    <row r="82" spans="1:27" s="1467" customFormat="1" ht="55.5" customHeight="1">
      <c r="A82" s="3736"/>
      <c r="B82" s="1900" t="str">
        <f t="shared" si="12"/>
        <v>2200002021</v>
      </c>
      <c r="C82" s="1493" t="s">
        <v>4216</v>
      </c>
      <c r="D82" s="1883"/>
      <c r="E82" s="1883"/>
      <c r="F82" s="1493" t="s">
        <v>3416</v>
      </c>
      <c r="G82" s="1851"/>
      <c r="H82" s="1568"/>
      <c r="I82" s="1495" t="s">
        <v>19</v>
      </c>
      <c r="J82" s="1495" t="s">
        <v>959</v>
      </c>
      <c r="K82" s="1547" t="s">
        <v>6095</v>
      </c>
      <c r="L82" s="2357">
        <v>477</v>
      </c>
      <c r="M82" s="2196" t="s">
        <v>5953</v>
      </c>
      <c r="N82" s="1545"/>
      <c r="O82" s="2544"/>
      <c r="P82" s="1790">
        <v>2</v>
      </c>
      <c r="Q82" s="1559"/>
      <c r="R82" s="1495"/>
      <c r="S82" s="1495"/>
      <c r="T82" s="1495"/>
      <c r="U82" s="1748"/>
      <c r="Y82" s="1474"/>
      <c r="Z82" s="1474"/>
      <c r="AA82" s="1474"/>
    </row>
    <row r="83" spans="1:27" s="1467" customFormat="1" ht="55.5" customHeight="1">
      <c r="A83" s="3736"/>
      <c r="B83" s="1900" t="str">
        <f t="shared" si="12"/>
        <v>2200001982</v>
      </c>
      <c r="C83" s="1493" t="s">
        <v>4216</v>
      </c>
      <c r="D83" s="1883"/>
      <c r="E83" s="1883"/>
      <c r="F83" s="1493" t="s">
        <v>3416</v>
      </c>
      <c r="G83" s="1851"/>
      <c r="H83" s="1568"/>
      <c r="I83" s="1495" t="s">
        <v>19</v>
      </c>
      <c r="J83" s="1495" t="s">
        <v>959</v>
      </c>
      <c r="K83" s="1600" t="s">
        <v>6096</v>
      </c>
      <c r="L83" s="2357">
        <v>39</v>
      </c>
      <c r="M83" s="2196" t="s">
        <v>5454</v>
      </c>
      <c r="N83" s="1545"/>
      <c r="O83" s="2544"/>
      <c r="P83" s="1790">
        <v>2</v>
      </c>
      <c r="Q83" s="1559"/>
      <c r="R83" s="1495"/>
      <c r="S83" s="1495"/>
      <c r="T83" s="1495"/>
      <c r="U83" s="1748"/>
      <c r="Y83" s="1474"/>
      <c r="Z83" s="1474"/>
      <c r="AA83" s="1474"/>
    </row>
    <row r="84" spans="1:27" s="1467" customFormat="1" ht="55.5" customHeight="1">
      <c r="A84" s="3736"/>
      <c r="B84" s="1900" t="str">
        <f>TEXT(LEFT(K84,10),"0000000000")</f>
        <v>2200002018</v>
      </c>
      <c r="C84" s="1493" t="s">
        <v>4216</v>
      </c>
      <c r="D84" s="1883"/>
      <c r="E84" s="1883"/>
      <c r="F84" s="1493" t="s">
        <v>3416</v>
      </c>
      <c r="G84" s="1851"/>
      <c r="H84" s="1568"/>
      <c r="I84" s="1495" t="s">
        <v>19</v>
      </c>
      <c r="J84" s="1495" t="s">
        <v>959</v>
      </c>
      <c r="K84" s="1600" t="s">
        <v>6097</v>
      </c>
      <c r="L84" s="2357">
        <v>690</v>
      </c>
      <c r="M84" s="2196" t="s">
        <v>5937</v>
      </c>
      <c r="N84" s="1545"/>
      <c r="O84" s="2544"/>
      <c r="P84" s="1790">
        <v>2</v>
      </c>
      <c r="Q84" s="1559"/>
      <c r="R84" s="1495"/>
      <c r="S84" s="1495"/>
      <c r="T84" s="1495"/>
      <c r="U84" s="1748"/>
      <c r="Y84" s="1474"/>
      <c r="Z84" s="1474"/>
      <c r="AA84" s="1474"/>
    </row>
    <row r="85" spans="1:27" s="1467" customFormat="1" ht="55.5" customHeight="1">
      <c r="A85" s="3737"/>
      <c r="B85" s="1900" t="str">
        <f t="shared" si="12"/>
        <v>2200002020</v>
      </c>
      <c r="C85" s="1493" t="s">
        <v>4216</v>
      </c>
      <c r="D85" s="1883"/>
      <c r="E85" s="1883"/>
      <c r="F85" s="1493" t="s">
        <v>3416</v>
      </c>
      <c r="G85" s="1851"/>
      <c r="H85" s="1568"/>
      <c r="I85" s="1495" t="s">
        <v>19</v>
      </c>
      <c r="J85" s="1495" t="s">
        <v>959</v>
      </c>
      <c r="K85" s="1600" t="s">
        <v>6098</v>
      </c>
      <c r="L85" s="2357">
        <v>1436</v>
      </c>
      <c r="M85" s="2196" t="s">
        <v>5953</v>
      </c>
      <c r="N85" s="1545"/>
      <c r="O85" s="2544"/>
      <c r="P85" s="1790">
        <v>2</v>
      </c>
      <c r="Q85" s="1559"/>
      <c r="R85" s="1495"/>
      <c r="S85" s="1495"/>
      <c r="T85" s="1495"/>
      <c r="U85" s="1748"/>
      <c r="Y85" s="1474"/>
      <c r="Z85" s="1474"/>
      <c r="AA85" s="1474"/>
    </row>
    <row r="86" spans="1:27" s="1467" customFormat="1" ht="58.5" customHeight="1">
      <c r="A86" s="3744">
        <v>23</v>
      </c>
      <c r="B86" s="1900" t="str">
        <f t="shared" si="10"/>
        <v>2000003015</v>
      </c>
      <c r="C86" s="1902" t="s">
        <v>3499</v>
      </c>
      <c r="D86" s="2607">
        <v>8800</v>
      </c>
      <c r="E86" s="1921" t="s">
        <v>6099</v>
      </c>
      <c r="F86" s="1902" t="s">
        <v>3401</v>
      </c>
      <c r="G86" s="1921" t="s">
        <v>6100</v>
      </c>
      <c r="H86" s="1921"/>
      <c r="I86" s="1921" t="s">
        <v>19</v>
      </c>
      <c r="J86" s="1921" t="s">
        <v>123</v>
      </c>
      <c r="K86" s="1845" t="s">
        <v>6101</v>
      </c>
      <c r="L86" s="2583">
        <v>4000</v>
      </c>
      <c r="M86" s="2196" t="s">
        <v>6102</v>
      </c>
      <c r="N86" s="1493" t="s">
        <v>6026</v>
      </c>
      <c r="O86" s="1859"/>
      <c r="P86" s="1790">
        <v>2</v>
      </c>
      <c r="Q86" s="1548"/>
      <c r="R86" s="1495"/>
      <c r="S86" s="1495"/>
      <c r="T86" s="1495"/>
      <c r="U86" s="1748"/>
      <c r="V86" s="1548"/>
      <c r="W86" s="1548"/>
      <c r="X86" s="1548"/>
      <c r="Y86" s="1493"/>
      <c r="Z86" s="1493"/>
      <c r="AA86" s="1493"/>
    </row>
    <row r="87" spans="1:27" s="1467" customFormat="1" ht="58.5" customHeight="1">
      <c r="A87" s="3744"/>
      <c r="B87" s="1900" t="str">
        <f t="shared" si="10"/>
        <v>2000003027</v>
      </c>
      <c r="C87" s="1493" t="s">
        <v>3499</v>
      </c>
      <c r="D87" s="1494"/>
      <c r="E87" s="1495"/>
      <c r="F87" s="1493" t="s">
        <v>3401</v>
      </c>
      <c r="G87" s="1495"/>
      <c r="H87" s="1495"/>
      <c r="I87" s="1495" t="s">
        <v>19</v>
      </c>
      <c r="J87" s="1495" t="s">
        <v>123</v>
      </c>
      <c r="K87" s="1600" t="s">
        <v>6059</v>
      </c>
      <c r="L87" s="2357">
        <v>1900</v>
      </c>
      <c r="M87" s="2196" t="s">
        <v>5945</v>
      </c>
      <c r="N87" s="1493"/>
      <c r="O87" s="1859"/>
      <c r="P87" s="1790">
        <v>2</v>
      </c>
      <c r="Q87" s="1548"/>
      <c r="R87" s="1495"/>
      <c r="S87" s="1495"/>
      <c r="T87" s="1495"/>
      <c r="U87" s="1909"/>
      <c r="V87" s="1548"/>
      <c r="W87" s="1548"/>
      <c r="X87" s="1548"/>
      <c r="Y87" s="1493"/>
      <c r="Z87" s="1493"/>
      <c r="AA87" s="1493"/>
    </row>
    <row r="88" spans="1:27" s="1467" customFormat="1" ht="67.5" customHeight="1">
      <c r="A88" s="3744"/>
      <c r="B88" s="1900" t="str">
        <f t="shared" si="10"/>
        <v>2000003042</v>
      </c>
      <c r="C88" s="1493" t="s">
        <v>3499</v>
      </c>
      <c r="D88" s="1494"/>
      <c r="E88" s="1495"/>
      <c r="F88" s="1493" t="s">
        <v>3401</v>
      </c>
      <c r="G88" s="1495"/>
      <c r="H88" s="1495"/>
      <c r="I88" s="1495" t="s">
        <v>19</v>
      </c>
      <c r="J88" s="1495" t="s">
        <v>123</v>
      </c>
      <c r="K88" s="1546" t="s">
        <v>6103</v>
      </c>
      <c r="L88" s="2357">
        <v>600</v>
      </c>
      <c r="M88" s="1748" t="s">
        <v>5961</v>
      </c>
      <c r="N88" s="1493"/>
      <c r="O88" s="1859"/>
      <c r="P88" s="1790">
        <v>2</v>
      </c>
      <c r="Q88" s="1548"/>
      <c r="R88" s="1495"/>
      <c r="S88" s="1495"/>
      <c r="T88" s="1495"/>
      <c r="U88" s="1909"/>
      <c r="V88" s="1548"/>
      <c r="W88" s="1548"/>
      <c r="X88" s="1548"/>
      <c r="Y88" s="1493"/>
      <c r="Z88" s="1493"/>
      <c r="AA88" s="1493"/>
    </row>
    <row r="89" spans="1:27" s="1467" customFormat="1" ht="76.5" customHeight="1">
      <c r="A89" s="3744"/>
      <c r="B89" s="1900" t="str">
        <f t="shared" si="10"/>
        <v>2000003034</v>
      </c>
      <c r="C89" s="1493" t="s">
        <v>3499</v>
      </c>
      <c r="D89" s="1494"/>
      <c r="E89" s="1543"/>
      <c r="F89" s="1493" t="s">
        <v>3401</v>
      </c>
      <c r="G89" s="1495"/>
      <c r="H89" s="1495"/>
      <c r="I89" s="1495" t="s">
        <v>19</v>
      </c>
      <c r="J89" s="1773" t="s">
        <v>5325</v>
      </c>
      <c r="K89" s="1600" t="s">
        <v>6104</v>
      </c>
      <c r="L89" s="2483">
        <v>2300</v>
      </c>
      <c r="M89" s="1909" t="s">
        <v>5961</v>
      </c>
      <c r="N89" s="1493"/>
      <c r="O89" s="1859"/>
      <c r="P89" s="1790">
        <v>2</v>
      </c>
      <c r="Q89" s="1548"/>
      <c r="R89" s="1495"/>
      <c r="S89" s="1495"/>
      <c r="T89" s="1495"/>
      <c r="U89" s="1909"/>
      <c r="V89" s="1548"/>
      <c r="Y89" s="1474"/>
      <c r="Z89" s="1474"/>
      <c r="AA89" s="1474"/>
    </row>
    <row r="90" spans="1:27" s="2643" customFormat="1" ht="58.5" customHeight="1">
      <c r="A90" s="3749">
        <v>24</v>
      </c>
      <c r="B90" s="1900" t="str">
        <f t="shared" si="10"/>
        <v>2000003035</v>
      </c>
      <c r="C90" s="1902" t="s">
        <v>193</v>
      </c>
      <c r="D90" s="2607">
        <v>11700</v>
      </c>
      <c r="E90" s="2187" t="s">
        <v>6105</v>
      </c>
      <c r="F90" s="1902" t="s">
        <v>3401</v>
      </c>
      <c r="G90" s="1921" t="s">
        <v>6106</v>
      </c>
      <c r="H90" s="1921"/>
      <c r="I90" s="1921" t="s">
        <v>19</v>
      </c>
      <c r="J90" s="1561" t="s">
        <v>5325</v>
      </c>
      <c r="K90" s="2402" t="s">
        <v>6107</v>
      </c>
      <c r="L90" s="2480">
        <v>4200</v>
      </c>
      <c r="M90" s="1909" t="s">
        <v>5961</v>
      </c>
      <c r="N90" s="1493" t="s">
        <v>6030</v>
      </c>
      <c r="O90" s="1775"/>
      <c r="P90" s="1790">
        <v>2</v>
      </c>
      <c r="Q90" s="2150"/>
      <c r="R90" s="1921"/>
      <c r="S90" s="1921"/>
      <c r="T90" s="1921"/>
      <c r="U90" s="1909"/>
      <c r="V90" s="2150"/>
      <c r="Y90" s="2659"/>
      <c r="Z90" s="2659"/>
      <c r="AA90" s="2659"/>
    </row>
    <row r="91" spans="1:27" s="1548" customFormat="1" ht="63" customHeight="1">
      <c r="A91" s="3750"/>
      <c r="B91" s="1568" t="str">
        <f t="shared" ref="B91:B97" si="13">TEXT(LEFT(K91,10),"0000000000")</f>
        <v>2000002999</v>
      </c>
      <c r="C91" s="1493" t="s">
        <v>193</v>
      </c>
      <c r="D91" s="1494"/>
      <c r="E91" s="1495"/>
      <c r="F91" s="1493" t="s">
        <v>3401</v>
      </c>
      <c r="G91" s="1495"/>
      <c r="H91" s="1495"/>
      <c r="I91" s="1495" t="s">
        <v>19</v>
      </c>
      <c r="J91" s="1495" t="s">
        <v>63</v>
      </c>
      <c r="K91" s="1600" t="s">
        <v>6108</v>
      </c>
      <c r="L91" s="2357">
        <v>7500</v>
      </c>
      <c r="M91" s="1748" t="s">
        <v>6109</v>
      </c>
      <c r="N91" s="1493"/>
      <c r="O91" s="1859"/>
      <c r="P91" s="1790">
        <v>2</v>
      </c>
      <c r="R91" s="1495"/>
      <c r="S91" s="1495"/>
      <c r="T91" s="1495"/>
      <c r="U91" s="1748"/>
      <c r="Y91" s="1493"/>
      <c r="Z91" s="1493"/>
      <c r="AA91" s="1493"/>
    </row>
    <row r="92" spans="1:27" s="1548" customFormat="1" ht="63" customHeight="1">
      <c r="A92" s="2766">
        <v>25</v>
      </c>
      <c r="B92" s="1543" t="str">
        <f>TEXT(LEFT(K92,10),"0000000000")</f>
        <v>2200002022</v>
      </c>
      <c r="C92" s="2563" t="s">
        <v>3556</v>
      </c>
      <c r="D92" s="2607">
        <v>4300</v>
      </c>
      <c r="E92" s="1921" t="s">
        <v>6110</v>
      </c>
      <c r="F92" s="1902" t="s">
        <v>84</v>
      </c>
      <c r="G92" s="1921" t="s">
        <v>6111</v>
      </c>
      <c r="H92" s="1921"/>
      <c r="I92" s="1921" t="s">
        <v>19</v>
      </c>
      <c r="J92" s="1921" t="s">
        <v>101</v>
      </c>
      <c r="K92" s="1911" t="s">
        <v>6044</v>
      </c>
      <c r="L92" s="2583">
        <v>4300</v>
      </c>
      <c r="M92" s="2196" t="s">
        <v>6112</v>
      </c>
      <c r="N92" s="1495" t="s">
        <v>6113</v>
      </c>
      <c r="O92" s="1775"/>
      <c r="P92" s="2429">
        <v>2</v>
      </c>
      <c r="Q92" s="2150"/>
      <c r="R92" s="1921"/>
      <c r="S92" s="1921"/>
      <c r="T92" s="1921"/>
      <c r="U92" s="1909"/>
      <c r="V92" s="2150"/>
      <c r="W92" s="2150"/>
      <c r="X92" s="2150"/>
      <c r="Y92" s="1902"/>
      <c r="Z92" s="1902"/>
      <c r="AA92" s="1902"/>
    </row>
    <row r="93" spans="1:27" s="2150" customFormat="1" ht="58.5" customHeight="1">
      <c r="A93" s="3735">
        <v>26</v>
      </c>
      <c r="B93" s="1543" t="str">
        <f t="shared" si="13"/>
        <v>2400001189</v>
      </c>
      <c r="C93" s="1902" t="s">
        <v>6114</v>
      </c>
      <c r="D93" s="2607">
        <f>SUM(L93:L98)</f>
        <v>30450</v>
      </c>
      <c r="E93" s="1921" t="s">
        <v>6115</v>
      </c>
      <c r="F93" s="1902" t="s">
        <v>25</v>
      </c>
      <c r="G93" s="1921" t="s">
        <v>6116</v>
      </c>
      <c r="H93" s="1921"/>
      <c r="I93" s="1921" t="s">
        <v>19</v>
      </c>
      <c r="J93" s="1921" t="s">
        <v>6117</v>
      </c>
      <c r="K93" s="1911" t="s">
        <v>6118</v>
      </c>
      <c r="L93" s="2583">
        <v>15000</v>
      </c>
      <c r="M93" s="1748" t="s">
        <v>5961</v>
      </c>
      <c r="N93" s="1495"/>
      <c r="O93" s="1775"/>
      <c r="P93" s="2429">
        <v>2</v>
      </c>
      <c r="R93" s="1921"/>
      <c r="S93" s="1921"/>
      <c r="T93" s="1921"/>
      <c r="U93" s="1909"/>
      <c r="Y93" s="1902"/>
      <c r="Z93" s="1902"/>
      <c r="AA93" s="1902"/>
    </row>
    <row r="94" spans="1:27" s="1548" customFormat="1" ht="58.5" customHeight="1">
      <c r="A94" s="3736"/>
      <c r="B94" s="1543" t="str">
        <f>TEXT(LEFT(K94,10),"0000000000")</f>
        <v>2400001206</v>
      </c>
      <c r="C94" s="1493" t="s">
        <v>6114</v>
      </c>
      <c r="D94" s="1494"/>
      <c r="E94" s="1495"/>
      <c r="F94" s="1493" t="s">
        <v>25</v>
      </c>
      <c r="G94" s="1495"/>
      <c r="H94" s="1495"/>
      <c r="I94" s="1495" t="s">
        <v>19</v>
      </c>
      <c r="J94" s="1495" t="s">
        <v>6119</v>
      </c>
      <c r="K94" s="2769" t="s">
        <v>6120</v>
      </c>
      <c r="L94" s="2357">
        <v>2000</v>
      </c>
      <c r="M94" s="1748" t="s">
        <v>5961</v>
      </c>
      <c r="N94" s="1495"/>
      <c r="O94" s="1859" t="s">
        <v>6121</v>
      </c>
      <c r="P94" s="1790">
        <v>2</v>
      </c>
      <c r="R94" s="1495"/>
      <c r="S94" s="1495"/>
      <c r="T94" s="1495"/>
      <c r="U94" s="1909"/>
      <c r="Y94" s="1493"/>
      <c r="Z94" s="1493"/>
      <c r="AA94" s="1493"/>
    </row>
    <row r="95" spans="1:27" s="1548" customFormat="1" ht="58.5" customHeight="1">
      <c r="A95" s="3736"/>
      <c r="B95" s="1543" t="str">
        <f t="shared" si="13"/>
        <v>2400001207</v>
      </c>
      <c r="C95" s="1493" t="s">
        <v>6114</v>
      </c>
      <c r="D95" s="1494"/>
      <c r="E95" s="1495"/>
      <c r="F95" s="1493" t="s">
        <v>25</v>
      </c>
      <c r="G95" s="1495"/>
      <c r="H95" s="1495"/>
      <c r="I95" s="1495" t="s">
        <v>19</v>
      </c>
      <c r="J95" s="1495" t="s">
        <v>6119</v>
      </c>
      <c r="K95" s="1547" t="s">
        <v>6122</v>
      </c>
      <c r="L95" s="2357">
        <v>2000</v>
      </c>
      <c r="M95" s="1748" t="s">
        <v>5961</v>
      </c>
      <c r="N95" s="1495"/>
      <c r="O95" s="1859" t="s">
        <v>6123</v>
      </c>
      <c r="P95" s="1790">
        <v>2</v>
      </c>
      <c r="R95" s="1495"/>
      <c r="S95" s="1495"/>
      <c r="T95" s="1495"/>
      <c r="U95" s="1909"/>
      <c r="Y95" s="1493"/>
      <c r="Z95" s="1493"/>
      <c r="AA95" s="1493"/>
    </row>
    <row r="96" spans="1:27" s="1548" customFormat="1" ht="58.5" customHeight="1">
      <c r="A96" s="3736"/>
      <c r="B96" s="1543" t="str">
        <f t="shared" si="13"/>
        <v>2400001208</v>
      </c>
      <c r="C96" s="1493" t="s">
        <v>6114</v>
      </c>
      <c r="D96" s="1494"/>
      <c r="E96" s="1495"/>
      <c r="F96" s="1493" t="s">
        <v>25</v>
      </c>
      <c r="G96" s="1495"/>
      <c r="H96" s="1495"/>
      <c r="I96" s="1495" t="s">
        <v>19</v>
      </c>
      <c r="J96" s="1495" t="s">
        <v>6119</v>
      </c>
      <c r="K96" s="1547" t="s">
        <v>6124</v>
      </c>
      <c r="L96" s="2357">
        <v>3000</v>
      </c>
      <c r="M96" s="1748" t="s">
        <v>5961</v>
      </c>
      <c r="N96" s="1495"/>
      <c r="O96" s="1859" t="s">
        <v>6125</v>
      </c>
      <c r="P96" s="1790">
        <v>2</v>
      </c>
      <c r="R96" s="1495"/>
      <c r="S96" s="1495"/>
      <c r="T96" s="1495"/>
      <c r="U96" s="1909"/>
      <c r="Y96" s="1493"/>
      <c r="Z96" s="1493"/>
      <c r="AA96" s="1493"/>
    </row>
    <row r="97" spans="1:27" s="1548" customFormat="1" ht="58.5" customHeight="1">
      <c r="A97" s="3736"/>
      <c r="B97" s="1543" t="str">
        <f t="shared" si="13"/>
        <v>2400001209</v>
      </c>
      <c r="C97" s="1493" t="s">
        <v>6114</v>
      </c>
      <c r="D97" s="1494"/>
      <c r="E97" s="1495"/>
      <c r="F97" s="1493" t="s">
        <v>25</v>
      </c>
      <c r="G97" s="1495"/>
      <c r="H97" s="1495"/>
      <c r="I97" s="1495" t="s">
        <v>19</v>
      </c>
      <c r="J97" s="1495" t="s">
        <v>6119</v>
      </c>
      <c r="K97" s="1547" t="s">
        <v>6126</v>
      </c>
      <c r="L97" s="2357">
        <v>3000</v>
      </c>
      <c r="M97" s="1748" t="s">
        <v>5961</v>
      </c>
      <c r="N97" s="1495"/>
      <c r="O97" s="1859" t="s">
        <v>6127</v>
      </c>
      <c r="P97" s="1790">
        <v>2</v>
      </c>
      <c r="R97" s="1495"/>
      <c r="S97" s="1495"/>
      <c r="T97" s="1495"/>
      <c r="U97" s="1909"/>
      <c r="Y97" s="1493"/>
      <c r="Z97" s="1493"/>
      <c r="AA97" s="1493"/>
    </row>
    <row r="98" spans="1:27" s="1548" customFormat="1" ht="58.5" customHeight="1">
      <c r="A98" s="3737"/>
      <c r="B98" s="1543" t="str">
        <f t="shared" ref="B98:B103" si="14">TEXT(LEFT(K98,10),"0000000000")</f>
        <v>2400001203</v>
      </c>
      <c r="C98" s="1493" t="s">
        <v>6114</v>
      </c>
      <c r="D98" s="1494"/>
      <c r="E98" s="1495"/>
      <c r="F98" s="1493" t="s">
        <v>25</v>
      </c>
      <c r="G98" s="1495"/>
      <c r="H98" s="1495"/>
      <c r="I98" s="1495" t="s">
        <v>19</v>
      </c>
      <c r="J98" s="1495" t="s">
        <v>6119</v>
      </c>
      <c r="K98" s="1547" t="s">
        <v>6128</v>
      </c>
      <c r="L98" s="2357">
        <v>5450</v>
      </c>
      <c r="M98" s="1748" t="s">
        <v>5961</v>
      </c>
      <c r="N98" s="1495"/>
      <c r="O98" s="1859"/>
      <c r="P98" s="1790">
        <v>2</v>
      </c>
      <c r="R98" s="1495"/>
      <c r="S98" s="1495"/>
      <c r="T98" s="1495"/>
      <c r="U98" s="1909"/>
      <c r="Y98" s="1493"/>
      <c r="Z98" s="1493"/>
      <c r="AA98" s="1493"/>
    </row>
    <row r="99" spans="1:27" s="2150" customFormat="1" ht="58.5" customHeight="1">
      <c r="A99" s="2766">
        <v>27</v>
      </c>
      <c r="B99" s="1543" t="str">
        <f>TEXT(LEFT(K99,10),"0000000000")</f>
        <v>2200002022</v>
      </c>
      <c r="C99" s="2563" t="s">
        <v>59</v>
      </c>
      <c r="D99" s="2607">
        <v>3240</v>
      </c>
      <c r="E99" s="1921" t="s">
        <v>6129</v>
      </c>
      <c r="F99" s="1902" t="s">
        <v>61</v>
      </c>
      <c r="G99" s="1921" t="s">
        <v>6130</v>
      </c>
      <c r="H99" s="1921"/>
      <c r="I99" s="1921" t="s">
        <v>19</v>
      </c>
      <c r="J99" s="1921" t="s">
        <v>101</v>
      </c>
      <c r="K99" s="1911" t="s">
        <v>6044</v>
      </c>
      <c r="L99" s="2583">
        <v>3240</v>
      </c>
      <c r="M99" s="2196" t="s">
        <v>6112</v>
      </c>
      <c r="N99" s="1495" t="s">
        <v>6113</v>
      </c>
      <c r="O99" s="1775"/>
      <c r="P99" s="2429">
        <v>2</v>
      </c>
      <c r="R99" s="1921"/>
      <c r="S99" s="1921"/>
      <c r="T99" s="1921"/>
      <c r="U99" s="1909"/>
      <c r="Y99" s="1902"/>
      <c r="Z99" s="1902"/>
      <c r="AA99" s="1902"/>
    </row>
    <row r="100" spans="1:27" s="2150" customFormat="1" ht="58.5" customHeight="1">
      <c r="A100" s="3749">
        <v>28</v>
      </c>
      <c r="B100" s="1543" t="str">
        <f t="shared" si="14"/>
        <v>2200002022</v>
      </c>
      <c r="C100" s="2563" t="s">
        <v>5706</v>
      </c>
      <c r="D100" s="2607">
        <v>3250</v>
      </c>
      <c r="E100" s="1921" t="s">
        <v>6131</v>
      </c>
      <c r="F100" s="1902" t="s">
        <v>84</v>
      </c>
      <c r="G100" s="1921" t="s">
        <v>6132</v>
      </c>
      <c r="H100" s="1921"/>
      <c r="I100" s="1921" t="s">
        <v>19</v>
      </c>
      <c r="J100" s="1921" t="s">
        <v>101</v>
      </c>
      <c r="K100" s="1911" t="s">
        <v>6044</v>
      </c>
      <c r="L100" s="2583">
        <v>1000</v>
      </c>
      <c r="M100" s="2196" t="s">
        <v>6112</v>
      </c>
      <c r="N100" s="1495" t="s">
        <v>6030</v>
      </c>
      <c r="O100" s="1775"/>
      <c r="P100" s="2429">
        <v>2</v>
      </c>
      <c r="R100" s="1921"/>
      <c r="S100" s="1921"/>
      <c r="T100" s="1921"/>
      <c r="U100" s="1909"/>
      <c r="Y100" s="1902"/>
      <c r="Z100" s="1902"/>
      <c r="AA100" s="1902"/>
    </row>
    <row r="101" spans="1:27" s="1548" customFormat="1" ht="58.5" customHeight="1">
      <c r="A101" s="3751"/>
      <c r="B101" s="1543" t="str">
        <f t="shared" si="14"/>
        <v>2200002026</v>
      </c>
      <c r="C101" s="1626" t="s">
        <v>5706</v>
      </c>
      <c r="D101" s="1494"/>
      <c r="E101" s="1495"/>
      <c r="F101" s="1493" t="s">
        <v>84</v>
      </c>
      <c r="G101" s="1495"/>
      <c r="H101" s="1495"/>
      <c r="I101" s="1495" t="s">
        <v>19</v>
      </c>
      <c r="J101" s="1495" t="s">
        <v>101</v>
      </c>
      <c r="K101" s="1547" t="s">
        <v>6133</v>
      </c>
      <c r="L101" s="2357">
        <v>412</v>
      </c>
      <c r="M101" s="1748" t="s">
        <v>6134</v>
      </c>
      <c r="N101" s="1495"/>
      <c r="O101" s="1859"/>
      <c r="P101" s="1790">
        <v>2</v>
      </c>
      <c r="R101" s="1495"/>
      <c r="S101" s="1495"/>
      <c r="T101" s="1495"/>
      <c r="U101" s="1909"/>
      <c r="Y101" s="1493"/>
      <c r="Z101" s="1493"/>
      <c r="AA101" s="1493"/>
    </row>
    <row r="102" spans="1:27" s="1548" customFormat="1" ht="58.5" customHeight="1">
      <c r="A102" s="3751"/>
      <c r="B102" s="1543" t="str">
        <f t="shared" si="14"/>
        <v>2200002023</v>
      </c>
      <c r="C102" s="1626" t="s">
        <v>222</v>
      </c>
      <c r="D102" s="1494"/>
      <c r="E102" s="1495"/>
      <c r="F102" s="1493" t="s">
        <v>84</v>
      </c>
      <c r="G102" s="1495"/>
      <c r="H102" s="1495"/>
      <c r="I102" s="1495" t="s">
        <v>19</v>
      </c>
      <c r="J102" s="1495" t="s">
        <v>74</v>
      </c>
      <c r="K102" s="1547" t="s">
        <v>6135</v>
      </c>
      <c r="L102" s="2357">
        <v>243</v>
      </c>
      <c r="M102" s="2196" t="s">
        <v>6136</v>
      </c>
      <c r="N102" s="1495"/>
      <c r="O102" s="1859"/>
      <c r="P102" s="1790">
        <v>2</v>
      </c>
      <c r="R102" s="1495"/>
      <c r="S102" s="1495"/>
      <c r="T102" s="1495"/>
      <c r="U102" s="1909"/>
      <c r="Y102" s="1493"/>
      <c r="Z102" s="1493"/>
      <c r="AA102" s="1493"/>
    </row>
    <row r="103" spans="1:27" s="1548" customFormat="1" ht="58.5" customHeight="1">
      <c r="A103" s="3751"/>
      <c r="B103" s="1543" t="str">
        <f t="shared" si="14"/>
        <v>2200002027</v>
      </c>
      <c r="C103" s="1626" t="s">
        <v>5706</v>
      </c>
      <c r="D103" s="1494"/>
      <c r="E103" s="1495"/>
      <c r="F103" s="1493" t="s">
        <v>84</v>
      </c>
      <c r="G103" s="1495"/>
      <c r="H103" s="1495"/>
      <c r="I103" s="1495" t="s">
        <v>19</v>
      </c>
      <c r="J103" s="1495" t="s">
        <v>74</v>
      </c>
      <c r="K103" s="1547" t="s">
        <v>6137</v>
      </c>
      <c r="L103" s="2357">
        <v>275</v>
      </c>
      <c r="M103" s="1748" t="s">
        <v>6138</v>
      </c>
      <c r="N103" s="1495"/>
      <c r="O103" s="1859"/>
      <c r="P103" s="1790">
        <v>2</v>
      </c>
      <c r="R103" s="1495"/>
      <c r="S103" s="1495"/>
      <c r="T103" s="1495"/>
      <c r="U103" s="1909"/>
      <c r="Y103" s="1493"/>
      <c r="Z103" s="1493"/>
      <c r="AA103" s="1493"/>
    </row>
    <row r="104" spans="1:27" s="1548" customFormat="1" ht="81" customHeight="1">
      <c r="A104" s="3750"/>
      <c r="B104" s="1900" t="str">
        <f t="shared" ref="B104:B123" si="15">TEXT(LEFT(K104,10),"0000000000")</f>
        <v>2000003023</v>
      </c>
      <c r="C104" s="1626" t="s">
        <v>5706</v>
      </c>
      <c r="D104" s="1494"/>
      <c r="E104" s="1495"/>
      <c r="F104" s="1493" t="s">
        <v>84</v>
      </c>
      <c r="G104" s="1495"/>
      <c r="H104" s="1495"/>
      <c r="I104" s="1495" t="s">
        <v>19</v>
      </c>
      <c r="J104" s="1495" t="s">
        <v>74</v>
      </c>
      <c r="K104" s="1600" t="s">
        <v>6139</v>
      </c>
      <c r="L104" s="2357">
        <v>1300</v>
      </c>
      <c r="M104" s="1748" t="s">
        <v>6140</v>
      </c>
      <c r="N104" s="1493"/>
      <c r="O104" s="1859"/>
      <c r="P104" s="2716">
        <v>2</v>
      </c>
      <c r="R104" s="1495"/>
      <c r="S104" s="1495"/>
      <c r="T104" s="1495"/>
      <c r="U104" s="1909"/>
      <c r="Y104" s="1493"/>
      <c r="Z104" s="1493"/>
      <c r="AA104" s="1493"/>
    </row>
    <row r="105" spans="1:27" s="1548" customFormat="1" ht="81" customHeight="1">
      <c r="A105" s="3749">
        <v>30</v>
      </c>
      <c r="B105" s="1900" t="str">
        <f>TEXT(LEFT(K105,10),"0000000000")</f>
        <v>2200002029</v>
      </c>
      <c r="C105" s="1902" t="s">
        <v>93</v>
      </c>
      <c r="D105" s="2607">
        <v>2950</v>
      </c>
      <c r="E105" s="1921" t="s">
        <v>6141</v>
      </c>
      <c r="F105" s="1902" t="s">
        <v>84</v>
      </c>
      <c r="G105" s="1921" t="s">
        <v>6142</v>
      </c>
      <c r="H105" s="1921"/>
      <c r="I105" s="1921" t="s">
        <v>19</v>
      </c>
      <c r="J105" s="2370" t="s">
        <v>101</v>
      </c>
      <c r="K105" s="1911" t="s">
        <v>6143</v>
      </c>
      <c r="L105" s="2583">
        <v>2466</v>
      </c>
      <c r="M105" s="2196" t="s">
        <v>6144</v>
      </c>
      <c r="N105" s="1493"/>
      <c r="O105" s="1775"/>
      <c r="P105" s="2429">
        <v>2</v>
      </c>
      <c r="Q105" s="2150"/>
      <c r="R105" s="1921"/>
      <c r="S105" s="1921"/>
      <c r="T105" s="1921"/>
      <c r="U105" s="1909"/>
      <c r="V105" s="2150"/>
      <c r="W105" s="2150"/>
      <c r="X105" s="2150"/>
      <c r="Y105" s="1902"/>
      <c r="Z105" s="1902"/>
      <c r="AA105" s="1902"/>
    </row>
    <row r="106" spans="1:27" s="1548" customFormat="1" ht="81" customHeight="1">
      <c r="A106" s="3750"/>
      <c r="B106" s="1900" t="str">
        <f>TEXT(LEFT(K106,10),"0000000000")</f>
        <v>2200002035</v>
      </c>
      <c r="C106" s="1493" t="s">
        <v>93</v>
      </c>
      <c r="D106" s="2613"/>
      <c r="E106" s="1543"/>
      <c r="F106" s="1493" t="s">
        <v>84</v>
      </c>
      <c r="G106" s="1543"/>
      <c r="H106" s="1543"/>
      <c r="I106" s="1495" t="s">
        <v>19</v>
      </c>
      <c r="J106" s="1899" t="s">
        <v>74</v>
      </c>
      <c r="K106" s="1600" t="s">
        <v>6145</v>
      </c>
      <c r="L106" s="2357">
        <v>484</v>
      </c>
      <c r="M106" s="1852" t="s">
        <v>6146</v>
      </c>
      <c r="N106" s="1545"/>
      <c r="O106" s="2544"/>
      <c r="P106" s="1852">
        <v>2</v>
      </c>
      <c r="Q106" s="1559"/>
      <c r="R106" s="1543"/>
      <c r="S106" s="1543"/>
      <c r="T106" s="1543"/>
      <c r="U106" s="2051"/>
      <c r="V106" s="1467"/>
      <c r="W106" s="1467"/>
      <c r="X106" s="1467"/>
      <c r="Y106" s="1474"/>
      <c r="Z106" s="1474"/>
      <c r="AA106" s="1474"/>
    </row>
    <row r="107" spans="1:27" s="2150" customFormat="1" ht="58.5" customHeight="1">
      <c r="A107" s="3758">
        <v>31</v>
      </c>
      <c r="B107" s="1495" t="str">
        <f t="shared" si="15"/>
        <v>2200002022</v>
      </c>
      <c r="C107" s="2563" t="s">
        <v>82</v>
      </c>
      <c r="D107" s="2607">
        <v>4250</v>
      </c>
      <c r="E107" s="1921" t="s">
        <v>6147</v>
      </c>
      <c r="F107" s="1493" t="s">
        <v>84</v>
      </c>
      <c r="G107" s="1921" t="s">
        <v>6148</v>
      </c>
      <c r="H107" s="1921"/>
      <c r="I107" s="1921" t="s">
        <v>19</v>
      </c>
      <c r="J107" s="1921" t="s">
        <v>101</v>
      </c>
      <c r="K107" s="1911" t="s">
        <v>6044</v>
      </c>
      <c r="L107" s="2583">
        <v>250</v>
      </c>
      <c r="M107" s="2196" t="s">
        <v>6112</v>
      </c>
      <c r="N107" s="1493" t="s">
        <v>6030</v>
      </c>
      <c r="O107" s="1775"/>
      <c r="P107" s="2629">
        <v>2</v>
      </c>
      <c r="R107" s="1921"/>
      <c r="S107" s="1921"/>
      <c r="T107" s="1921"/>
      <c r="U107" s="1909"/>
      <c r="Y107" s="1902"/>
      <c r="Z107" s="1902"/>
      <c r="AA107" s="1902"/>
    </row>
    <row r="108" spans="1:27" s="1548" customFormat="1" ht="71.25" customHeight="1">
      <c r="A108" s="3759"/>
      <c r="B108" s="1495" t="str">
        <f t="shared" ref="B108:B116" si="16">TEXT(LEFT(K108,10),"0000000000")</f>
        <v>2000003056</v>
      </c>
      <c r="C108" s="1626" t="s">
        <v>82</v>
      </c>
      <c r="D108" s="1494"/>
      <c r="E108" s="1495"/>
      <c r="F108" s="1493" t="s">
        <v>84</v>
      </c>
      <c r="G108" s="1495"/>
      <c r="H108" s="1495"/>
      <c r="I108" s="1495" t="s">
        <v>19</v>
      </c>
      <c r="J108" s="1495" t="s">
        <v>123</v>
      </c>
      <c r="K108" s="1546" t="s">
        <v>6149</v>
      </c>
      <c r="L108" s="2543">
        <v>4000</v>
      </c>
      <c r="M108" s="2196" t="s">
        <v>5937</v>
      </c>
      <c r="N108" s="1545"/>
      <c r="O108" s="1860" t="s">
        <v>6150</v>
      </c>
      <c r="P108" s="1852">
        <v>2</v>
      </c>
      <c r="Q108" s="1559"/>
      <c r="R108" s="1543"/>
      <c r="S108" s="1543"/>
      <c r="T108" s="1543"/>
      <c r="U108" s="2261"/>
      <c r="Y108" s="1493"/>
      <c r="Z108" s="1493"/>
      <c r="AA108" s="1493"/>
    </row>
    <row r="109" spans="1:27" s="1548" customFormat="1" ht="71.25" customHeight="1">
      <c r="A109" s="2436">
        <v>32</v>
      </c>
      <c r="B109" s="1543" t="str">
        <f t="shared" si="16"/>
        <v>2000003012</v>
      </c>
      <c r="C109" s="1902" t="s">
        <v>71</v>
      </c>
      <c r="D109" s="2607">
        <v>3720</v>
      </c>
      <c r="E109" s="1921" t="s">
        <v>6151</v>
      </c>
      <c r="F109" s="1902" t="s">
        <v>84</v>
      </c>
      <c r="G109" s="1921" t="s">
        <v>6152</v>
      </c>
      <c r="H109" s="1921"/>
      <c r="I109" s="1921" t="s">
        <v>19</v>
      </c>
      <c r="J109" s="1921" t="s">
        <v>253</v>
      </c>
      <c r="K109" s="1845" t="s">
        <v>6153</v>
      </c>
      <c r="L109" s="2583">
        <v>3720</v>
      </c>
      <c r="M109" s="2429" t="s">
        <v>5961</v>
      </c>
      <c r="N109" s="1493" t="s">
        <v>6026</v>
      </c>
      <c r="O109" s="1775"/>
      <c r="P109" s="2429">
        <v>3</v>
      </c>
      <c r="Q109" s="2150"/>
      <c r="R109" s="1921"/>
      <c r="S109" s="1921"/>
      <c r="T109" s="1921"/>
      <c r="U109" s="1909"/>
      <c r="V109" s="2150"/>
      <c r="W109" s="2150"/>
      <c r="X109" s="2150"/>
      <c r="Y109" s="1902"/>
      <c r="Z109" s="1902"/>
      <c r="AA109" s="1902"/>
    </row>
    <row r="110" spans="1:27" s="1548" customFormat="1" ht="59.25" customHeight="1">
      <c r="A110" s="3749">
        <v>33</v>
      </c>
      <c r="B110" s="2187" t="str">
        <f t="shared" si="16"/>
        <v>2200002028</v>
      </c>
      <c r="C110" s="1902" t="s">
        <v>3320</v>
      </c>
      <c r="D110" s="2607">
        <v>8800</v>
      </c>
      <c r="E110" s="1921" t="s">
        <v>6154</v>
      </c>
      <c r="F110" s="1902" t="s">
        <v>3416</v>
      </c>
      <c r="G110" s="1921" t="s">
        <v>6155</v>
      </c>
      <c r="H110" s="1921"/>
      <c r="I110" s="1921" t="s">
        <v>19</v>
      </c>
      <c r="J110" s="1921" t="s">
        <v>959</v>
      </c>
      <c r="K110" s="1845" t="s">
        <v>6156</v>
      </c>
      <c r="L110" s="2583">
        <v>1423</v>
      </c>
      <c r="M110" s="2196" t="s">
        <v>6144</v>
      </c>
      <c r="N110" s="1493"/>
      <c r="O110" s="1775"/>
      <c r="P110" s="2626">
        <v>3</v>
      </c>
      <c r="Q110" s="2150"/>
      <c r="R110" s="1921"/>
      <c r="S110" s="1921"/>
      <c r="T110" s="1921"/>
      <c r="U110" s="1909"/>
      <c r="V110" s="2150"/>
      <c r="W110" s="2150"/>
      <c r="X110" s="2150"/>
      <c r="Y110" s="1902"/>
      <c r="Z110" s="1902"/>
      <c r="AA110" s="1902"/>
    </row>
    <row r="111" spans="1:27" s="1548" customFormat="1" ht="54" customHeight="1">
      <c r="A111" s="3751"/>
      <c r="B111" s="1900" t="str">
        <f t="shared" si="16"/>
        <v>2200002020</v>
      </c>
      <c r="C111" s="1493" t="s">
        <v>3320</v>
      </c>
      <c r="D111" s="1494"/>
      <c r="E111" s="1495"/>
      <c r="F111" s="1493" t="s">
        <v>3416</v>
      </c>
      <c r="G111" s="1495"/>
      <c r="H111" s="1495"/>
      <c r="I111" s="1495" t="s">
        <v>19</v>
      </c>
      <c r="J111" s="1495" t="s">
        <v>959</v>
      </c>
      <c r="K111" s="1600" t="s">
        <v>6157</v>
      </c>
      <c r="L111" s="2357">
        <v>690</v>
      </c>
      <c r="M111" s="2196" t="s">
        <v>5937</v>
      </c>
      <c r="N111" s="1493"/>
      <c r="O111" s="1859"/>
      <c r="P111" s="2626">
        <v>3</v>
      </c>
      <c r="R111" s="1495"/>
      <c r="S111" s="1495"/>
      <c r="T111" s="1495"/>
      <c r="U111" s="1909"/>
      <c r="Y111" s="1493"/>
      <c r="Z111" s="1493"/>
      <c r="AA111" s="1493"/>
    </row>
    <row r="112" spans="1:27" s="1548" customFormat="1" ht="54" customHeight="1">
      <c r="A112" s="3751"/>
      <c r="B112" s="1900" t="str">
        <f t="shared" si="16"/>
        <v>2200002031</v>
      </c>
      <c r="C112" s="1493" t="s">
        <v>3320</v>
      </c>
      <c r="D112" s="1494"/>
      <c r="E112" s="1495"/>
      <c r="F112" s="1493" t="s">
        <v>3416</v>
      </c>
      <c r="G112" s="1495"/>
      <c r="H112" s="1495"/>
      <c r="I112" s="1495" t="s">
        <v>19</v>
      </c>
      <c r="J112" s="1495" t="s">
        <v>959</v>
      </c>
      <c r="K112" s="1600" t="s">
        <v>6158</v>
      </c>
      <c r="L112" s="2357">
        <v>380</v>
      </c>
      <c r="M112" s="2429" t="s">
        <v>6146</v>
      </c>
      <c r="N112" s="1493"/>
      <c r="O112" s="1859"/>
      <c r="P112" s="2626">
        <v>3</v>
      </c>
      <c r="R112" s="1495"/>
      <c r="S112" s="1495"/>
      <c r="T112" s="1495"/>
      <c r="U112" s="1909"/>
      <c r="Y112" s="1493"/>
      <c r="Z112" s="1493"/>
      <c r="AA112" s="1493"/>
    </row>
    <row r="113" spans="1:27" s="1548" customFormat="1" ht="54" customHeight="1">
      <c r="A113" s="3751"/>
      <c r="B113" s="1900" t="str">
        <f t="shared" si="16"/>
        <v>2200002033</v>
      </c>
      <c r="C113" s="1493" t="s">
        <v>3320</v>
      </c>
      <c r="D113" s="1494"/>
      <c r="E113" s="1495"/>
      <c r="F113" s="1493" t="s">
        <v>3416</v>
      </c>
      <c r="G113" s="1495"/>
      <c r="H113" s="1495"/>
      <c r="I113" s="1495" t="s">
        <v>19</v>
      </c>
      <c r="J113" s="1495" t="s">
        <v>959</v>
      </c>
      <c r="K113" s="1600" t="s">
        <v>6159</v>
      </c>
      <c r="L113" s="2357">
        <v>1650</v>
      </c>
      <c r="M113" s="2429" t="s">
        <v>6146</v>
      </c>
      <c r="N113" s="1493"/>
      <c r="O113" s="1859"/>
      <c r="P113" s="2626">
        <v>3</v>
      </c>
      <c r="R113" s="1495"/>
      <c r="S113" s="1495"/>
      <c r="T113" s="1495"/>
      <c r="U113" s="1909"/>
      <c r="Y113" s="1493"/>
      <c r="Z113" s="1493"/>
      <c r="AA113" s="1493"/>
    </row>
    <row r="114" spans="1:27" s="1548" customFormat="1" ht="54" customHeight="1">
      <c r="A114" s="3751"/>
      <c r="B114" s="1900" t="str">
        <f t="shared" si="16"/>
        <v>2200002036</v>
      </c>
      <c r="C114" s="1493" t="s">
        <v>3320</v>
      </c>
      <c r="D114" s="1494"/>
      <c r="E114" s="1495"/>
      <c r="F114" s="1493" t="s">
        <v>3416</v>
      </c>
      <c r="G114" s="1495"/>
      <c r="H114" s="1495"/>
      <c r="I114" s="1495" t="s">
        <v>19</v>
      </c>
      <c r="J114" s="1495" t="s">
        <v>959</v>
      </c>
      <c r="K114" s="1600" t="s">
        <v>6160</v>
      </c>
      <c r="L114" s="2357">
        <v>3900</v>
      </c>
      <c r="M114" s="2429" t="s">
        <v>6146</v>
      </c>
      <c r="N114" s="1493"/>
      <c r="O114" s="1859"/>
      <c r="P114" s="2626">
        <v>3</v>
      </c>
      <c r="R114" s="1495"/>
      <c r="S114" s="1495"/>
      <c r="T114" s="1495"/>
      <c r="U114" s="1909"/>
      <c r="Y114" s="1493"/>
      <c r="Z114" s="1493"/>
      <c r="AA114" s="1493"/>
    </row>
    <row r="115" spans="1:27" s="1548" customFormat="1" ht="71.25" customHeight="1">
      <c r="A115" s="3751"/>
      <c r="B115" s="1900" t="str">
        <f t="shared" si="16"/>
        <v>2000003057</v>
      </c>
      <c r="C115" s="1493" t="s">
        <v>3320</v>
      </c>
      <c r="D115" s="1494"/>
      <c r="E115" s="1495"/>
      <c r="F115" s="1493" t="s">
        <v>3416</v>
      </c>
      <c r="G115" s="1495"/>
      <c r="H115" s="1495"/>
      <c r="I115" s="1495" t="s">
        <v>19</v>
      </c>
      <c r="J115" s="1495" t="s">
        <v>959</v>
      </c>
      <c r="K115" s="1600" t="s">
        <v>6161</v>
      </c>
      <c r="L115" s="2357">
        <v>605</v>
      </c>
      <c r="M115" s="2584" t="s">
        <v>6162</v>
      </c>
      <c r="N115" s="1493"/>
      <c r="O115" s="1859"/>
      <c r="P115" s="2626">
        <v>3</v>
      </c>
      <c r="R115" s="1495"/>
      <c r="S115" s="1495"/>
      <c r="T115" s="1495"/>
      <c r="U115" s="1909"/>
      <c r="Y115" s="1493"/>
      <c r="Z115" s="1493"/>
      <c r="AA115" s="1493"/>
    </row>
    <row r="116" spans="1:27" s="1548" customFormat="1" ht="71.25" customHeight="1">
      <c r="A116" s="3750"/>
      <c r="B116" s="1900" t="str">
        <f t="shared" si="16"/>
        <v>2000003058</v>
      </c>
      <c r="C116" s="1493" t="s">
        <v>3320</v>
      </c>
      <c r="D116" s="1494"/>
      <c r="E116" s="1495"/>
      <c r="F116" s="1493" t="s">
        <v>3416</v>
      </c>
      <c r="G116" s="1495"/>
      <c r="H116" s="1495"/>
      <c r="I116" s="1495" t="s">
        <v>19</v>
      </c>
      <c r="J116" s="1495" t="s">
        <v>959</v>
      </c>
      <c r="K116" s="1600" t="s">
        <v>6163</v>
      </c>
      <c r="L116" s="2357">
        <v>161</v>
      </c>
      <c r="M116" s="2429" t="s">
        <v>6164</v>
      </c>
      <c r="N116" s="1493"/>
      <c r="O116" s="1859"/>
      <c r="P116" s="2626">
        <v>3</v>
      </c>
      <c r="R116" s="1495"/>
      <c r="S116" s="1495"/>
      <c r="T116" s="1495"/>
      <c r="U116" s="1909"/>
      <c r="Y116" s="1493"/>
      <c r="Z116" s="1493"/>
      <c r="AA116" s="1493"/>
    </row>
    <row r="117" spans="1:27" s="1548" customFormat="1" ht="62.25" customHeight="1">
      <c r="A117" s="2781">
        <v>34</v>
      </c>
      <c r="B117" s="1495" t="str">
        <f t="shared" ref="B117" si="17">TEXT(LEFT(K117,10),"0000000000")</f>
        <v>2000003019</v>
      </c>
      <c r="C117" s="2563" t="s">
        <v>98</v>
      </c>
      <c r="D117" s="2607">
        <v>4440</v>
      </c>
      <c r="E117" s="1921" t="s">
        <v>6110</v>
      </c>
      <c r="F117" s="1902" t="s">
        <v>61</v>
      </c>
      <c r="G117" s="1921" t="s">
        <v>4070</v>
      </c>
      <c r="H117" s="1921"/>
      <c r="I117" s="1921" t="s">
        <v>19</v>
      </c>
      <c r="J117" s="1921" t="s">
        <v>20</v>
      </c>
      <c r="K117" s="1911" t="s">
        <v>6165</v>
      </c>
      <c r="L117" s="2583">
        <v>4440</v>
      </c>
      <c r="M117" s="2196" t="s">
        <v>5937</v>
      </c>
      <c r="N117" s="1493" t="s">
        <v>6166</v>
      </c>
      <c r="O117" s="1775"/>
      <c r="P117" s="1790">
        <v>3</v>
      </c>
      <c r="Q117" s="2150"/>
      <c r="R117" s="1921"/>
      <c r="S117" s="1921"/>
      <c r="T117" s="1921"/>
      <c r="U117" s="1909"/>
      <c r="V117" s="2150"/>
      <c r="W117" s="2150"/>
      <c r="X117" s="2150"/>
      <c r="Y117" s="1902"/>
      <c r="Z117" s="1902"/>
      <c r="AA117" s="1902"/>
    </row>
    <row r="118" spans="1:27" s="1548" customFormat="1" ht="62.25" customHeight="1">
      <c r="A118" s="2436">
        <v>35</v>
      </c>
      <c r="B118" s="1543" t="str">
        <f>TEXT(LEFT(K118,10),"0000000000")</f>
        <v>2000003011</v>
      </c>
      <c r="C118" s="1902" t="s">
        <v>52</v>
      </c>
      <c r="D118" s="2607">
        <v>4600</v>
      </c>
      <c r="E118" s="1921" t="s">
        <v>6167</v>
      </c>
      <c r="F118" s="1902" t="s">
        <v>16</v>
      </c>
      <c r="G118" s="1921" t="s">
        <v>6168</v>
      </c>
      <c r="H118" s="1921"/>
      <c r="I118" s="1921" t="s">
        <v>19</v>
      </c>
      <c r="J118" s="1921" t="s">
        <v>253</v>
      </c>
      <c r="K118" s="1845" t="s">
        <v>6169</v>
      </c>
      <c r="L118" s="2583">
        <v>4600</v>
      </c>
      <c r="M118" s="2429" t="s">
        <v>6170</v>
      </c>
      <c r="N118" s="1493" t="s">
        <v>6026</v>
      </c>
      <c r="O118" s="1775"/>
      <c r="P118" s="2429">
        <v>3</v>
      </c>
      <c r="Q118" s="2150"/>
      <c r="R118" s="1921"/>
      <c r="S118" s="1921"/>
      <c r="T118" s="1921"/>
      <c r="U118" s="1909"/>
      <c r="V118" s="2150"/>
      <c r="W118" s="2150"/>
      <c r="X118" s="2150"/>
      <c r="Y118" s="1902"/>
      <c r="Z118" s="1902"/>
      <c r="AA118" s="1902"/>
    </row>
    <row r="119" spans="1:27" s="1548" customFormat="1" ht="56.25" customHeight="1">
      <c r="A119" s="3749">
        <v>36</v>
      </c>
      <c r="B119" s="1568" t="str">
        <f t="shared" ref="B119" si="18">TEXT(LEFT(K119,10),"0000000000")</f>
        <v>2200002029</v>
      </c>
      <c r="C119" s="1921" t="s">
        <v>3211</v>
      </c>
      <c r="D119" s="2607">
        <v>4300</v>
      </c>
      <c r="E119" s="1921" t="s">
        <v>6171</v>
      </c>
      <c r="F119" s="1902" t="s">
        <v>3416</v>
      </c>
      <c r="G119" s="1921" t="s">
        <v>4070</v>
      </c>
      <c r="H119" s="1921"/>
      <c r="I119" s="1921" t="s">
        <v>19</v>
      </c>
      <c r="J119" s="2370" t="s">
        <v>101</v>
      </c>
      <c r="K119" s="1911" t="s">
        <v>6172</v>
      </c>
      <c r="L119" s="2583">
        <v>1800</v>
      </c>
      <c r="M119" s="2196" t="s">
        <v>6144</v>
      </c>
      <c r="N119" s="1493" t="s">
        <v>6030</v>
      </c>
      <c r="O119" s="1775"/>
      <c r="P119" s="2429">
        <v>3</v>
      </c>
      <c r="Q119" s="2150"/>
      <c r="R119" s="1921">
        <v>2000002961</v>
      </c>
      <c r="S119" s="2724" t="e">
        <f>VLOOKUP(R119,#REF!,2,0)</f>
        <v>#REF!</v>
      </c>
      <c r="T119" s="2724" t="e">
        <f>VLOOKUP(R119,#REF!,3,0)</f>
        <v>#REF!</v>
      </c>
      <c r="U119" s="2721" t="e">
        <f>S119-T119</f>
        <v>#REF!</v>
      </c>
      <c r="V119" s="2150"/>
      <c r="W119" s="2150"/>
      <c r="X119" s="2150"/>
      <c r="Y119" s="1902"/>
      <c r="Z119" s="1902"/>
      <c r="AA119" s="1902"/>
    </row>
    <row r="120" spans="1:27" s="1548" customFormat="1" ht="59.25" customHeight="1">
      <c r="A120" s="3750"/>
      <c r="B120" s="1900" t="str">
        <f>TEXT(LEFT(K120,10),"0000000000")</f>
        <v>2000003002</v>
      </c>
      <c r="C120" s="1493" t="s">
        <v>3211</v>
      </c>
      <c r="D120" s="2613"/>
      <c r="E120" s="1543"/>
      <c r="F120" s="1545" t="s">
        <v>3416</v>
      </c>
      <c r="G120" s="1543"/>
      <c r="H120" s="1543"/>
      <c r="I120" s="1495" t="s">
        <v>19</v>
      </c>
      <c r="J120" s="1899" t="s">
        <v>101</v>
      </c>
      <c r="K120" s="1605" t="s">
        <v>6173</v>
      </c>
      <c r="L120" s="2543">
        <v>2500</v>
      </c>
      <c r="M120" s="1852" t="s">
        <v>5961</v>
      </c>
      <c r="N120" s="1545"/>
      <c r="O120" s="2544"/>
      <c r="P120" s="1852">
        <v>3</v>
      </c>
      <c r="Q120" s="1559"/>
      <c r="R120" s="1543"/>
      <c r="S120" s="1543"/>
      <c r="T120" s="1543"/>
      <c r="U120" s="2051"/>
      <c r="V120" s="1467"/>
      <c r="W120" s="1467"/>
      <c r="X120" s="1467"/>
      <c r="Y120" s="1474"/>
      <c r="Z120" s="1474"/>
      <c r="AA120" s="1474"/>
    </row>
    <row r="121" spans="1:27" s="2150" customFormat="1" ht="58.5" customHeight="1">
      <c r="A121" s="3758">
        <v>37</v>
      </c>
      <c r="B121" s="1495" t="str">
        <f t="shared" si="15"/>
        <v>2200002020</v>
      </c>
      <c r="C121" s="2563" t="s">
        <v>3957</v>
      </c>
      <c r="D121" s="2607">
        <v>12000</v>
      </c>
      <c r="E121" s="1921" t="s">
        <v>6174</v>
      </c>
      <c r="F121" s="1902" t="s">
        <v>3416</v>
      </c>
      <c r="G121" s="1921" t="s">
        <v>6175</v>
      </c>
      <c r="H121" s="1921"/>
      <c r="I121" s="1921" t="s">
        <v>19</v>
      </c>
      <c r="J121" s="1921" t="s">
        <v>1138</v>
      </c>
      <c r="K121" s="1911" t="s">
        <v>6157</v>
      </c>
      <c r="L121" s="2583">
        <v>1081</v>
      </c>
      <c r="M121" s="2196" t="s">
        <v>5937</v>
      </c>
      <c r="N121" s="1493" t="s">
        <v>6009</v>
      </c>
      <c r="O121" s="1775"/>
      <c r="P121" s="2429">
        <v>3</v>
      </c>
      <c r="R121" s="1921"/>
      <c r="S121" s="1921"/>
      <c r="T121" s="1921"/>
      <c r="U121" s="1909"/>
      <c r="Y121" s="1902"/>
      <c r="Z121" s="1902"/>
      <c r="AA121" s="1902"/>
    </row>
    <row r="122" spans="1:27" s="1548" customFormat="1" ht="58.5" customHeight="1">
      <c r="A122" s="3751"/>
      <c r="B122" s="1875" t="str">
        <f t="shared" si="15"/>
        <v>2000003028</v>
      </c>
      <c r="C122" s="1626" t="s">
        <v>3957</v>
      </c>
      <c r="D122" s="1494"/>
      <c r="E122" s="1495"/>
      <c r="F122" s="1493" t="s">
        <v>3416</v>
      </c>
      <c r="G122" s="1495"/>
      <c r="H122" s="1495"/>
      <c r="I122" s="1495" t="s">
        <v>19</v>
      </c>
      <c r="J122" s="1495" t="s">
        <v>1138</v>
      </c>
      <c r="K122" s="1547" t="s">
        <v>6176</v>
      </c>
      <c r="L122" s="2357">
        <v>5000</v>
      </c>
      <c r="M122" s="1748" t="s">
        <v>5961</v>
      </c>
      <c r="N122" s="1495"/>
      <c r="O122" s="1859"/>
      <c r="P122" s="1790">
        <v>3</v>
      </c>
      <c r="R122" s="1495"/>
      <c r="S122" s="1495"/>
      <c r="T122" s="1495"/>
      <c r="U122" s="1909"/>
      <c r="Y122" s="1493"/>
      <c r="Z122" s="1493"/>
      <c r="AA122" s="1493"/>
    </row>
    <row r="123" spans="1:27" s="1548" customFormat="1" ht="58.5" customHeight="1">
      <c r="A123" s="3751"/>
      <c r="B123" s="1543" t="str">
        <f t="shared" si="15"/>
        <v>2000003010</v>
      </c>
      <c r="C123" s="1626" t="s">
        <v>3957</v>
      </c>
      <c r="D123" s="1494"/>
      <c r="E123" s="1495"/>
      <c r="F123" s="1493" t="s">
        <v>3416</v>
      </c>
      <c r="G123" s="1495"/>
      <c r="H123" s="1495"/>
      <c r="I123" s="1495" t="s">
        <v>19</v>
      </c>
      <c r="J123" s="1495" t="s">
        <v>1138</v>
      </c>
      <c r="K123" s="1496" t="s">
        <v>6177</v>
      </c>
      <c r="L123" s="2357">
        <v>5000</v>
      </c>
      <c r="M123" s="1748" t="s">
        <v>5961</v>
      </c>
      <c r="N123" s="1495"/>
      <c r="O123" s="1859"/>
      <c r="P123" s="1790">
        <v>3</v>
      </c>
      <c r="R123" s="1493"/>
      <c r="S123" s="1493"/>
      <c r="T123" s="1493"/>
      <c r="U123" s="2429"/>
      <c r="V123" s="1467"/>
      <c r="W123" s="1467"/>
      <c r="X123" s="1467"/>
      <c r="Y123" s="1467"/>
      <c r="Z123" s="1467"/>
      <c r="AA123" s="1467"/>
    </row>
    <row r="124" spans="1:27" s="1548" customFormat="1" ht="58.5" customHeight="1">
      <c r="A124" s="3751"/>
      <c r="B124" s="1568" t="str">
        <f t="shared" ref="B124:B125" si="19">TEXT(LEFT(K124,10),"0000000000")</f>
        <v>2000002976</v>
      </c>
      <c r="C124" s="1626" t="s">
        <v>3957</v>
      </c>
      <c r="D124" s="1494"/>
      <c r="E124" s="1495"/>
      <c r="F124" s="1493" t="s">
        <v>3416</v>
      </c>
      <c r="G124" s="1495"/>
      <c r="H124" s="1495"/>
      <c r="I124" s="1495" t="s">
        <v>19</v>
      </c>
      <c r="J124" s="1495" t="s">
        <v>1138</v>
      </c>
      <c r="K124" s="1600" t="s">
        <v>6178</v>
      </c>
      <c r="L124" s="2357">
        <v>500</v>
      </c>
      <c r="M124" s="1748" t="s">
        <v>5961</v>
      </c>
      <c r="N124" s="1495"/>
      <c r="O124" s="1859"/>
      <c r="P124" s="1790">
        <v>3</v>
      </c>
      <c r="R124" s="1495"/>
      <c r="S124" s="1495"/>
      <c r="T124" s="1495"/>
      <c r="U124" s="1909"/>
      <c r="Y124" s="1493"/>
      <c r="Z124" s="1493"/>
      <c r="AA124" s="1493"/>
    </row>
    <row r="125" spans="1:27" s="1548" customFormat="1" ht="58.5" customHeight="1">
      <c r="A125" s="3750"/>
      <c r="B125" s="1568" t="str">
        <f t="shared" si="19"/>
        <v>2000003004</v>
      </c>
      <c r="C125" s="1626" t="s">
        <v>3957</v>
      </c>
      <c r="D125" s="1494"/>
      <c r="E125" s="1495"/>
      <c r="F125" s="1493" t="s">
        <v>3416</v>
      </c>
      <c r="G125" s="1495"/>
      <c r="H125" s="1495"/>
      <c r="I125" s="1495" t="s">
        <v>19</v>
      </c>
      <c r="J125" s="1495" t="s">
        <v>1138</v>
      </c>
      <c r="K125" s="1600" t="s">
        <v>6179</v>
      </c>
      <c r="L125" s="2357">
        <v>200</v>
      </c>
      <c r="M125" s="1748" t="s">
        <v>5961</v>
      </c>
      <c r="N125" s="1495"/>
      <c r="O125" s="1859"/>
      <c r="P125" s="1790">
        <v>3</v>
      </c>
      <c r="R125" s="1495" t="s">
        <v>5994</v>
      </c>
      <c r="S125" s="2720" t="e">
        <f>VLOOKUP(R125,#REF!,2,0)</f>
        <v>#REF!</v>
      </c>
      <c r="T125" s="2720" t="e">
        <f>VLOOKUP(R125,#REF!,3,0)</f>
        <v>#REF!</v>
      </c>
      <c r="U125" s="2721" t="e">
        <f>S125-T125</f>
        <v>#REF!</v>
      </c>
      <c r="Y125" s="1493"/>
      <c r="Z125" s="1493"/>
      <c r="AA125" s="1493"/>
    </row>
    <row r="126" spans="1:27" s="1548" customFormat="1" ht="92.25" customHeight="1">
      <c r="A126" s="2436">
        <v>40</v>
      </c>
      <c r="B126" s="1543" t="str">
        <f>TEXT(LEFT(K126,10),"0000000000")</f>
        <v>2000003012</v>
      </c>
      <c r="C126" s="1902" t="s">
        <v>71</v>
      </c>
      <c r="D126" s="2607">
        <v>3720</v>
      </c>
      <c r="E126" s="1921" t="s">
        <v>6180</v>
      </c>
      <c r="F126" s="1902" t="s">
        <v>84</v>
      </c>
      <c r="G126" s="1921" t="s">
        <v>6181</v>
      </c>
      <c r="H126" s="1921"/>
      <c r="I126" s="1921" t="s">
        <v>19</v>
      </c>
      <c r="J126" s="1921" t="s">
        <v>253</v>
      </c>
      <c r="K126" s="1845" t="s">
        <v>6153</v>
      </c>
      <c r="L126" s="2583">
        <v>3720</v>
      </c>
      <c r="M126" s="1852" t="s">
        <v>5961</v>
      </c>
      <c r="N126" s="1493" t="s">
        <v>6026</v>
      </c>
      <c r="O126" s="1775"/>
      <c r="P126" s="2429">
        <v>3</v>
      </c>
      <c r="Q126" s="2150"/>
      <c r="R126" s="1921"/>
      <c r="S126" s="1921"/>
      <c r="T126" s="1921"/>
      <c r="U126" s="1909"/>
      <c r="V126" s="2150"/>
      <c r="W126" s="2150"/>
      <c r="X126" s="2150"/>
      <c r="Y126" s="1902"/>
      <c r="Z126" s="1902"/>
      <c r="AA126" s="1902"/>
    </row>
    <row r="127" spans="1:27" s="2150" customFormat="1" ht="62.25" customHeight="1">
      <c r="A127" s="3749">
        <v>39</v>
      </c>
      <c r="B127" s="1543" t="str">
        <f>TEXT(LEFT(K127,10),"0000000000")</f>
        <v>2000002992</v>
      </c>
      <c r="C127" s="1902" t="s">
        <v>5269</v>
      </c>
      <c r="D127" s="2607">
        <v>24000</v>
      </c>
      <c r="E127" s="1921" t="s">
        <v>6141</v>
      </c>
      <c r="F127" s="1902" t="s">
        <v>3416</v>
      </c>
      <c r="G127" s="1921" t="s">
        <v>6182</v>
      </c>
      <c r="H127" s="2187" t="s">
        <v>6183</v>
      </c>
      <c r="I127" s="1921" t="s">
        <v>19</v>
      </c>
      <c r="J127" s="1921" t="s">
        <v>63</v>
      </c>
      <c r="K127" s="1845" t="s">
        <v>6184</v>
      </c>
      <c r="L127" s="2583">
        <v>500</v>
      </c>
      <c r="M127" s="1909" t="s">
        <v>5961</v>
      </c>
      <c r="N127" s="1495" t="s">
        <v>5993</v>
      </c>
      <c r="O127" s="1775" t="s">
        <v>6066</v>
      </c>
      <c r="P127" s="2429">
        <v>3</v>
      </c>
      <c r="R127" s="1921"/>
      <c r="S127" s="1921"/>
      <c r="T127" s="1921"/>
      <c r="U127" s="1909"/>
      <c r="Y127" s="1902"/>
      <c r="Z127" s="1902"/>
      <c r="AA127" s="1902"/>
    </row>
    <row r="128" spans="1:27" s="1548" customFormat="1" ht="58.5" customHeight="1">
      <c r="A128" s="3751"/>
      <c r="B128" s="1543" t="str">
        <f>TEXT(LEFT(K128,10),"0000000000")</f>
        <v>2000002995</v>
      </c>
      <c r="C128" s="1493" t="s">
        <v>5269</v>
      </c>
      <c r="D128" s="1494"/>
      <c r="E128" s="1495"/>
      <c r="F128" s="1493" t="s">
        <v>3416</v>
      </c>
      <c r="G128" s="1773"/>
      <c r="I128" s="1568" t="s">
        <v>19</v>
      </c>
      <c r="J128" s="1495" t="s">
        <v>63</v>
      </c>
      <c r="K128" s="1496" t="s">
        <v>6185</v>
      </c>
      <c r="L128" s="2357">
        <v>5000</v>
      </c>
      <c r="M128" s="2196" t="s">
        <v>5937</v>
      </c>
      <c r="N128" s="1495"/>
      <c r="O128" s="1859"/>
      <c r="P128" s="1790">
        <v>3</v>
      </c>
      <c r="R128" s="1495">
        <v>2000002995</v>
      </c>
      <c r="S128" s="2720" t="e">
        <f>VLOOKUP(R128,#REF!,2,0)</f>
        <v>#REF!</v>
      </c>
      <c r="T128" s="2720" t="e">
        <f>VLOOKUP(R128,#REF!,3,0)</f>
        <v>#REF!</v>
      </c>
      <c r="U128" s="2745" t="e">
        <f>S128-T128</f>
        <v>#REF!</v>
      </c>
      <c r="Y128" s="1493"/>
      <c r="Z128" s="1493"/>
      <c r="AA128" s="1493"/>
    </row>
    <row r="129" spans="1:27" s="1548" customFormat="1" ht="58.5" customHeight="1">
      <c r="A129" s="3751"/>
      <c r="B129" s="1568" t="str">
        <f t="shared" ref="B129:B145" si="20">TEXT(LEFT(K129,10),"0000000000")</f>
        <v>2000003007</v>
      </c>
      <c r="C129" s="1493" t="s">
        <v>5269</v>
      </c>
      <c r="D129" s="1494"/>
      <c r="E129" s="1495"/>
      <c r="F129" s="1493" t="s">
        <v>3416</v>
      </c>
      <c r="G129" s="1495"/>
      <c r="H129" s="1495"/>
      <c r="I129" s="1495" t="s">
        <v>19</v>
      </c>
      <c r="J129" s="1495" t="s">
        <v>63</v>
      </c>
      <c r="K129" s="1600" t="s">
        <v>6186</v>
      </c>
      <c r="L129" s="2357">
        <v>1000</v>
      </c>
      <c r="M129" s="1790" t="s">
        <v>5961</v>
      </c>
      <c r="N129" s="1493"/>
      <c r="O129" s="1859"/>
      <c r="P129" s="1790">
        <v>3</v>
      </c>
      <c r="R129" s="1495"/>
      <c r="S129" s="1495"/>
      <c r="T129" s="1495"/>
      <c r="U129" s="1748"/>
      <c r="Y129" s="1493"/>
      <c r="Z129" s="1493"/>
      <c r="AA129" s="1493"/>
    </row>
    <row r="130" spans="1:27" s="1548" customFormat="1" ht="58.5" customHeight="1">
      <c r="A130" s="3751"/>
      <c r="B130" s="1568" t="str">
        <f>TEXT(LEFT(K130,10),"0000000000")</f>
        <v>2000003059</v>
      </c>
      <c r="C130" s="1493" t="s">
        <v>5269</v>
      </c>
      <c r="D130" s="1494"/>
      <c r="E130" s="1495"/>
      <c r="F130" s="1493" t="s">
        <v>3416</v>
      </c>
      <c r="G130" s="1495"/>
      <c r="H130" s="1495"/>
      <c r="I130" s="1495" t="s">
        <v>19</v>
      </c>
      <c r="J130" s="1495" t="s">
        <v>63</v>
      </c>
      <c r="K130" s="1547" t="s">
        <v>6187</v>
      </c>
      <c r="L130" s="2357">
        <v>5000</v>
      </c>
      <c r="M130" s="1790" t="s">
        <v>5961</v>
      </c>
      <c r="N130" s="1493"/>
      <c r="O130" s="1859"/>
      <c r="P130" s="1790">
        <v>3</v>
      </c>
      <c r="R130" s="1495"/>
      <c r="S130" s="1495"/>
      <c r="T130" s="1495"/>
      <c r="U130" s="1748"/>
      <c r="Y130" s="1493"/>
      <c r="Z130" s="1493"/>
      <c r="AA130" s="1493"/>
    </row>
    <row r="131" spans="1:27" s="1548" customFormat="1" ht="58.5" customHeight="1">
      <c r="A131" s="3751"/>
      <c r="B131" s="1568" t="str">
        <f t="shared" si="20"/>
        <v>2200002005</v>
      </c>
      <c r="C131" s="1493" t="s">
        <v>5269</v>
      </c>
      <c r="D131" s="1494"/>
      <c r="E131" s="1495"/>
      <c r="F131" s="1493" t="s">
        <v>3416</v>
      </c>
      <c r="G131" s="1495"/>
      <c r="H131" s="1495"/>
      <c r="I131" s="1495" t="s">
        <v>19</v>
      </c>
      <c r="J131" s="1495" t="s">
        <v>123</v>
      </c>
      <c r="K131" s="1600" t="s">
        <v>6188</v>
      </c>
      <c r="L131" s="2357">
        <v>2500</v>
      </c>
      <c r="M131" s="1748" t="s">
        <v>5961</v>
      </c>
      <c r="N131" s="1493"/>
      <c r="O131" s="1859"/>
      <c r="P131" s="1790">
        <v>3</v>
      </c>
      <c r="R131" s="1495"/>
      <c r="S131" s="1495"/>
      <c r="T131" s="1495"/>
      <c r="U131" s="1748"/>
      <c r="Y131" s="1493"/>
      <c r="Z131" s="1493"/>
      <c r="AA131" s="1493"/>
    </row>
    <row r="132" spans="1:27" s="1548" customFormat="1" ht="58.5" customHeight="1">
      <c r="A132" s="3751"/>
      <c r="B132" s="1568" t="str">
        <f t="shared" si="20"/>
        <v>2000002991</v>
      </c>
      <c r="C132" s="1493" t="s">
        <v>5269</v>
      </c>
      <c r="D132" s="1494"/>
      <c r="E132" s="1495"/>
      <c r="F132" s="1493" t="s">
        <v>3416</v>
      </c>
      <c r="G132" s="1495"/>
      <c r="H132" s="1495"/>
      <c r="I132" s="1495" t="s">
        <v>19</v>
      </c>
      <c r="J132" s="1773" t="s">
        <v>123</v>
      </c>
      <c r="K132" s="1547" t="s">
        <v>6189</v>
      </c>
      <c r="L132" s="2357">
        <v>300</v>
      </c>
      <c r="M132" s="1852" t="s">
        <v>5961</v>
      </c>
      <c r="N132" s="1493"/>
      <c r="O132" s="1859"/>
      <c r="P132" s="1790">
        <v>3</v>
      </c>
      <c r="R132" s="1495"/>
      <c r="S132" s="1495"/>
      <c r="T132" s="1495"/>
      <c r="U132" s="1748"/>
      <c r="V132" s="1467"/>
      <c r="W132" s="1467"/>
      <c r="X132" s="1467"/>
      <c r="Y132" s="1474"/>
      <c r="Z132" s="1474"/>
      <c r="AA132" s="1474"/>
    </row>
    <row r="133" spans="1:27" s="1548" customFormat="1" ht="58.5" customHeight="1">
      <c r="A133" s="3751"/>
      <c r="B133" s="1900" t="str">
        <f t="shared" si="20"/>
        <v>2000003029</v>
      </c>
      <c r="C133" s="1493" t="s">
        <v>5269</v>
      </c>
      <c r="D133" s="1494"/>
      <c r="E133" s="1495"/>
      <c r="F133" s="1493" t="s">
        <v>3416</v>
      </c>
      <c r="G133" s="1495"/>
      <c r="H133" s="1495"/>
      <c r="I133" s="1495" t="s">
        <v>19</v>
      </c>
      <c r="J133" s="1495" t="s">
        <v>123</v>
      </c>
      <c r="K133" s="1547" t="s">
        <v>6190</v>
      </c>
      <c r="L133" s="2357">
        <v>5000</v>
      </c>
      <c r="M133" s="2196" t="s">
        <v>5937</v>
      </c>
      <c r="N133" s="1493"/>
      <c r="O133" s="1859"/>
      <c r="P133" s="1790">
        <v>3</v>
      </c>
      <c r="R133" s="1495"/>
      <c r="S133" s="1495"/>
      <c r="T133" s="1495"/>
      <c r="U133" s="1748"/>
      <c r="Y133" s="1493"/>
      <c r="Z133" s="1493"/>
      <c r="AA133" s="1493"/>
    </row>
    <row r="134" spans="1:27" s="1548" customFormat="1" ht="68.25" customHeight="1">
      <c r="A134" s="3751"/>
      <c r="B134" s="1900" t="str">
        <f t="shared" si="20"/>
        <v>2000003035</v>
      </c>
      <c r="C134" s="1493" t="s">
        <v>5269</v>
      </c>
      <c r="D134" s="1494"/>
      <c r="E134" s="1495"/>
      <c r="F134" s="1493" t="s">
        <v>3416</v>
      </c>
      <c r="G134" s="1495"/>
      <c r="H134" s="1495"/>
      <c r="I134" s="1495" t="s">
        <v>19</v>
      </c>
      <c r="J134" s="1773" t="s">
        <v>5325</v>
      </c>
      <c r="K134" s="1497" t="s">
        <v>6107</v>
      </c>
      <c r="L134" s="2483">
        <v>800</v>
      </c>
      <c r="M134" s="1852" t="s">
        <v>5961</v>
      </c>
      <c r="N134" s="1493"/>
      <c r="O134" s="1859"/>
      <c r="P134" s="1790">
        <v>3</v>
      </c>
      <c r="R134" s="1495"/>
      <c r="S134" s="1495"/>
      <c r="T134" s="1495"/>
      <c r="U134" s="1748"/>
      <c r="Y134" s="1493"/>
      <c r="Z134" s="1493"/>
      <c r="AA134" s="1493"/>
    </row>
    <row r="135" spans="1:27" s="1548" customFormat="1" ht="86.25" customHeight="1">
      <c r="A135" s="3750"/>
      <c r="B135" s="1900" t="str">
        <f t="shared" si="20"/>
        <v>2000003034</v>
      </c>
      <c r="C135" s="1493" t="s">
        <v>5269</v>
      </c>
      <c r="D135" s="1494"/>
      <c r="E135" s="1495"/>
      <c r="F135" s="1493" t="s">
        <v>3416</v>
      </c>
      <c r="G135" s="1495"/>
      <c r="H135" s="1495"/>
      <c r="I135" s="1495" t="s">
        <v>19</v>
      </c>
      <c r="J135" s="1495" t="s">
        <v>5325</v>
      </c>
      <c r="K135" s="1497" t="s">
        <v>6191</v>
      </c>
      <c r="L135" s="2357">
        <v>2700</v>
      </c>
      <c r="M135" s="1748" t="s">
        <v>5961</v>
      </c>
      <c r="N135" s="1493"/>
      <c r="O135" s="1859"/>
      <c r="P135" s="1790">
        <v>3</v>
      </c>
      <c r="R135" s="1495"/>
      <c r="S135" s="1495"/>
      <c r="T135" s="1495"/>
      <c r="U135" s="1748"/>
      <c r="W135" s="1467"/>
      <c r="X135" s="1467"/>
      <c r="Y135" s="1474"/>
      <c r="Z135" s="1474"/>
      <c r="AA135" s="1474"/>
    </row>
    <row r="136" spans="1:27" s="2150" customFormat="1" ht="69" customHeight="1">
      <c r="A136" s="3749">
        <v>41</v>
      </c>
      <c r="B136" s="2419" t="str">
        <f>TEXT(LEFT(K136,10),"0000000000")</f>
        <v>2200002033</v>
      </c>
      <c r="C136" s="1902" t="s">
        <v>3499</v>
      </c>
      <c r="D136" s="2607">
        <v>8800</v>
      </c>
      <c r="E136" s="1921" t="s">
        <v>6192</v>
      </c>
      <c r="F136" s="1902" t="s">
        <v>3401</v>
      </c>
      <c r="G136" s="1921" t="s">
        <v>6193</v>
      </c>
      <c r="H136" s="1921"/>
      <c r="I136" s="1921" t="s">
        <v>19</v>
      </c>
      <c r="J136" s="1921" t="s">
        <v>1138</v>
      </c>
      <c r="K136" s="1845" t="s">
        <v>6159</v>
      </c>
      <c r="L136" s="2583">
        <v>1650</v>
      </c>
      <c r="M136" s="2429" t="s">
        <v>6146</v>
      </c>
      <c r="N136" s="1493" t="s">
        <v>6026</v>
      </c>
      <c r="O136" s="1775"/>
      <c r="P136" s="1852">
        <v>3</v>
      </c>
      <c r="R136" s="1921"/>
      <c r="S136" s="1921"/>
      <c r="T136" s="1921"/>
      <c r="U136" s="1909"/>
      <c r="Y136" s="1902"/>
      <c r="Z136" s="1902"/>
      <c r="AA136" s="1902"/>
    </row>
    <row r="137" spans="1:27" s="2150" customFormat="1" ht="69" customHeight="1">
      <c r="A137" s="3751"/>
      <c r="B137" s="1900" t="str">
        <f>TEXT(LEFT(K137,10),"0000000000")</f>
        <v>2200002036</v>
      </c>
      <c r="C137" s="1493" t="s">
        <v>3499</v>
      </c>
      <c r="D137" s="1494"/>
      <c r="E137" s="1495"/>
      <c r="F137" s="1493" t="s">
        <v>3401</v>
      </c>
      <c r="G137" s="1495"/>
      <c r="H137" s="1495"/>
      <c r="I137" s="1495" t="s">
        <v>19</v>
      </c>
      <c r="J137" s="1495" t="s">
        <v>1138</v>
      </c>
      <c r="K137" s="1600" t="s">
        <v>6194</v>
      </c>
      <c r="L137" s="2357">
        <v>2400</v>
      </c>
      <c r="M137" s="2429" t="s">
        <v>6146</v>
      </c>
      <c r="N137" s="1493"/>
      <c r="O137" s="1859"/>
      <c r="P137" s="1852">
        <v>3</v>
      </c>
      <c r="Q137" s="1548"/>
      <c r="R137" s="1495"/>
      <c r="S137" s="1495"/>
      <c r="T137" s="1495"/>
      <c r="U137" s="1909"/>
      <c r="V137" s="1548"/>
      <c r="W137" s="1548"/>
      <c r="X137" s="1548"/>
      <c r="Y137" s="1493"/>
      <c r="Z137" s="1493"/>
      <c r="AA137" s="1493"/>
    </row>
    <row r="138" spans="1:27" s="1548" customFormat="1" ht="60.75" customHeight="1">
      <c r="A138" s="3750"/>
      <c r="B138" s="1543" t="str">
        <f t="shared" si="20"/>
        <v>2000003036</v>
      </c>
      <c r="C138" s="1493" t="s">
        <v>3499</v>
      </c>
      <c r="D138" s="1494"/>
      <c r="E138" s="1495"/>
      <c r="F138" s="1493" t="s">
        <v>3401</v>
      </c>
      <c r="G138" s="1495"/>
      <c r="H138" s="1495"/>
      <c r="I138" s="1495" t="s">
        <v>19</v>
      </c>
      <c r="J138" s="1495" t="s">
        <v>1138</v>
      </c>
      <c r="K138" s="1547" t="s">
        <v>6195</v>
      </c>
      <c r="L138" s="2357" t="s">
        <v>6196</v>
      </c>
      <c r="M138" s="1748" t="s">
        <v>5961</v>
      </c>
      <c r="N138" s="1495"/>
      <c r="O138" s="1859"/>
      <c r="P138" s="1790">
        <v>3</v>
      </c>
      <c r="R138" s="1495"/>
      <c r="S138" s="1495"/>
      <c r="T138" s="1495"/>
      <c r="U138" s="1748"/>
      <c r="Y138" s="1493"/>
      <c r="Z138" s="1493"/>
      <c r="AA138" s="1493"/>
    </row>
    <row r="139" spans="1:27" s="1548" customFormat="1" ht="217.5" customHeight="1">
      <c r="A139" s="3749">
        <v>44</v>
      </c>
      <c r="B139" s="2419" t="str">
        <f>TEXT(LEFT(K139,10),"0000000000")</f>
        <v>2000003045</v>
      </c>
      <c r="C139" s="1902" t="s">
        <v>206</v>
      </c>
      <c r="D139" s="2607">
        <v>4300</v>
      </c>
      <c r="E139" s="1921" t="s">
        <v>6197</v>
      </c>
      <c r="F139" s="1902" t="s">
        <v>3416</v>
      </c>
      <c r="G139" s="1909" t="s">
        <v>6198</v>
      </c>
      <c r="H139" s="1921"/>
      <c r="I139" s="1921" t="s">
        <v>19</v>
      </c>
      <c r="J139" s="1921" t="s">
        <v>74</v>
      </c>
      <c r="K139" s="1845" t="s">
        <v>6199</v>
      </c>
      <c r="L139" s="2583">
        <v>2100</v>
      </c>
      <c r="M139" s="2261" t="s">
        <v>6200</v>
      </c>
      <c r="N139" s="1493" t="s">
        <v>6030</v>
      </c>
      <c r="O139" s="1775"/>
      <c r="P139" s="2429">
        <v>3</v>
      </c>
      <c r="Q139" s="2150"/>
      <c r="R139" s="1921"/>
      <c r="S139" s="1921"/>
      <c r="T139" s="1921"/>
      <c r="U139" s="1909"/>
      <c r="V139" s="2150"/>
      <c r="W139" s="2150"/>
      <c r="X139" s="2150"/>
      <c r="Y139" s="1902"/>
      <c r="Z139" s="1902"/>
      <c r="AA139" s="1902"/>
    </row>
    <row r="140" spans="1:27" s="1548" customFormat="1" ht="69.75" customHeight="1">
      <c r="A140" s="3751"/>
      <c r="B140" s="1900" t="str">
        <f>TEXT(LEFT(K140,10),"0000000000")</f>
        <v>2200002034</v>
      </c>
      <c r="C140" s="1493" t="s">
        <v>206</v>
      </c>
      <c r="D140" s="1494"/>
      <c r="E140" s="1495"/>
      <c r="F140" s="1493" t="s">
        <v>3416</v>
      </c>
      <c r="G140" s="1495"/>
      <c r="H140" s="1495"/>
      <c r="I140" s="1495" t="s">
        <v>19</v>
      </c>
      <c r="J140" s="1495" t="s">
        <v>101</v>
      </c>
      <c r="K140" s="1600" t="s">
        <v>6201</v>
      </c>
      <c r="L140" s="2357">
        <v>200</v>
      </c>
      <c r="M140" s="1852" t="s">
        <v>6146</v>
      </c>
      <c r="N140" s="1545"/>
      <c r="O140" s="2544"/>
      <c r="P140" s="2429">
        <v>3</v>
      </c>
      <c r="Q140" s="1559"/>
      <c r="R140" s="1543"/>
      <c r="S140" s="1543"/>
      <c r="T140" s="1543"/>
      <c r="U140" s="2051"/>
      <c r="V140" s="1467"/>
      <c r="W140" s="1467"/>
      <c r="X140" s="1467"/>
      <c r="Y140" s="1474"/>
      <c r="Z140" s="1474"/>
      <c r="AA140" s="1474"/>
    </row>
    <row r="141" spans="1:27" s="1548" customFormat="1" ht="58.5" customHeight="1">
      <c r="A141" s="3750"/>
      <c r="B141" s="1900" t="str">
        <f>TEXT(LEFT(K141,10),"0000000000")</f>
        <v>2000003054</v>
      </c>
      <c r="C141" s="1493" t="s">
        <v>206</v>
      </c>
      <c r="D141" s="1494"/>
      <c r="E141" s="1495"/>
      <c r="F141" s="1493" t="s">
        <v>3416</v>
      </c>
      <c r="G141" s="1495"/>
      <c r="H141" s="1495"/>
      <c r="I141" s="1495" t="s">
        <v>19</v>
      </c>
      <c r="J141" s="1495" t="s">
        <v>101</v>
      </c>
      <c r="K141" s="1605" t="s">
        <v>6202</v>
      </c>
      <c r="L141" s="2357">
        <v>2153</v>
      </c>
      <c r="M141" s="2196" t="s">
        <v>5937</v>
      </c>
      <c r="N141" s="1493"/>
      <c r="O141" s="1859"/>
      <c r="P141" s="1790">
        <v>3</v>
      </c>
      <c r="R141" s="1495"/>
      <c r="S141" s="1495"/>
      <c r="T141" s="1495"/>
      <c r="U141" s="1748"/>
      <c r="Y141" s="1493"/>
      <c r="Z141" s="1493"/>
      <c r="AA141" s="1493"/>
    </row>
    <row r="142" spans="1:27" s="1548" customFormat="1" ht="58.5" customHeight="1">
      <c r="A142" s="2436">
        <v>38</v>
      </c>
      <c r="B142" s="1543" t="str">
        <f t="shared" ref="B142" si="21">TEXT(LEFT(K142,10),"0000000000")</f>
        <v>2000003011</v>
      </c>
      <c r="C142" s="1902" t="s">
        <v>52</v>
      </c>
      <c r="D142" s="2607">
        <v>4600</v>
      </c>
      <c r="E142" s="1921" t="s">
        <v>6203</v>
      </c>
      <c r="F142" s="1902" t="s">
        <v>16</v>
      </c>
      <c r="G142" s="1921" t="s">
        <v>6204</v>
      </c>
      <c r="H142" s="1921"/>
      <c r="I142" s="1921" t="s">
        <v>19</v>
      </c>
      <c r="J142" s="1921" t="s">
        <v>253</v>
      </c>
      <c r="K142" s="1845" t="s">
        <v>6205</v>
      </c>
      <c r="L142" s="2583">
        <v>4600</v>
      </c>
      <c r="M142" s="2429" t="s">
        <v>6170</v>
      </c>
      <c r="N142" s="1493" t="s">
        <v>6026</v>
      </c>
      <c r="O142" s="1775"/>
      <c r="P142" s="2429">
        <v>3</v>
      </c>
      <c r="Q142" s="2150"/>
      <c r="R142" s="1921"/>
      <c r="S142" s="1921"/>
      <c r="T142" s="1921"/>
      <c r="U142" s="1909"/>
      <c r="V142" s="2150"/>
      <c r="W142" s="2150"/>
      <c r="X142" s="2150"/>
      <c r="Y142" s="1902"/>
      <c r="Z142" s="1902"/>
      <c r="AA142" s="1902"/>
    </row>
    <row r="143" spans="1:27" s="2150" customFormat="1" ht="58.5" customHeight="1">
      <c r="A143" s="3749">
        <v>42</v>
      </c>
      <c r="B143" s="2419" t="str">
        <f t="shared" si="20"/>
        <v>2000003013</v>
      </c>
      <c r="C143" s="1902" t="s">
        <v>3460</v>
      </c>
      <c r="D143" s="2607">
        <v>4000</v>
      </c>
      <c r="E143" s="1921" t="s">
        <v>6206</v>
      </c>
      <c r="F143" s="1902" t="s">
        <v>61</v>
      </c>
      <c r="G143" s="1921" t="s">
        <v>6207</v>
      </c>
      <c r="H143" s="1921"/>
      <c r="I143" s="1921" t="s">
        <v>19</v>
      </c>
      <c r="J143" s="1561" t="s">
        <v>959</v>
      </c>
      <c r="K143" s="1911" t="s">
        <v>6208</v>
      </c>
      <c r="L143" s="2480">
        <v>2000</v>
      </c>
      <c r="M143" s="1909" t="s">
        <v>5961</v>
      </c>
      <c r="N143" s="1493" t="s">
        <v>6166</v>
      </c>
      <c r="O143" s="1775"/>
      <c r="P143" s="2429">
        <v>3</v>
      </c>
      <c r="R143" s="1921"/>
      <c r="S143" s="1921"/>
      <c r="T143" s="1921"/>
      <c r="U143" s="1909"/>
      <c r="Y143" s="1902"/>
      <c r="Z143" s="1902"/>
      <c r="AA143" s="1902"/>
    </row>
    <row r="144" spans="1:27" s="2150" customFormat="1" ht="58.5" customHeight="1">
      <c r="A144" s="3751"/>
      <c r="B144" s="1900" t="str">
        <f t="shared" si="20"/>
        <v>2200002040</v>
      </c>
      <c r="C144" s="1493" t="s">
        <v>3460</v>
      </c>
      <c r="D144" s="1494"/>
      <c r="E144" s="1495"/>
      <c r="F144" s="1493" t="s">
        <v>61</v>
      </c>
      <c r="G144" s="1495"/>
      <c r="H144" s="1495"/>
      <c r="I144" s="1495" t="s">
        <v>19</v>
      </c>
      <c r="J144" s="1495" t="s">
        <v>959</v>
      </c>
      <c r="K144" s="1881" t="s">
        <v>6209</v>
      </c>
      <c r="L144" s="2357">
        <v>130</v>
      </c>
      <c r="M144" s="2429" t="s">
        <v>6146</v>
      </c>
      <c r="N144" s="1493"/>
      <c r="O144" s="1775"/>
      <c r="P144" s="2429">
        <v>3</v>
      </c>
      <c r="R144" s="1921"/>
      <c r="S144" s="1921"/>
      <c r="T144" s="1921"/>
      <c r="U144" s="1909"/>
      <c r="Y144" s="1902"/>
      <c r="Z144" s="1902"/>
      <c r="AA144" s="1902"/>
    </row>
    <row r="145" spans="1:27" s="2150" customFormat="1" ht="58.5" customHeight="1">
      <c r="A145" s="3750"/>
      <c r="B145" s="1900" t="str">
        <f t="shared" si="20"/>
        <v>2200002041</v>
      </c>
      <c r="C145" s="1493" t="s">
        <v>3460</v>
      </c>
      <c r="D145" s="1494"/>
      <c r="E145" s="1495"/>
      <c r="F145" s="1493" t="s">
        <v>61</v>
      </c>
      <c r="G145" s="1495"/>
      <c r="H145" s="1495"/>
      <c r="I145" s="1495" t="s">
        <v>19</v>
      </c>
      <c r="J145" s="1495" t="s">
        <v>959</v>
      </c>
      <c r="K145" s="1547" t="s">
        <v>6210</v>
      </c>
      <c r="L145" s="2357">
        <v>1747</v>
      </c>
      <c r="M145" s="2196" t="s">
        <v>6211</v>
      </c>
      <c r="N145" s="1493"/>
      <c r="O145" s="1775"/>
      <c r="P145" s="2429">
        <v>3</v>
      </c>
      <c r="R145" s="1921"/>
      <c r="S145" s="1921"/>
      <c r="T145" s="1921"/>
      <c r="U145" s="1909"/>
      <c r="Y145" s="1902"/>
      <c r="Z145" s="1902"/>
      <c r="AA145" s="1902"/>
    </row>
    <row r="146" spans="1:27" s="1548" customFormat="1" ht="58.5" customHeight="1">
      <c r="A146" s="3749">
        <v>43</v>
      </c>
      <c r="B146" s="2419" t="str">
        <f>TEXT(LEFT(K146,10),"0000000000")</f>
        <v>2200002034</v>
      </c>
      <c r="C146" s="1902" t="s">
        <v>4786</v>
      </c>
      <c r="D146" s="2456">
        <v>5830</v>
      </c>
      <c r="E146" s="2187" t="s">
        <v>6212</v>
      </c>
      <c r="F146" s="2263" t="s">
        <v>16</v>
      </c>
      <c r="G146" s="2187" t="s">
        <v>6213</v>
      </c>
      <c r="H146" s="2187"/>
      <c r="I146" s="1921" t="s">
        <v>19</v>
      </c>
      <c r="J146" s="2370" t="s">
        <v>101</v>
      </c>
      <c r="K146" s="1911" t="s">
        <v>6214</v>
      </c>
      <c r="L146" s="2583">
        <v>530</v>
      </c>
      <c r="M146" s="2626" t="s">
        <v>6146</v>
      </c>
      <c r="N146" s="1545" t="s">
        <v>6026</v>
      </c>
      <c r="O146" s="2544"/>
      <c r="P146" s="2429">
        <v>3</v>
      </c>
      <c r="Q146" s="1559"/>
      <c r="R146" s="1543"/>
      <c r="S146" s="1543"/>
      <c r="T146" s="1543"/>
      <c r="U146" s="2051"/>
      <c r="V146" s="1467"/>
      <c r="W146" s="1467"/>
      <c r="X146" s="1467"/>
      <c r="Y146" s="1474"/>
      <c r="Z146" s="1474"/>
      <c r="AA146" s="1474"/>
    </row>
    <row r="147" spans="1:27" s="1548" customFormat="1" ht="58.5" customHeight="1">
      <c r="A147" s="3751"/>
      <c r="B147" s="1900" t="str">
        <f>TEXT(LEFT(K147,10),"0000000000")</f>
        <v>2000003060</v>
      </c>
      <c r="C147" s="1493" t="s">
        <v>4786</v>
      </c>
      <c r="D147" s="1494"/>
      <c r="E147" s="1495"/>
      <c r="F147" s="1545" t="s">
        <v>16</v>
      </c>
      <c r="G147" s="1495"/>
      <c r="H147" s="1495"/>
      <c r="I147" s="1495" t="s">
        <v>19</v>
      </c>
      <c r="J147" s="1495" t="s">
        <v>63</v>
      </c>
      <c r="K147" s="1547" t="s">
        <v>6215</v>
      </c>
      <c r="L147" s="2357">
        <v>2500</v>
      </c>
      <c r="M147" s="1748" t="s">
        <v>6216</v>
      </c>
      <c r="N147" s="1493"/>
      <c r="O147" s="1859"/>
      <c r="P147" s="1790">
        <v>3</v>
      </c>
      <c r="R147" s="1495"/>
      <c r="S147" s="1495"/>
      <c r="T147" s="1495"/>
      <c r="U147" s="1909"/>
      <c r="Y147" s="1493"/>
      <c r="Z147" s="1493"/>
      <c r="AA147" s="1493"/>
    </row>
    <row r="148" spans="1:27" s="1548" customFormat="1" ht="82.5" customHeight="1">
      <c r="A148" s="3750"/>
      <c r="B148" s="1900" t="str">
        <f>TEXT(LEFT(K148,10),"0000000000")</f>
        <v>2000002995</v>
      </c>
      <c r="C148" s="1493" t="s">
        <v>4786</v>
      </c>
      <c r="D148" s="1494"/>
      <c r="E148" s="1495"/>
      <c r="F148" s="1545" t="s">
        <v>16</v>
      </c>
      <c r="G148" s="1495"/>
      <c r="H148" s="1495"/>
      <c r="I148" s="1495" t="s">
        <v>19</v>
      </c>
      <c r="J148" s="1495" t="s">
        <v>63</v>
      </c>
      <c r="K148" s="1600" t="s">
        <v>6217</v>
      </c>
      <c r="L148" s="2357">
        <v>2800</v>
      </c>
      <c r="M148" s="2196" t="s">
        <v>5937</v>
      </c>
      <c r="N148" s="1495"/>
      <c r="O148" s="1859"/>
      <c r="P148" s="1790">
        <v>3</v>
      </c>
      <c r="R148" s="1495"/>
      <c r="S148" s="1495"/>
      <c r="T148" s="1495"/>
      <c r="U148" s="1909"/>
      <c r="Y148" s="1493"/>
      <c r="Z148" s="1493"/>
      <c r="AA148" s="1493"/>
    </row>
    <row r="149" spans="1:27" s="2150" customFormat="1" ht="57.75" customHeight="1">
      <c r="A149" s="3749">
        <v>45</v>
      </c>
      <c r="B149" s="2419" t="str">
        <f>TEXT(LEFT(K149,10),"0000000000")</f>
        <v>2200002041</v>
      </c>
      <c r="C149" s="1902" t="s">
        <v>6218</v>
      </c>
      <c r="D149" s="2607">
        <v>5900</v>
      </c>
      <c r="E149" s="1921" t="s">
        <v>6219</v>
      </c>
      <c r="F149" s="1902" t="s">
        <v>3416</v>
      </c>
      <c r="G149" s="2187" t="s">
        <v>6220</v>
      </c>
      <c r="H149" s="1921"/>
      <c r="I149" s="1921" t="s">
        <v>19</v>
      </c>
      <c r="J149" s="1921" t="s">
        <v>1138</v>
      </c>
      <c r="K149" s="1911" t="s">
        <v>6210</v>
      </c>
      <c r="L149" s="2583">
        <v>838</v>
      </c>
      <c r="M149" s="2196" t="s">
        <v>6211</v>
      </c>
      <c r="N149" s="1493" t="s">
        <v>6026</v>
      </c>
      <c r="O149" s="1775"/>
      <c r="P149" s="2429">
        <v>3</v>
      </c>
      <c r="R149" s="1921"/>
      <c r="S149" s="1921"/>
      <c r="T149" s="1921"/>
      <c r="U149" s="1909"/>
      <c r="Y149" s="1902"/>
      <c r="Z149" s="1902"/>
      <c r="AA149" s="1902"/>
    </row>
    <row r="150" spans="1:27" s="2150" customFormat="1" ht="57.75" customHeight="1">
      <c r="A150" s="3751"/>
      <c r="B150" s="1900" t="str">
        <f t="shared" ref="B150:B151" si="22">TEXT(LEFT(K150,10),"0000000000")</f>
        <v>2200002042</v>
      </c>
      <c r="C150" s="1493" t="s">
        <v>6218</v>
      </c>
      <c r="D150" s="1494"/>
      <c r="E150" s="1495"/>
      <c r="F150" s="1493" t="s">
        <v>3416</v>
      </c>
      <c r="G150" s="1495"/>
      <c r="H150" s="1495"/>
      <c r="I150" s="1495" t="s">
        <v>19</v>
      </c>
      <c r="J150" s="1495" t="s">
        <v>1138</v>
      </c>
      <c r="K150" s="1600" t="s">
        <v>6221</v>
      </c>
      <c r="L150" s="2357">
        <v>3480</v>
      </c>
      <c r="M150" s="2196" t="s">
        <v>6222</v>
      </c>
      <c r="N150" s="1493"/>
      <c r="O150" s="1775"/>
      <c r="P150" s="2429">
        <v>3</v>
      </c>
      <c r="R150" s="1921"/>
      <c r="S150" s="1921"/>
      <c r="T150" s="1921"/>
      <c r="U150" s="1909"/>
      <c r="Y150" s="1902"/>
      <c r="Z150" s="1902"/>
      <c r="AA150" s="1902"/>
    </row>
    <row r="151" spans="1:27" s="2150" customFormat="1" ht="57.75" customHeight="1">
      <c r="A151" s="3750"/>
      <c r="B151" s="1900" t="str">
        <f t="shared" si="22"/>
        <v>2200002045</v>
      </c>
      <c r="C151" s="1493" t="s">
        <v>6218</v>
      </c>
      <c r="D151" s="1494"/>
      <c r="E151" s="1495"/>
      <c r="F151" s="1493" t="s">
        <v>3416</v>
      </c>
      <c r="G151" s="1495"/>
      <c r="H151" s="1495"/>
      <c r="I151" s="1495" t="s">
        <v>19</v>
      </c>
      <c r="J151" s="1495" t="s">
        <v>1138</v>
      </c>
      <c r="K151" s="1547" t="s">
        <v>6223</v>
      </c>
      <c r="L151" s="2357">
        <v>1549</v>
      </c>
      <c r="M151" s="2626" t="s">
        <v>6146</v>
      </c>
      <c r="N151" s="1493"/>
      <c r="O151" s="1775"/>
      <c r="P151" s="2429">
        <v>3</v>
      </c>
      <c r="R151" s="1921"/>
      <c r="S151" s="1921"/>
      <c r="T151" s="1921"/>
      <c r="U151" s="1909"/>
      <c r="Y151" s="1902"/>
      <c r="Z151" s="1902"/>
      <c r="AA151" s="1902"/>
    </row>
    <row r="152" spans="1:27" s="1548" customFormat="1" ht="58.5" customHeight="1">
      <c r="A152" s="3749">
        <v>46</v>
      </c>
      <c r="B152" s="2419">
        <v>2200002034</v>
      </c>
      <c r="C152" s="1902" t="s">
        <v>71</v>
      </c>
      <c r="D152" s="2607">
        <v>3720</v>
      </c>
      <c r="E152" s="1921" t="s">
        <v>6224</v>
      </c>
      <c r="F152" s="1902" t="s">
        <v>84</v>
      </c>
      <c r="G152" s="1921" t="s">
        <v>6225</v>
      </c>
      <c r="H152" s="1921"/>
      <c r="I152" s="1921" t="s">
        <v>19</v>
      </c>
      <c r="J152" s="1921" t="s">
        <v>101</v>
      </c>
      <c r="K152" s="1911" t="s">
        <v>6214</v>
      </c>
      <c r="L152" s="2583">
        <v>430</v>
      </c>
      <c r="M152" s="2626" t="s">
        <v>6146</v>
      </c>
      <c r="N152" s="1493" t="s">
        <v>6026</v>
      </c>
      <c r="O152" s="1859"/>
      <c r="P152" s="1790">
        <v>3</v>
      </c>
      <c r="R152" s="1495"/>
      <c r="S152" s="1495"/>
      <c r="T152" s="1495"/>
      <c r="U152" s="1748"/>
      <c r="Y152" s="1493"/>
      <c r="Z152" s="1493"/>
      <c r="AA152" s="1493"/>
    </row>
    <row r="153" spans="1:27" s="1548" customFormat="1" ht="58.5" customHeight="1">
      <c r="A153" s="3751"/>
      <c r="B153" s="1900" t="str">
        <f>TEXT(LEFT(K153,10),"0000000000")</f>
        <v>2200002029</v>
      </c>
      <c r="C153" s="1493" t="s">
        <v>71</v>
      </c>
      <c r="D153" s="1494"/>
      <c r="E153" s="1495"/>
      <c r="F153" s="1493" t="s">
        <v>84</v>
      </c>
      <c r="G153" s="1495"/>
      <c r="H153" s="1495"/>
      <c r="I153" s="1495" t="s">
        <v>19</v>
      </c>
      <c r="J153" s="1899" t="s">
        <v>101</v>
      </c>
      <c r="K153" s="1547" t="s">
        <v>6172</v>
      </c>
      <c r="L153" s="2357">
        <v>445</v>
      </c>
      <c r="M153" s="2196" t="s">
        <v>6144</v>
      </c>
      <c r="N153" s="1493"/>
      <c r="O153" s="1859"/>
      <c r="P153" s="1790">
        <v>3</v>
      </c>
      <c r="R153" s="1495"/>
      <c r="S153" s="1495"/>
      <c r="T153" s="1495"/>
      <c r="U153" s="1748"/>
      <c r="Y153" s="1493"/>
      <c r="Z153" s="1493"/>
      <c r="AA153" s="1493"/>
    </row>
    <row r="154" spans="1:27" s="1548" customFormat="1" ht="58.5" customHeight="1">
      <c r="A154" s="3751"/>
      <c r="B154" s="1900" t="str">
        <f>TEXT(LEFT(K154,10),"0000000000")</f>
        <v>2200002039</v>
      </c>
      <c r="C154" s="1493" t="s">
        <v>71</v>
      </c>
      <c r="D154" s="1494"/>
      <c r="E154" s="1495"/>
      <c r="F154" s="1493" t="s">
        <v>84</v>
      </c>
      <c r="G154" s="1495"/>
      <c r="H154" s="1495"/>
      <c r="I154" s="1495" t="s">
        <v>19</v>
      </c>
      <c r="J154" s="1899" t="s">
        <v>101</v>
      </c>
      <c r="K154" s="1547" t="s">
        <v>6226</v>
      </c>
      <c r="L154" s="2357">
        <v>75</v>
      </c>
      <c r="M154" s="1852" t="s">
        <v>6146</v>
      </c>
      <c r="N154" s="1493"/>
      <c r="O154" s="1859"/>
      <c r="P154" s="1790">
        <v>3</v>
      </c>
      <c r="R154" s="1495"/>
      <c r="S154" s="1495"/>
      <c r="T154" s="1495"/>
      <c r="U154" s="1748"/>
      <c r="Y154" s="1493"/>
      <c r="Z154" s="1493"/>
      <c r="AA154" s="1493"/>
    </row>
    <row r="155" spans="1:27" s="1548" customFormat="1" ht="58.5" customHeight="1">
      <c r="A155" s="3751"/>
      <c r="B155" s="1900" t="str">
        <f t="shared" ref="B155:B157" si="23">TEXT(LEFT(K155,10),"0000000000")</f>
        <v>2200002044</v>
      </c>
      <c r="C155" s="1493" t="s">
        <v>71</v>
      </c>
      <c r="D155" s="1494"/>
      <c r="E155" s="1495"/>
      <c r="F155" s="1493" t="s">
        <v>84</v>
      </c>
      <c r="G155" s="1495"/>
      <c r="H155" s="1495"/>
      <c r="I155" s="1495" t="s">
        <v>19</v>
      </c>
      <c r="J155" s="1899" t="s">
        <v>101</v>
      </c>
      <c r="K155" s="1547" t="s">
        <v>6227</v>
      </c>
      <c r="L155" s="2357">
        <v>2460</v>
      </c>
      <c r="M155" s="1852" t="s">
        <v>6146</v>
      </c>
      <c r="N155" s="1493"/>
      <c r="O155" s="1859"/>
      <c r="P155" s="1790">
        <v>3</v>
      </c>
      <c r="R155" s="1495"/>
      <c r="S155" s="1495"/>
      <c r="T155" s="1495"/>
      <c r="U155" s="1748"/>
      <c r="Y155" s="1493"/>
      <c r="Z155" s="1493"/>
      <c r="AA155" s="1493"/>
    </row>
    <row r="156" spans="1:27" s="1548" customFormat="1" ht="58.5" customHeight="1">
      <c r="A156" s="3750"/>
      <c r="B156" s="1900" t="str">
        <f t="shared" si="23"/>
        <v>2200002043</v>
      </c>
      <c r="C156" s="1493" t="s">
        <v>71</v>
      </c>
      <c r="D156" s="1494"/>
      <c r="E156" s="1495"/>
      <c r="F156" s="1493" t="s">
        <v>84</v>
      </c>
      <c r="G156" s="1495"/>
      <c r="H156" s="1495"/>
      <c r="I156" s="1495" t="s">
        <v>19</v>
      </c>
      <c r="J156" s="1899" t="s">
        <v>74</v>
      </c>
      <c r="K156" s="1547" t="s">
        <v>6228</v>
      </c>
      <c r="L156" s="2357">
        <v>355</v>
      </c>
      <c r="M156" s="1852" t="s">
        <v>6146</v>
      </c>
      <c r="N156" s="1493"/>
      <c r="O156" s="1859"/>
      <c r="P156" s="1790">
        <v>3</v>
      </c>
      <c r="R156" s="1495"/>
      <c r="S156" s="1495"/>
      <c r="T156" s="1495"/>
      <c r="U156" s="1748"/>
      <c r="Y156" s="1493"/>
      <c r="Z156" s="1493"/>
      <c r="AA156" s="1493"/>
    </row>
    <row r="157" spans="1:27" s="2150" customFormat="1" ht="58.5" customHeight="1">
      <c r="A157" s="2414">
        <v>48</v>
      </c>
      <c r="B157" s="2419" t="str">
        <f t="shared" si="23"/>
        <v>2200002044</v>
      </c>
      <c r="C157" s="1902" t="s">
        <v>3856</v>
      </c>
      <c r="D157" s="2607">
        <v>1555</v>
      </c>
      <c r="E157" s="1921" t="s">
        <v>6229</v>
      </c>
      <c r="F157" s="1902" t="s">
        <v>84</v>
      </c>
      <c r="G157" s="1921" t="s">
        <v>6230</v>
      </c>
      <c r="H157" s="1921"/>
      <c r="I157" s="1921" t="s">
        <v>19</v>
      </c>
      <c r="J157" s="2370" t="s">
        <v>101</v>
      </c>
      <c r="K157" s="1911" t="s">
        <v>6231</v>
      </c>
      <c r="L157" s="2583">
        <v>1555</v>
      </c>
      <c r="M157" s="2626" t="s">
        <v>6146</v>
      </c>
      <c r="N157" s="1902" t="s">
        <v>6026</v>
      </c>
      <c r="O157" s="1862" t="s">
        <v>6232</v>
      </c>
      <c r="P157" s="2429">
        <v>3</v>
      </c>
      <c r="R157" s="1921"/>
      <c r="S157" s="1921"/>
      <c r="T157" s="1921"/>
      <c r="U157" s="1909"/>
      <c r="Y157" s="1902"/>
      <c r="Z157" s="1902"/>
      <c r="AA157" s="1902"/>
    </row>
    <row r="158" spans="1:27" s="1837" customFormat="1" ht="58.5" customHeight="1">
      <c r="A158" s="1831"/>
      <c r="B158" s="2759" t="str">
        <f t="shared" ref="B158:B163" si="24">TEXT(LEFT(K158,10),"0000000000")</f>
        <v>2200002000</v>
      </c>
      <c r="C158" s="1832" t="s">
        <v>2468</v>
      </c>
      <c r="D158" s="2750">
        <v>4940</v>
      </c>
      <c r="E158" s="1834" t="s">
        <v>6233</v>
      </c>
      <c r="F158" s="1832" t="s">
        <v>89</v>
      </c>
      <c r="G158" s="1834"/>
      <c r="H158" s="1834"/>
      <c r="I158" s="1834" t="s">
        <v>19</v>
      </c>
      <c r="J158" s="1834" t="s">
        <v>234</v>
      </c>
      <c r="K158" s="1836" t="s">
        <v>6234</v>
      </c>
      <c r="L158" s="2751">
        <v>4940</v>
      </c>
      <c r="M158" s="1832" t="s">
        <v>5951</v>
      </c>
      <c r="N158" s="1832"/>
      <c r="O158" s="2752"/>
      <c r="P158" s="1856">
        <v>1</v>
      </c>
      <c r="R158" s="1834"/>
      <c r="S158" s="1834"/>
      <c r="T158" s="1834"/>
      <c r="U158" s="2760"/>
      <c r="Y158" s="1832"/>
      <c r="Z158" s="1832"/>
      <c r="AA158" s="1832"/>
    </row>
    <row r="159" spans="1:27" s="1837" customFormat="1" ht="58.5" customHeight="1">
      <c r="A159" s="1831"/>
      <c r="B159" s="2759" t="str">
        <f t="shared" si="24"/>
        <v>2000002974</v>
      </c>
      <c r="C159" s="1832" t="s">
        <v>2468</v>
      </c>
      <c r="D159" s="2750">
        <v>1500</v>
      </c>
      <c r="E159" s="1834" t="s">
        <v>6235</v>
      </c>
      <c r="F159" s="1832" t="s">
        <v>89</v>
      </c>
      <c r="G159" s="1834"/>
      <c r="H159" s="1834"/>
      <c r="I159" s="1834" t="s">
        <v>19</v>
      </c>
      <c r="J159" s="1834" t="s">
        <v>234</v>
      </c>
      <c r="K159" s="1836" t="s">
        <v>6236</v>
      </c>
      <c r="L159" s="2751">
        <v>1500</v>
      </c>
      <c r="M159" s="1856" t="s">
        <v>6237</v>
      </c>
      <c r="N159" s="1832"/>
      <c r="O159" s="2752"/>
      <c r="P159" s="1856">
        <v>2</v>
      </c>
      <c r="R159" s="1834"/>
      <c r="S159" s="1834"/>
      <c r="T159" s="1834"/>
      <c r="U159" s="2760"/>
      <c r="Y159" s="1832"/>
      <c r="Z159" s="1832"/>
      <c r="AA159" s="1832"/>
    </row>
    <row r="160" spans="1:27" s="1837" customFormat="1" ht="58.5" customHeight="1">
      <c r="A160" s="1831"/>
      <c r="B160" s="2753" t="str">
        <f t="shared" si="24"/>
        <v>2000002975</v>
      </c>
      <c r="C160" s="1832" t="s">
        <v>2468</v>
      </c>
      <c r="D160" s="2750">
        <v>1500</v>
      </c>
      <c r="E160" s="1834" t="s">
        <v>6238</v>
      </c>
      <c r="F160" s="1832" t="s">
        <v>89</v>
      </c>
      <c r="G160" s="1834"/>
      <c r="H160" s="1834"/>
      <c r="I160" s="1834" t="s">
        <v>19</v>
      </c>
      <c r="J160" s="1834" t="s">
        <v>234</v>
      </c>
      <c r="K160" s="1836" t="s">
        <v>6239</v>
      </c>
      <c r="L160" s="2751">
        <v>1500</v>
      </c>
      <c r="M160" s="1856" t="s">
        <v>5961</v>
      </c>
      <c r="N160" s="1832"/>
      <c r="O160" s="2752"/>
      <c r="P160" s="1856">
        <v>3</v>
      </c>
      <c r="R160" s="1832"/>
      <c r="S160" s="2778" t="e">
        <f>VLOOKUP(R160,#REF!,2,0)</f>
        <v>#REF!</v>
      </c>
      <c r="T160" s="2778" t="e">
        <f>VLOOKUP(R160,#REF!,3,0)</f>
        <v>#REF!</v>
      </c>
      <c r="U160" s="2779" t="e">
        <f>S160-T160</f>
        <v>#REF!</v>
      </c>
      <c r="Y160" s="1832"/>
      <c r="Z160" s="1832"/>
      <c r="AA160" s="1832"/>
    </row>
    <row r="161" spans="1:27" s="1837" customFormat="1" ht="58.5" customHeight="1">
      <c r="A161" s="1831"/>
      <c r="B161" s="2753" t="str">
        <f t="shared" si="24"/>
        <v>2000002984</v>
      </c>
      <c r="C161" s="1832" t="s">
        <v>2468</v>
      </c>
      <c r="D161" s="2750">
        <v>200</v>
      </c>
      <c r="E161" s="1834" t="s">
        <v>5966</v>
      </c>
      <c r="F161" s="1832" t="s">
        <v>89</v>
      </c>
      <c r="G161" s="1834"/>
      <c r="H161" s="1834"/>
      <c r="I161" s="1834" t="s">
        <v>19</v>
      </c>
      <c r="J161" s="1834" t="s">
        <v>1612</v>
      </c>
      <c r="K161" s="1836" t="s">
        <v>6240</v>
      </c>
      <c r="L161" s="2751">
        <v>200</v>
      </c>
      <c r="M161" s="1832" t="s">
        <v>5961</v>
      </c>
      <c r="N161" s="1832"/>
      <c r="O161" s="2752"/>
      <c r="P161" s="1856">
        <v>1</v>
      </c>
      <c r="R161" s="1834"/>
      <c r="S161" s="1834"/>
      <c r="T161" s="1834"/>
      <c r="U161" s="2760"/>
      <c r="Y161" s="1832"/>
      <c r="Z161" s="1832"/>
      <c r="AA161" s="1832"/>
    </row>
    <row r="162" spans="1:27" s="1837" customFormat="1" ht="58.5" customHeight="1">
      <c r="A162" s="1831"/>
      <c r="B162" s="2753" t="str">
        <f t="shared" si="24"/>
        <v>2000003009</v>
      </c>
      <c r="C162" s="1832" t="s">
        <v>2468</v>
      </c>
      <c r="D162" s="2750">
        <v>250</v>
      </c>
      <c r="E162" s="1834" t="s">
        <v>6241</v>
      </c>
      <c r="F162" s="1832" t="s">
        <v>89</v>
      </c>
      <c r="G162" s="1834"/>
      <c r="H162" s="1834"/>
      <c r="I162" s="1834" t="s">
        <v>19</v>
      </c>
      <c r="J162" s="1834" t="s">
        <v>1612</v>
      </c>
      <c r="K162" s="1836" t="s">
        <v>6242</v>
      </c>
      <c r="L162" s="2751">
        <v>250</v>
      </c>
      <c r="M162" s="1832" t="s">
        <v>6243</v>
      </c>
      <c r="N162" s="1832"/>
      <c r="O162" s="2752"/>
      <c r="P162" s="1856">
        <v>2</v>
      </c>
      <c r="R162" s="1834"/>
      <c r="S162" s="1834"/>
      <c r="T162" s="1834"/>
      <c r="U162" s="2760"/>
      <c r="Y162" s="1832"/>
      <c r="Z162" s="1832"/>
      <c r="AA162" s="1832"/>
    </row>
    <row r="163" spans="1:27" s="2740" customFormat="1" ht="58.5" customHeight="1">
      <c r="A163" s="2732"/>
      <c r="B163" s="2742" t="str">
        <f t="shared" si="24"/>
        <v>2200002013</v>
      </c>
      <c r="C163" s="2733" t="s">
        <v>2468</v>
      </c>
      <c r="D163" s="2734">
        <v>1350</v>
      </c>
      <c r="E163" s="2735"/>
      <c r="F163" s="2733" t="s">
        <v>89</v>
      </c>
      <c r="G163" s="2735"/>
      <c r="H163" s="2735"/>
      <c r="I163" s="2735" t="s">
        <v>19</v>
      </c>
      <c r="J163" s="2735" t="s">
        <v>234</v>
      </c>
      <c r="K163" s="2736" t="s">
        <v>6244</v>
      </c>
      <c r="L163" s="2737">
        <v>1350</v>
      </c>
      <c r="M163" s="2739" t="s">
        <v>6245</v>
      </c>
      <c r="N163" s="2733"/>
      <c r="O163" s="2738"/>
      <c r="P163" s="2739">
        <v>2</v>
      </c>
      <c r="R163" s="2735"/>
      <c r="S163" s="2735"/>
      <c r="T163" s="2735"/>
      <c r="U163" s="2741"/>
      <c r="Y163" s="2733"/>
      <c r="Z163" s="2733"/>
      <c r="AA163" s="2733"/>
    </row>
    <row r="164" spans="1:27" s="1837" customFormat="1" ht="58.5" customHeight="1">
      <c r="A164" s="1831"/>
      <c r="B164" s="2753" t="str">
        <f>TEXT(LEFT(K164,10),"0000000000")</f>
        <v>2200002024</v>
      </c>
      <c r="C164" s="1832" t="s">
        <v>2468</v>
      </c>
      <c r="D164" s="2750">
        <v>4041</v>
      </c>
      <c r="E164" s="1834" t="s">
        <v>6235</v>
      </c>
      <c r="F164" s="1832" t="s">
        <v>89</v>
      </c>
      <c r="G164" s="1834"/>
      <c r="H164" s="1834"/>
      <c r="I164" s="1834" t="s">
        <v>19</v>
      </c>
      <c r="J164" s="1834" t="s">
        <v>234</v>
      </c>
      <c r="K164" s="1836" t="s">
        <v>6246</v>
      </c>
      <c r="L164" s="2751">
        <v>4041</v>
      </c>
      <c r="M164" s="2768" t="s">
        <v>5937</v>
      </c>
      <c r="N164" s="1832"/>
      <c r="O164" s="2752"/>
      <c r="P164" s="1856">
        <v>2</v>
      </c>
      <c r="R164" s="1834"/>
      <c r="S164" s="1834"/>
      <c r="T164" s="1834"/>
      <c r="U164" s="2764"/>
      <c r="Y164" s="1832"/>
      <c r="Z164" s="1832"/>
      <c r="AA164" s="1832"/>
    </row>
    <row r="165" spans="1:27" s="1837" customFormat="1" ht="58.5" customHeight="1">
      <c r="A165" s="1831"/>
      <c r="B165" s="2753" t="str">
        <f>TEXT(LEFT(K165,10),"0000000000")</f>
        <v>2200002025</v>
      </c>
      <c r="C165" s="1832" t="s">
        <v>2468</v>
      </c>
      <c r="D165" s="2750">
        <v>3868</v>
      </c>
      <c r="E165" s="1834" t="s">
        <v>6247</v>
      </c>
      <c r="F165" s="1832" t="s">
        <v>89</v>
      </c>
      <c r="G165" s="1834"/>
      <c r="H165" s="1834"/>
      <c r="I165" s="1834" t="s">
        <v>19</v>
      </c>
      <c r="J165" s="1834" t="s">
        <v>234</v>
      </c>
      <c r="K165" s="1836" t="s">
        <v>6248</v>
      </c>
      <c r="L165" s="2751">
        <v>3868</v>
      </c>
      <c r="M165" s="1856" t="s">
        <v>6249</v>
      </c>
      <c r="N165" s="1832"/>
      <c r="O165" s="2752"/>
      <c r="P165" s="1856">
        <v>3</v>
      </c>
      <c r="R165" s="1834"/>
      <c r="S165" s="1834"/>
      <c r="T165" s="1834"/>
      <c r="U165" s="2764"/>
      <c r="Y165" s="1832"/>
      <c r="Z165" s="1832"/>
      <c r="AA165" s="1832"/>
    </row>
    <row r="166" spans="1:27" s="1837" customFormat="1" ht="58.5" customHeight="1">
      <c r="A166" s="1831"/>
      <c r="B166" s="2753" t="str">
        <f>TEXT(LEFT(K166,10),"0000000000")</f>
        <v>2000003020</v>
      </c>
      <c r="C166" s="1832" t="s">
        <v>2468</v>
      </c>
      <c r="D166" s="2750">
        <v>250</v>
      </c>
      <c r="E166" s="1834" t="s">
        <v>6250</v>
      </c>
      <c r="F166" s="1832" t="s">
        <v>89</v>
      </c>
      <c r="G166" s="1834"/>
      <c r="H166" s="1834"/>
      <c r="I166" s="1834" t="s">
        <v>19</v>
      </c>
      <c r="J166" s="1834" t="s">
        <v>1612</v>
      </c>
      <c r="K166" s="1836" t="s">
        <v>6251</v>
      </c>
      <c r="L166" s="2751">
        <v>250</v>
      </c>
      <c r="M166" s="1856" t="s">
        <v>5961</v>
      </c>
      <c r="N166" s="1832"/>
      <c r="O166" s="2752"/>
      <c r="P166" s="2780">
        <v>2</v>
      </c>
      <c r="R166" s="1834"/>
      <c r="S166" s="1834"/>
      <c r="T166" s="1834"/>
      <c r="U166" s="2764"/>
      <c r="Y166" s="1832"/>
      <c r="Z166" s="1832"/>
      <c r="AA166" s="1832"/>
    </row>
    <row r="167" spans="1:27" s="2776" customFormat="1" ht="58.5" customHeight="1">
      <c r="A167" s="2770"/>
      <c r="B167" s="2742" t="str">
        <f>TEXT(LEFT(K167,10),"0000000000")</f>
        <v>2000003021</v>
      </c>
      <c r="C167" s="2771" t="s">
        <v>2468</v>
      </c>
      <c r="D167" s="2772">
        <v>200</v>
      </c>
      <c r="E167" s="2742" t="s">
        <v>6252</v>
      </c>
      <c r="F167" s="2771" t="s">
        <v>89</v>
      </c>
      <c r="G167" s="2742"/>
      <c r="H167" s="2742"/>
      <c r="I167" s="2742" t="s">
        <v>19</v>
      </c>
      <c r="J167" s="2742" t="s">
        <v>1612</v>
      </c>
      <c r="K167" s="2773" t="s">
        <v>6253</v>
      </c>
      <c r="L167" s="2774">
        <v>200</v>
      </c>
      <c r="M167" s="2763" t="s">
        <v>5961</v>
      </c>
      <c r="N167" s="2771"/>
      <c r="O167" s="2775"/>
      <c r="P167" s="2763">
        <v>3</v>
      </c>
      <c r="R167" s="2742"/>
      <c r="S167" s="2742"/>
      <c r="T167" s="2742"/>
      <c r="U167" s="2777"/>
      <c r="Y167" s="2771"/>
      <c r="Z167" s="2771"/>
      <c r="AA167" s="2771"/>
    </row>
    <row r="168" spans="1:27" s="1837" customFormat="1" ht="58.5" customHeight="1">
      <c r="A168" s="1831"/>
      <c r="B168" s="1834" t="str">
        <f t="shared" ref="B168:B169" si="25">TEXT(LEFT(K168,10),"0000000000")</f>
        <v>2200002030</v>
      </c>
      <c r="C168" s="1832" t="s">
        <v>2468</v>
      </c>
      <c r="D168" s="2750">
        <v>3068</v>
      </c>
      <c r="E168" s="1834" t="s">
        <v>6254</v>
      </c>
      <c r="F168" s="1832" t="s">
        <v>89</v>
      </c>
      <c r="G168" s="1834"/>
      <c r="H168" s="1834"/>
      <c r="I168" s="1834" t="s">
        <v>19</v>
      </c>
      <c r="J168" s="1834" t="s">
        <v>234</v>
      </c>
      <c r="K168" s="1836" t="s">
        <v>6255</v>
      </c>
      <c r="L168" s="2751">
        <v>3068</v>
      </c>
      <c r="M168" s="2768" t="s">
        <v>5937</v>
      </c>
      <c r="N168" s="1832"/>
      <c r="O168" s="2752"/>
      <c r="P168" s="1856">
        <v>3</v>
      </c>
      <c r="R168" s="1834"/>
      <c r="S168" s="1834"/>
      <c r="T168" s="1834"/>
      <c r="U168" s="2764"/>
      <c r="Y168" s="1832"/>
      <c r="Z168" s="1832"/>
      <c r="AA168" s="1832"/>
    </row>
    <row r="169" spans="1:27" s="1837" customFormat="1" ht="58.5" customHeight="1">
      <c r="A169" s="1831"/>
      <c r="B169" s="1834" t="str">
        <f t="shared" si="25"/>
        <v>2200002032</v>
      </c>
      <c r="C169" s="1832" t="s">
        <v>2468</v>
      </c>
      <c r="D169" s="2750">
        <v>3653</v>
      </c>
      <c r="E169" s="1834" t="s">
        <v>6256</v>
      </c>
      <c r="F169" s="1832" t="s">
        <v>89</v>
      </c>
      <c r="G169" s="1834"/>
      <c r="H169" s="1834"/>
      <c r="I169" s="1834" t="s">
        <v>19</v>
      </c>
      <c r="J169" s="1834" t="s">
        <v>234</v>
      </c>
      <c r="K169" s="1836" t="s">
        <v>6257</v>
      </c>
      <c r="L169" s="2751">
        <v>3653</v>
      </c>
      <c r="M169" s="1856" t="s">
        <v>6146</v>
      </c>
      <c r="N169" s="1832"/>
      <c r="O169" s="2752"/>
      <c r="P169" s="1856">
        <v>3</v>
      </c>
      <c r="R169" s="1834"/>
      <c r="S169" s="1834"/>
      <c r="T169" s="1834"/>
      <c r="U169" s="2764"/>
      <c r="Y169" s="1832"/>
      <c r="Z169" s="1832"/>
      <c r="AA169" s="1832"/>
    </row>
    <row r="170" spans="1:27" s="1837" customFormat="1" ht="58.5" customHeight="1">
      <c r="A170" s="1831"/>
      <c r="B170" s="1834" t="str">
        <f>TEXT(LEFT(K170,10),"0000000000")</f>
        <v>2200002038</v>
      </c>
      <c r="C170" s="1832" t="s">
        <v>2468</v>
      </c>
      <c r="D170" s="2750">
        <v>50</v>
      </c>
      <c r="E170" s="1834" t="s">
        <v>6258</v>
      </c>
      <c r="F170" s="1832" t="s">
        <v>89</v>
      </c>
      <c r="G170" s="1834"/>
      <c r="H170" s="1834"/>
      <c r="I170" s="1834" t="s">
        <v>19</v>
      </c>
      <c r="J170" s="1834" t="s">
        <v>234</v>
      </c>
      <c r="K170" s="1836" t="s">
        <v>6259</v>
      </c>
      <c r="L170" s="2751">
        <v>50</v>
      </c>
      <c r="M170" s="1856" t="s">
        <v>6146</v>
      </c>
      <c r="N170" s="1832"/>
      <c r="O170" s="2752"/>
      <c r="P170" s="1856">
        <v>3</v>
      </c>
      <c r="R170" s="1834"/>
      <c r="S170" s="1834"/>
      <c r="T170" s="1834"/>
      <c r="U170" s="2764"/>
      <c r="Y170" s="1832"/>
      <c r="Z170" s="1832"/>
      <c r="AA170" s="1832"/>
    </row>
  </sheetData>
  <autoFilter ref="A3:AA3" xr:uid="{FCCF6C76-5B7E-43C2-8C03-7A912A6BB0B0}"/>
  <mergeCells count="35">
    <mergeCell ref="A73:A74"/>
    <mergeCell ref="A55:A60"/>
    <mergeCell ref="A61:A69"/>
    <mergeCell ref="A70:A72"/>
    <mergeCell ref="A49:A51"/>
    <mergeCell ref="A52:A54"/>
    <mergeCell ref="R2:U2"/>
    <mergeCell ref="A37:A42"/>
    <mergeCell ref="A8:A11"/>
    <mergeCell ref="A26:A27"/>
    <mergeCell ref="A4:A5"/>
    <mergeCell ref="A17:A24"/>
    <mergeCell ref="A1:Q1"/>
    <mergeCell ref="A2:C2"/>
    <mergeCell ref="A28:A36"/>
    <mergeCell ref="A12:A15"/>
    <mergeCell ref="A47:A48"/>
    <mergeCell ref="A43:A44"/>
    <mergeCell ref="A75:A85"/>
    <mergeCell ref="A100:A104"/>
    <mergeCell ref="A90:A91"/>
    <mergeCell ref="A121:A125"/>
    <mergeCell ref="A107:A108"/>
    <mergeCell ref="A93:A98"/>
    <mergeCell ref="A119:A120"/>
    <mergeCell ref="A86:A89"/>
    <mergeCell ref="A105:A106"/>
    <mergeCell ref="A110:A116"/>
    <mergeCell ref="A136:A138"/>
    <mergeCell ref="A152:A156"/>
    <mergeCell ref="A139:A141"/>
    <mergeCell ref="A146:A148"/>
    <mergeCell ref="A127:A135"/>
    <mergeCell ref="A143:A145"/>
    <mergeCell ref="A149:A151"/>
  </mergeCells>
  <conditionalFormatting sqref="B1 B3:B1048576">
    <cfRule type="duplicateValues" dxfId="91" priority="1274"/>
  </conditionalFormatting>
  <conditionalFormatting sqref="B1:B1048576">
    <cfRule type="duplicateValues" dxfId="90" priority="1278"/>
  </conditionalFormatting>
  <conditionalFormatting sqref="B4:B1048576">
    <cfRule type="duplicateValues" dxfId="89" priority="1281"/>
    <cfRule type="duplicateValues" dxfId="88" priority="1282"/>
  </conditionalFormatting>
  <pageMargins left="0.7" right="0.7" top="0.75" bottom="0.75" header="0.3" footer="0.3"/>
  <pageSetup paperSize="9" scale="40" orientation="landscape"/>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86496C-7B86-457B-BB74-0D3185F3FD49}">
  <sheetPr>
    <tabColor theme="2" tint="-0.249977111117893"/>
    <pageSetUpPr fitToPage="1"/>
  </sheetPr>
  <dimension ref="A1:DW228"/>
  <sheetViews>
    <sheetView zoomScale="70" zoomScaleNormal="70" workbookViewId="0">
      <pane xSplit="3" ySplit="3" topLeftCell="F4" activePane="bottomRight" state="frozen"/>
      <selection pane="topRight" activeCell="E39" sqref="E39"/>
      <selection pane="bottomLeft" activeCell="E39" sqref="E39"/>
      <selection pane="bottomRight" activeCell="C155" sqref="C155"/>
    </sheetView>
  </sheetViews>
  <sheetFormatPr defaultColWidth="32.140625" defaultRowHeight="58.5" customHeight="1"/>
  <cols>
    <col min="1" max="1" width="11" style="359" customWidth="1"/>
    <col min="2" max="2" width="31.42578125" style="763" customWidth="1"/>
    <col min="3" max="3" width="35" style="1" customWidth="1"/>
    <col min="4" max="4" width="22.28515625" style="1179" customWidth="1"/>
    <col min="5" max="5" width="34.7109375" style="271" customWidth="1"/>
    <col min="6" max="6" width="28.5703125" style="1" customWidth="1"/>
    <col min="7" max="7" width="26.85546875" style="271" customWidth="1"/>
    <col min="8" max="8" width="36" style="271" customWidth="1"/>
    <col min="9" max="9" width="23" style="271" customWidth="1"/>
    <col min="10" max="10" width="26.7109375" style="271" customWidth="1"/>
    <col min="11" max="11" width="92.42578125" style="9" customWidth="1"/>
    <col min="12" max="12" width="23.42578125" style="2217" customWidth="1"/>
    <col min="13" max="13" width="53.140625" style="1" customWidth="1"/>
    <col min="14" max="14" width="45.42578125" style="2260" customWidth="1"/>
    <col min="15" max="15" width="29.28515625" style="2225" customWidth="1"/>
    <col min="16" max="16" width="32.140625" style="3"/>
    <col min="17" max="19" width="32.140625" style="1" bestFit="1" customWidth="1"/>
    <col min="20" max="20" width="36.42578125" style="3" bestFit="1" customWidth="1"/>
    <col min="21" max="16384" width="32.140625" style="3"/>
  </cols>
  <sheetData>
    <row r="1" spans="1:127" ht="50.25" customHeight="1">
      <c r="A1" s="3760" t="s">
        <v>6260</v>
      </c>
      <c r="B1" s="3769"/>
      <c r="C1" s="3769"/>
      <c r="D1" s="3769"/>
      <c r="E1" s="3769"/>
      <c r="F1" s="3769"/>
      <c r="G1" s="3769"/>
      <c r="H1" s="3769"/>
      <c r="I1" s="3769"/>
      <c r="J1" s="3769"/>
      <c r="K1" s="3769"/>
      <c r="L1" s="3770"/>
      <c r="M1" s="3769"/>
      <c r="N1" s="3769"/>
      <c r="O1" s="3741"/>
      <c r="P1" s="3771"/>
    </row>
    <row r="2" spans="1:127" ht="39.75" customHeight="1">
      <c r="A2" s="3774" t="s">
        <v>3388</v>
      </c>
      <c r="B2" s="3775"/>
      <c r="C2" s="3776"/>
      <c r="D2" s="2215">
        <f>SUBTOTAL(9,D3:D568)</f>
        <v>398380</v>
      </c>
      <c r="E2" s="1932"/>
      <c r="F2" s="2092"/>
      <c r="G2" s="2269" t="s">
        <v>5187</v>
      </c>
      <c r="H2" s="1932"/>
      <c r="I2" s="1932"/>
      <c r="J2" s="1932"/>
      <c r="K2" s="2093">
        <f ca="1">TODAY()</f>
        <v>45960</v>
      </c>
      <c r="L2" s="2272">
        <f>SUBTOTAL(9,L4:L568)</f>
        <v>393760</v>
      </c>
      <c r="M2" s="2339" t="s">
        <v>5924</v>
      </c>
      <c r="N2" s="2099" t="s">
        <v>5925</v>
      </c>
      <c r="O2" s="3772" t="s">
        <v>5170</v>
      </c>
      <c r="P2" s="3772"/>
    </row>
    <row r="3" spans="1:127" s="2175" customFormat="1" ht="79.5" customHeight="1">
      <c r="A3" s="2109" t="s">
        <v>1</v>
      </c>
      <c r="B3" s="2111" t="s">
        <v>5190</v>
      </c>
      <c r="C3" s="2111" t="s">
        <v>5191</v>
      </c>
      <c r="D3" s="2090" t="s">
        <v>5423</v>
      </c>
      <c r="E3" s="1970" t="s">
        <v>3389</v>
      </c>
      <c r="F3" s="1970" t="s">
        <v>5</v>
      </c>
      <c r="G3" s="1970" t="s">
        <v>3390</v>
      </c>
      <c r="H3" s="1970" t="s">
        <v>6261</v>
      </c>
      <c r="I3" s="1970" t="s">
        <v>8</v>
      </c>
      <c r="J3" s="1970" t="s">
        <v>9</v>
      </c>
      <c r="K3" s="1970" t="s">
        <v>5928</v>
      </c>
      <c r="L3" s="2346" t="s">
        <v>6262</v>
      </c>
      <c r="M3" s="2377" t="s">
        <v>6263</v>
      </c>
      <c r="N3" s="2100" t="s">
        <v>11</v>
      </c>
      <c r="O3" s="2589" t="s">
        <v>5200</v>
      </c>
      <c r="P3" s="2600" t="s">
        <v>5930</v>
      </c>
      <c r="Q3" s="2581" t="s">
        <v>5931</v>
      </c>
      <c r="R3" s="2581" t="s">
        <v>5932</v>
      </c>
      <c r="S3" s="2581" t="s">
        <v>5933</v>
      </c>
    </row>
    <row r="4" spans="1:127" s="1916" customFormat="1" ht="66" customHeight="1">
      <c r="A4" s="2214">
        <v>1</v>
      </c>
      <c r="B4" s="1921" t="str">
        <f t="shared" ref="B4:B11" si="0">TEXT(LEFT(K4,10),"0000000000")</f>
        <v>2000002768</v>
      </c>
      <c r="C4" s="1921" t="s">
        <v>3211</v>
      </c>
      <c r="D4" s="2222">
        <v>4200</v>
      </c>
      <c r="E4" s="1921" t="s">
        <v>6264</v>
      </c>
      <c r="F4" s="1921" t="s">
        <v>16</v>
      </c>
      <c r="G4" s="2541" t="s">
        <v>4273</v>
      </c>
      <c r="H4" s="1909" t="s">
        <v>6265</v>
      </c>
      <c r="I4" s="1921" t="s">
        <v>19</v>
      </c>
      <c r="J4" s="1921" t="s">
        <v>199</v>
      </c>
      <c r="K4" s="1845" t="s">
        <v>6266</v>
      </c>
      <c r="L4" s="2357">
        <v>4200</v>
      </c>
      <c r="M4" s="2196" t="s">
        <v>5937</v>
      </c>
      <c r="N4" s="2520" t="s">
        <v>6267</v>
      </c>
      <c r="O4" s="2590">
        <v>1</v>
      </c>
      <c r="P4" s="2150"/>
      <c r="Q4" s="1493">
        <v>5972</v>
      </c>
      <c r="R4" s="1493">
        <v>5972</v>
      </c>
      <c r="S4" s="1493">
        <f t="shared" ref="S4:S11" si="1">Q4-R4</f>
        <v>0</v>
      </c>
      <c r="T4" s="2150"/>
      <c r="U4" s="2150"/>
      <c r="V4" s="2150"/>
      <c r="W4" s="2150"/>
      <c r="X4" s="2150"/>
      <c r="Y4" s="2150"/>
      <c r="Z4" s="2150"/>
      <c r="AA4" s="2150"/>
      <c r="AB4" s="2150"/>
      <c r="AC4" s="2150"/>
      <c r="AD4" s="2150"/>
      <c r="AE4" s="2150"/>
      <c r="AF4" s="2150"/>
      <c r="AG4" s="2150"/>
      <c r="AH4" s="2150"/>
      <c r="AI4" s="2150"/>
      <c r="AJ4" s="2150"/>
      <c r="AK4" s="2150"/>
      <c r="AL4" s="2150"/>
      <c r="AM4" s="2150"/>
      <c r="AN4" s="2150"/>
      <c r="AO4" s="2150"/>
      <c r="AP4" s="2150"/>
      <c r="AQ4" s="2150"/>
      <c r="AR4" s="2150"/>
      <c r="AS4" s="2150"/>
      <c r="AT4" s="2150"/>
      <c r="AU4" s="2150"/>
      <c r="AV4" s="2150"/>
      <c r="AW4" s="2150"/>
      <c r="AX4" s="2150"/>
      <c r="AY4" s="2150"/>
      <c r="AZ4" s="2150"/>
      <c r="BA4" s="2150"/>
      <c r="BB4" s="2150"/>
      <c r="BC4" s="2150"/>
      <c r="BD4" s="2150"/>
      <c r="BE4" s="2150"/>
      <c r="BF4" s="2150"/>
      <c r="BG4" s="2150"/>
      <c r="BH4" s="2150"/>
      <c r="BI4" s="2150"/>
      <c r="BJ4" s="2150"/>
      <c r="BK4" s="2150"/>
      <c r="BL4" s="2150"/>
      <c r="BM4" s="2150"/>
      <c r="BN4" s="2150"/>
      <c r="BO4" s="2150"/>
      <c r="BP4" s="2150"/>
      <c r="BQ4" s="2150"/>
      <c r="BR4" s="2150"/>
      <c r="BS4" s="2150"/>
      <c r="BT4" s="2150"/>
      <c r="BU4" s="2150"/>
      <c r="BV4" s="2150"/>
      <c r="BW4" s="2150"/>
      <c r="BX4" s="2150"/>
      <c r="BY4" s="2150"/>
      <c r="BZ4" s="2150"/>
      <c r="CA4" s="2150"/>
      <c r="CB4" s="2150"/>
      <c r="CC4" s="2150"/>
      <c r="CD4" s="2150"/>
      <c r="CE4" s="2150"/>
      <c r="CF4" s="2150"/>
      <c r="CG4" s="2150"/>
      <c r="CH4" s="2150"/>
      <c r="CI4" s="2150"/>
      <c r="CJ4" s="2150"/>
      <c r="CK4" s="2150"/>
      <c r="CL4" s="2150"/>
      <c r="CM4" s="2150"/>
      <c r="CN4" s="2150"/>
      <c r="CO4" s="2150"/>
      <c r="CP4" s="2150"/>
      <c r="CQ4" s="2150"/>
      <c r="CR4" s="2150"/>
      <c r="CS4" s="2150"/>
      <c r="CT4" s="2150"/>
      <c r="CU4" s="2150"/>
      <c r="CV4" s="2150"/>
      <c r="CW4" s="2150"/>
      <c r="CX4" s="2150"/>
      <c r="CY4" s="2150"/>
      <c r="CZ4" s="2150"/>
      <c r="DA4" s="2150"/>
      <c r="DB4" s="2150"/>
      <c r="DC4" s="2150"/>
      <c r="DD4" s="2150"/>
      <c r="DE4" s="2150"/>
      <c r="DF4" s="2150"/>
      <c r="DG4" s="2150"/>
      <c r="DH4" s="2150"/>
      <c r="DI4" s="2150"/>
      <c r="DJ4" s="2150"/>
      <c r="DK4" s="2150"/>
      <c r="DL4" s="2150"/>
      <c r="DM4" s="2150"/>
      <c r="DN4" s="2150"/>
      <c r="DO4" s="2150"/>
      <c r="DP4" s="2150"/>
      <c r="DQ4" s="2150"/>
      <c r="DR4" s="2150"/>
      <c r="DS4" s="2150"/>
      <c r="DT4" s="2150"/>
      <c r="DU4" s="2150"/>
      <c r="DV4" s="2150"/>
      <c r="DW4" s="2150"/>
    </row>
    <row r="5" spans="1:127" s="1916" customFormat="1" ht="66" customHeight="1">
      <c r="A5" s="2214">
        <v>2</v>
      </c>
      <c r="B5" s="1921" t="str">
        <f t="shared" si="0"/>
        <v>2200001922</v>
      </c>
      <c r="C5" s="1921" t="s">
        <v>6268</v>
      </c>
      <c r="D5" s="2222">
        <v>1536</v>
      </c>
      <c r="E5" s="1921" t="s">
        <v>6269</v>
      </c>
      <c r="F5" s="1921"/>
      <c r="G5" s="2541"/>
      <c r="H5" s="1909"/>
      <c r="I5" s="1921" t="s">
        <v>19</v>
      </c>
      <c r="J5" s="1921" t="s">
        <v>234</v>
      </c>
      <c r="K5" s="1845" t="s">
        <v>6270</v>
      </c>
      <c r="L5" s="2357">
        <v>1536</v>
      </c>
      <c r="M5" s="2196" t="s">
        <v>5937</v>
      </c>
      <c r="N5" s="2520"/>
      <c r="O5" s="2590">
        <v>1</v>
      </c>
      <c r="P5" s="2150"/>
      <c r="Q5" s="1493">
        <v>1533</v>
      </c>
      <c r="R5" s="1493">
        <v>1533</v>
      </c>
      <c r="S5" s="1493">
        <f t="shared" si="1"/>
        <v>0</v>
      </c>
      <c r="T5" s="2150"/>
      <c r="U5" s="2150"/>
      <c r="V5" s="2150"/>
      <c r="W5" s="2150"/>
      <c r="X5" s="2150"/>
      <c r="Y5" s="2150"/>
      <c r="Z5" s="2150"/>
      <c r="AA5" s="2150"/>
      <c r="AB5" s="2150"/>
      <c r="AC5" s="2150"/>
      <c r="AD5" s="2150"/>
      <c r="AE5" s="2150"/>
      <c r="AF5" s="2150"/>
      <c r="AG5" s="2150"/>
      <c r="AH5" s="2150"/>
      <c r="AI5" s="2150"/>
      <c r="AJ5" s="2150"/>
      <c r="AK5" s="2150"/>
      <c r="AL5" s="2150"/>
      <c r="AM5" s="2150"/>
      <c r="AN5" s="2150"/>
      <c r="AO5" s="2150"/>
      <c r="AP5" s="2150"/>
      <c r="AQ5" s="2150"/>
      <c r="AR5" s="2150"/>
      <c r="AS5" s="2150"/>
      <c r="AT5" s="2150"/>
      <c r="AU5" s="2150"/>
      <c r="AV5" s="2150"/>
      <c r="AW5" s="2150"/>
      <c r="AX5" s="2150"/>
      <c r="AY5" s="2150"/>
      <c r="AZ5" s="2150"/>
      <c r="BA5" s="2150"/>
      <c r="BB5" s="2150"/>
      <c r="BC5" s="2150"/>
      <c r="BD5" s="2150"/>
      <c r="BE5" s="2150"/>
      <c r="BF5" s="2150"/>
      <c r="BG5" s="2150"/>
      <c r="BH5" s="2150"/>
      <c r="BI5" s="2150"/>
      <c r="BJ5" s="2150"/>
      <c r="BK5" s="2150"/>
      <c r="BL5" s="2150"/>
      <c r="BM5" s="2150"/>
      <c r="BN5" s="2150"/>
      <c r="BO5" s="2150"/>
      <c r="BP5" s="2150"/>
      <c r="BQ5" s="2150"/>
      <c r="BR5" s="2150"/>
      <c r="BS5" s="2150"/>
      <c r="BT5" s="2150"/>
      <c r="BU5" s="2150"/>
      <c r="BV5" s="2150"/>
      <c r="BW5" s="2150"/>
      <c r="BX5" s="2150"/>
      <c r="BY5" s="2150"/>
      <c r="BZ5" s="2150"/>
      <c r="CA5" s="2150"/>
      <c r="CB5" s="2150"/>
      <c r="CC5" s="2150"/>
      <c r="CD5" s="2150"/>
      <c r="CE5" s="2150"/>
      <c r="CF5" s="2150"/>
      <c r="CG5" s="2150"/>
      <c r="CH5" s="2150"/>
      <c r="CI5" s="2150"/>
      <c r="CJ5" s="2150"/>
      <c r="CK5" s="2150"/>
      <c r="CL5" s="2150"/>
      <c r="CM5" s="2150"/>
      <c r="CN5" s="2150"/>
      <c r="CO5" s="2150"/>
      <c r="CP5" s="2150"/>
      <c r="CQ5" s="2150"/>
      <c r="CR5" s="2150"/>
      <c r="CS5" s="2150"/>
      <c r="CT5" s="2150"/>
      <c r="CU5" s="2150"/>
      <c r="CV5" s="2150"/>
      <c r="CW5" s="2150"/>
      <c r="CX5" s="2150"/>
      <c r="CY5" s="2150"/>
      <c r="CZ5" s="2150"/>
      <c r="DA5" s="2150"/>
      <c r="DB5" s="2150"/>
      <c r="DC5" s="2150"/>
      <c r="DD5" s="2150"/>
      <c r="DE5" s="2150"/>
      <c r="DF5" s="2150"/>
      <c r="DG5" s="2150"/>
      <c r="DH5" s="2150"/>
      <c r="DI5" s="2150"/>
      <c r="DJ5" s="2150"/>
      <c r="DK5" s="2150"/>
      <c r="DL5" s="2150"/>
      <c r="DM5" s="2150"/>
      <c r="DN5" s="2150"/>
      <c r="DO5" s="2150"/>
      <c r="DP5" s="2150"/>
      <c r="DQ5" s="2150"/>
      <c r="DR5" s="2150"/>
      <c r="DS5" s="2150"/>
      <c r="DT5" s="2150"/>
      <c r="DU5" s="2150"/>
      <c r="DV5" s="2150"/>
      <c r="DW5" s="2150"/>
    </row>
    <row r="6" spans="1:127" s="1916" customFormat="1" ht="66" customHeight="1">
      <c r="A6" s="3749">
        <v>3</v>
      </c>
      <c r="B6" s="1495" t="str">
        <f t="shared" si="0"/>
        <v>2200001921</v>
      </c>
      <c r="C6" s="1902" t="s">
        <v>5728</v>
      </c>
      <c r="D6" s="2488">
        <v>4300</v>
      </c>
      <c r="E6" s="1921" t="s">
        <v>6271</v>
      </c>
      <c r="F6" s="1902" t="s">
        <v>89</v>
      </c>
      <c r="G6" s="1543" t="s">
        <v>6272</v>
      </c>
      <c r="H6" s="2187" t="s">
        <v>6273</v>
      </c>
      <c r="I6" s="2187" t="s">
        <v>19</v>
      </c>
      <c r="J6" s="2187" t="s">
        <v>1138</v>
      </c>
      <c r="K6" s="1605" t="s">
        <v>6274</v>
      </c>
      <c r="L6" s="2543">
        <v>614</v>
      </c>
      <c r="M6" s="2196" t="s">
        <v>5937</v>
      </c>
      <c r="N6" s="2544"/>
      <c r="O6" s="2591">
        <v>1</v>
      </c>
      <c r="P6" s="2127"/>
      <c r="Q6" s="1545">
        <v>2614</v>
      </c>
      <c r="R6" s="1545">
        <v>2614</v>
      </c>
      <c r="S6" s="1493">
        <f t="shared" si="1"/>
        <v>0</v>
      </c>
      <c r="T6" s="2127"/>
      <c r="U6" s="2127"/>
      <c r="V6" s="2127"/>
      <c r="W6" s="2127"/>
      <c r="X6" s="2127"/>
      <c r="Y6" s="2127"/>
      <c r="Z6" s="2127"/>
      <c r="AA6" s="2127"/>
      <c r="AB6" s="2127"/>
      <c r="AC6" s="2127"/>
      <c r="AD6" s="2127"/>
      <c r="AE6" s="2127"/>
      <c r="AF6" s="2127"/>
      <c r="AG6" s="2127"/>
      <c r="AH6" s="2127"/>
      <c r="AI6" s="2127"/>
      <c r="AJ6" s="2127"/>
      <c r="AK6" s="2127"/>
      <c r="AL6" s="2127"/>
      <c r="AM6" s="2127"/>
      <c r="AN6" s="2127"/>
      <c r="AO6" s="2127"/>
      <c r="AP6" s="2127"/>
      <c r="AQ6" s="2127"/>
      <c r="AR6" s="2127"/>
      <c r="AS6" s="2127"/>
      <c r="AT6" s="2127"/>
      <c r="AU6" s="2127"/>
      <c r="AV6" s="2127"/>
      <c r="AW6" s="2127"/>
      <c r="AX6" s="2127"/>
      <c r="AY6" s="2127"/>
      <c r="AZ6" s="2127"/>
      <c r="BA6" s="2127"/>
      <c r="BB6" s="2127"/>
      <c r="BC6" s="2127"/>
      <c r="BD6" s="2127"/>
      <c r="BE6" s="2127"/>
      <c r="BF6" s="2127"/>
      <c r="BG6" s="2127"/>
      <c r="BH6" s="2127"/>
      <c r="BI6" s="2127"/>
      <c r="BJ6" s="2127"/>
      <c r="BK6" s="2127"/>
      <c r="BL6" s="2127"/>
      <c r="BM6" s="2127"/>
      <c r="BN6" s="2127"/>
      <c r="BO6" s="2127"/>
      <c r="BP6" s="2127"/>
      <c r="BQ6" s="2127"/>
      <c r="BR6" s="2127"/>
      <c r="BS6" s="2127"/>
      <c r="BT6" s="2127"/>
      <c r="BU6" s="2127"/>
      <c r="BV6" s="2127"/>
      <c r="BW6" s="2127"/>
      <c r="BX6" s="2127"/>
      <c r="BY6" s="2127"/>
      <c r="BZ6" s="2127"/>
      <c r="CA6" s="2127"/>
      <c r="CB6" s="2127"/>
      <c r="CC6" s="2127"/>
      <c r="CD6" s="2127"/>
      <c r="CE6" s="2127"/>
      <c r="CF6" s="2127"/>
      <c r="CG6" s="2127"/>
      <c r="CH6" s="2127"/>
      <c r="CI6" s="2127"/>
      <c r="CJ6" s="2127"/>
      <c r="CK6" s="2127"/>
      <c r="CL6" s="2127"/>
      <c r="CM6" s="2127"/>
      <c r="CN6" s="2127"/>
      <c r="CO6" s="2127"/>
      <c r="CP6" s="2127"/>
      <c r="CQ6" s="2127"/>
      <c r="CR6" s="2127"/>
      <c r="CS6" s="2127"/>
      <c r="CT6" s="2127"/>
      <c r="CU6" s="2127"/>
      <c r="CV6" s="2127"/>
      <c r="CW6" s="2127"/>
      <c r="CX6" s="2127"/>
      <c r="CY6" s="2127"/>
      <c r="CZ6" s="2127"/>
      <c r="DA6" s="2127"/>
      <c r="DB6" s="2127"/>
      <c r="DC6" s="2127"/>
      <c r="DD6" s="2127"/>
      <c r="DE6" s="2127"/>
      <c r="DF6" s="2127"/>
      <c r="DG6" s="2127"/>
      <c r="DH6" s="2127"/>
      <c r="DI6" s="2127"/>
      <c r="DJ6" s="2127"/>
      <c r="DK6" s="2127"/>
      <c r="DL6" s="2127"/>
      <c r="DM6" s="2127"/>
      <c r="DN6" s="2127"/>
      <c r="DO6" s="2127"/>
      <c r="DP6" s="2127"/>
      <c r="DQ6" s="2127"/>
      <c r="DR6" s="2127"/>
      <c r="DS6" s="2127"/>
      <c r="DT6" s="2127"/>
      <c r="DU6" s="2127"/>
      <c r="DV6" s="2127"/>
      <c r="DW6" s="2127"/>
    </row>
    <row r="7" spans="1:127" s="1916" customFormat="1" ht="66" customHeight="1">
      <c r="A7" s="3751"/>
      <c r="B7" s="1495" t="str">
        <f t="shared" si="0"/>
        <v>2200001905</v>
      </c>
      <c r="C7" s="1493" t="s">
        <v>5728</v>
      </c>
      <c r="D7" s="2325"/>
      <c r="E7" s="1495"/>
      <c r="F7" s="1493" t="s">
        <v>89</v>
      </c>
      <c r="G7" s="1543"/>
      <c r="H7" s="1543"/>
      <c r="I7" s="2187" t="s">
        <v>19</v>
      </c>
      <c r="J7" s="2187" t="s">
        <v>1138</v>
      </c>
      <c r="K7" s="1600" t="s">
        <v>6275</v>
      </c>
      <c r="L7" s="2357">
        <v>2000</v>
      </c>
      <c r="M7" s="2196" t="s">
        <v>5937</v>
      </c>
      <c r="N7" s="1843"/>
      <c r="O7" s="2591">
        <v>1</v>
      </c>
      <c r="P7" s="2127"/>
      <c r="Q7" s="1545">
        <v>2005</v>
      </c>
      <c r="R7" s="1545">
        <v>2005</v>
      </c>
      <c r="S7" s="1493">
        <f t="shared" si="1"/>
        <v>0</v>
      </c>
      <c r="T7" s="2127"/>
      <c r="U7" s="2127"/>
      <c r="V7" s="2127"/>
      <c r="W7" s="2127"/>
      <c r="X7" s="2127"/>
      <c r="Y7" s="2127"/>
      <c r="Z7" s="2127"/>
      <c r="AA7" s="2127"/>
      <c r="AB7" s="2127"/>
      <c r="AC7" s="2127"/>
      <c r="AD7" s="2127"/>
      <c r="AE7" s="2127"/>
      <c r="AF7" s="2127"/>
      <c r="AG7" s="2127"/>
      <c r="AH7" s="2127"/>
      <c r="AI7" s="2127"/>
      <c r="AJ7" s="2127"/>
      <c r="AK7" s="2127"/>
      <c r="AL7" s="2127"/>
      <c r="AM7" s="2127"/>
      <c r="AN7" s="2127"/>
      <c r="AO7" s="2127"/>
      <c r="AP7" s="2127"/>
      <c r="AQ7" s="2127"/>
      <c r="AR7" s="2127"/>
      <c r="AS7" s="2127"/>
      <c r="AT7" s="2127"/>
      <c r="AU7" s="2127"/>
      <c r="AV7" s="2127"/>
      <c r="AW7" s="2127"/>
      <c r="AX7" s="2127"/>
      <c r="AY7" s="2127"/>
      <c r="AZ7" s="2127"/>
      <c r="BA7" s="2127"/>
      <c r="BB7" s="2127"/>
      <c r="BC7" s="2127"/>
      <c r="BD7" s="2127"/>
      <c r="BE7" s="2127"/>
      <c r="BF7" s="2127"/>
      <c r="BG7" s="2127"/>
      <c r="BH7" s="2127"/>
      <c r="BI7" s="2127"/>
      <c r="BJ7" s="2127"/>
      <c r="BK7" s="2127"/>
      <c r="BL7" s="2127"/>
      <c r="BM7" s="2127"/>
      <c r="BN7" s="2127"/>
      <c r="BO7" s="2127"/>
      <c r="BP7" s="2127"/>
      <c r="BQ7" s="2127"/>
      <c r="BR7" s="2127"/>
      <c r="BS7" s="2127"/>
      <c r="BT7" s="2127"/>
      <c r="BU7" s="2127"/>
      <c r="BV7" s="2127"/>
      <c r="BW7" s="2127"/>
      <c r="BX7" s="2127"/>
      <c r="BY7" s="2127"/>
      <c r="BZ7" s="2127"/>
      <c r="CA7" s="2127"/>
      <c r="CB7" s="2127"/>
      <c r="CC7" s="2127"/>
      <c r="CD7" s="2127"/>
      <c r="CE7" s="2127"/>
      <c r="CF7" s="2127"/>
      <c r="CG7" s="2127"/>
      <c r="CH7" s="2127"/>
      <c r="CI7" s="2127"/>
      <c r="CJ7" s="2127"/>
      <c r="CK7" s="2127"/>
      <c r="CL7" s="2127"/>
      <c r="CM7" s="2127"/>
      <c r="CN7" s="2127"/>
      <c r="CO7" s="2127"/>
      <c r="CP7" s="2127"/>
      <c r="CQ7" s="2127"/>
      <c r="CR7" s="2127"/>
      <c r="CS7" s="2127"/>
      <c r="CT7" s="2127"/>
      <c r="CU7" s="2127"/>
      <c r="CV7" s="2127"/>
      <c r="CW7" s="2127"/>
      <c r="CX7" s="2127"/>
      <c r="CY7" s="2127"/>
      <c r="CZ7" s="2127"/>
      <c r="DA7" s="2127"/>
      <c r="DB7" s="2127"/>
      <c r="DC7" s="2127"/>
      <c r="DD7" s="2127"/>
      <c r="DE7" s="2127"/>
      <c r="DF7" s="2127"/>
      <c r="DG7" s="2127"/>
      <c r="DH7" s="2127"/>
      <c r="DI7" s="2127"/>
      <c r="DJ7" s="2127"/>
      <c r="DK7" s="2127"/>
      <c r="DL7" s="2127"/>
      <c r="DM7" s="2127"/>
      <c r="DN7" s="2127"/>
      <c r="DO7" s="2127"/>
      <c r="DP7" s="2127"/>
      <c r="DQ7" s="2127"/>
      <c r="DR7" s="2127"/>
      <c r="DS7" s="2127"/>
      <c r="DT7" s="2127"/>
      <c r="DU7" s="2127"/>
      <c r="DV7" s="2127"/>
      <c r="DW7" s="2127"/>
    </row>
    <row r="8" spans="1:127" s="1916" customFormat="1" ht="66" customHeight="1">
      <c r="A8" s="3750"/>
      <c r="B8" s="1495" t="str">
        <f t="shared" si="0"/>
        <v>2200001924</v>
      </c>
      <c r="C8" s="1493" t="s">
        <v>5728</v>
      </c>
      <c r="D8" s="2325"/>
      <c r="E8" s="1495"/>
      <c r="F8" s="1493" t="s">
        <v>89</v>
      </c>
      <c r="G8" s="1543"/>
      <c r="H8" s="1543"/>
      <c r="I8" s="1495" t="s">
        <v>19</v>
      </c>
      <c r="J8" s="1495" t="s">
        <v>1138</v>
      </c>
      <c r="K8" s="1605" t="s">
        <v>6276</v>
      </c>
      <c r="L8" s="2543">
        <v>1712</v>
      </c>
      <c r="M8" s="2196" t="s">
        <v>5937</v>
      </c>
      <c r="N8" s="2544" t="s">
        <v>6277</v>
      </c>
      <c r="O8" s="2591">
        <v>1</v>
      </c>
      <c r="P8" s="1559" t="s">
        <v>6278</v>
      </c>
      <c r="Q8" s="1545">
        <v>1664</v>
      </c>
      <c r="R8" s="1545">
        <v>1664</v>
      </c>
      <c r="S8" s="1493">
        <f t="shared" si="1"/>
        <v>0</v>
      </c>
      <c r="T8" s="2127"/>
      <c r="U8" s="2127"/>
      <c r="V8" s="2127"/>
      <c r="W8" s="2127"/>
      <c r="X8" s="2127"/>
      <c r="Y8" s="2127"/>
      <c r="Z8" s="2127"/>
      <c r="AA8" s="2127"/>
      <c r="AB8" s="2127"/>
      <c r="AC8" s="2127"/>
      <c r="AD8" s="2127"/>
      <c r="AE8" s="2127"/>
      <c r="AF8" s="2127"/>
      <c r="AG8" s="2127"/>
      <c r="AH8" s="2127"/>
      <c r="AI8" s="2127"/>
      <c r="AJ8" s="2127"/>
      <c r="AK8" s="2127"/>
      <c r="AL8" s="2127"/>
      <c r="AM8" s="2127"/>
      <c r="AN8" s="2127"/>
      <c r="AO8" s="2127"/>
      <c r="AP8" s="2127"/>
      <c r="AQ8" s="2127"/>
      <c r="AR8" s="2127"/>
      <c r="AS8" s="2127"/>
      <c r="AT8" s="2127"/>
      <c r="AU8" s="2127"/>
      <c r="AV8" s="2127"/>
      <c r="AW8" s="2127"/>
      <c r="AX8" s="2127"/>
      <c r="AY8" s="2127"/>
      <c r="AZ8" s="2127"/>
      <c r="BA8" s="2127"/>
      <c r="BB8" s="2127"/>
      <c r="BC8" s="2127"/>
      <c r="BD8" s="2127"/>
      <c r="BE8" s="2127"/>
      <c r="BF8" s="2127"/>
      <c r="BG8" s="2127"/>
      <c r="BH8" s="2127"/>
      <c r="BI8" s="2127"/>
      <c r="BJ8" s="2127"/>
      <c r="BK8" s="2127"/>
      <c r="BL8" s="2127"/>
      <c r="BM8" s="2127"/>
      <c r="BN8" s="2127"/>
      <c r="BO8" s="2127"/>
      <c r="BP8" s="2127"/>
      <c r="BQ8" s="2127"/>
      <c r="BR8" s="2127"/>
      <c r="BS8" s="2127"/>
      <c r="BT8" s="2127"/>
      <c r="BU8" s="2127"/>
      <c r="BV8" s="2127"/>
      <c r="BW8" s="2127"/>
      <c r="BX8" s="2127"/>
      <c r="BY8" s="2127"/>
      <c r="BZ8" s="2127"/>
      <c r="CA8" s="2127"/>
      <c r="CB8" s="2127"/>
      <c r="CC8" s="2127"/>
      <c r="CD8" s="2127"/>
      <c r="CE8" s="2127"/>
      <c r="CF8" s="2127"/>
      <c r="CG8" s="2127"/>
      <c r="CH8" s="2127"/>
      <c r="CI8" s="2127"/>
      <c r="CJ8" s="2127"/>
      <c r="CK8" s="2127"/>
      <c r="CL8" s="2127"/>
      <c r="CM8" s="2127"/>
      <c r="CN8" s="2127"/>
      <c r="CO8" s="2127"/>
      <c r="CP8" s="2127"/>
      <c r="CQ8" s="2127"/>
      <c r="CR8" s="2127"/>
      <c r="CS8" s="2127"/>
      <c r="CT8" s="2127"/>
      <c r="CU8" s="2127"/>
      <c r="CV8" s="2127"/>
      <c r="CW8" s="2127"/>
      <c r="CX8" s="2127"/>
      <c r="CY8" s="2127"/>
      <c r="CZ8" s="2127"/>
      <c r="DA8" s="2127"/>
      <c r="DB8" s="2127"/>
      <c r="DC8" s="2127"/>
      <c r="DD8" s="2127"/>
      <c r="DE8" s="2127"/>
      <c r="DF8" s="2127"/>
      <c r="DG8" s="2127"/>
      <c r="DH8" s="2127"/>
      <c r="DI8" s="2127"/>
      <c r="DJ8" s="2127"/>
      <c r="DK8" s="2127"/>
      <c r="DL8" s="2127"/>
      <c r="DM8" s="2127"/>
      <c r="DN8" s="2127"/>
      <c r="DO8" s="2127"/>
      <c r="DP8" s="2127"/>
      <c r="DQ8" s="2127"/>
      <c r="DR8" s="2127"/>
      <c r="DS8" s="2127"/>
      <c r="DT8" s="2127"/>
      <c r="DU8" s="2127"/>
      <c r="DV8" s="2127"/>
      <c r="DW8" s="2127"/>
    </row>
    <row r="9" spans="1:127" s="1916" customFormat="1" ht="69" customHeight="1">
      <c r="A9" s="3773">
        <v>4</v>
      </c>
      <c r="B9" s="1921" t="str">
        <f t="shared" si="0"/>
        <v>2000002795</v>
      </c>
      <c r="C9" s="1921" t="s">
        <v>5469</v>
      </c>
      <c r="D9" s="2222">
        <v>4200</v>
      </c>
      <c r="E9" s="1921" t="s">
        <v>6279</v>
      </c>
      <c r="F9" s="1921" t="s">
        <v>61</v>
      </c>
      <c r="G9" s="2541" t="s">
        <v>6280</v>
      </c>
      <c r="H9" s="1909" t="s">
        <v>6281</v>
      </c>
      <c r="I9" s="1921" t="s">
        <v>19</v>
      </c>
      <c r="J9" s="1921" t="s">
        <v>74</v>
      </c>
      <c r="K9" s="1916" t="s">
        <v>6282</v>
      </c>
      <c r="L9" s="2560">
        <v>1250</v>
      </c>
      <c r="M9" s="2196" t="s">
        <v>5937</v>
      </c>
      <c r="N9" s="2520" t="s">
        <v>6283</v>
      </c>
      <c r="O9" s="2223">
        <v>1</v>
      </c>
      <c r="P9" s="2150"/>
      <c r="Q9" s="1493">
        <v>1446</v>
      </c>
      <c r="R9" s="1493">
        <v>1446</v>
      </c>
      <c r="S9" s="1493">
        <f t="shared" si="1"/>
        <v>0</v>
      </c>
      <c r="T9" s="2150"/>
      <c r="U9" s="2150"/>
      <c r="V9" s="2150"/>
      <c r="W9" s="2150"/>
      <c r="X9" s="2150"/>
      <c r="Y9" s="2150"/>
      <c r="Z9" s="2150"/>
      <c r="AA9" s="2150"/>
      <c r="AB9" s="2150"/>
      <c r="AC9" s="2150"/>
      <c r="AD9" s="2150"/>
      <c r="AE9" s="2150"/>
      <c r="AF9" s="2150"/>
      <c r="AG9" s="2150"/>
      <c r="AH9" s="2150"/>
      <c r="AI9" s="2150"/>
      <c r="AJ9" s="2150"/>
      <c r="AK9" s="2150"/>
      <c r="AL9" s="2150"/>
      <c r="AM9" s="2150"/>
      <c r="AN9" s="2150"/>
      <c r="AO9" s="2150"/>
      <c r="AP9" s="2150"/>
      <c r="AQ9" s="2150"/>
      <c r="AR9" s="2150"/>
      <c r="AS9" s="2150"/>
      <c r="AT9" s="2150"/>
      <c r="AU9" s="2150"/>
      <c r="AV9" s="2150"/>
      <c r="AW9" s="2150"/>
      <c r="AX9" s="2150"/>
      <c r="AY9" s="2150"/>
      <c r="AZ9" s="2150"/>
      <c r="BA9" s="2150"/>
      <c r="BB9" s="2150"/>
      <c r="BC9" s="2150"/>
      <c r="BD9" s="2150"/>
      <c r="BE9" s="2150"/>
      <c r="BF9" s="2150"/>
      <c r="BG9" s="2150"/>
      <c r="BH9" s="2150"/>
      <c r="BI9" s="2150"/>
      <c r="BJ9" s="2150"/>
      <c r="BK9" s="2150"/>
      <c r="BL9" s="2150"/>
      <c r="BM9" s="2150"/>
      <c r="BN9" s="2150"/>
      <c r="BO9" s="2150"/>
      <c r="BP9" s="2150"/>
      <c r="BQ9" s="2150"/>
      <c r="BR9" s="2150"/>
      <c r="BS9" s="2150"/>
      <c r="BT9" s="2150"/>
      <c r="BU9" s="2150"/>
      <c r="BV9" s="2150"/>
      <c r="BW9" s="2150"/>
      <c r="BX9" s="2150"/>
      <c r="BY9" s="2150"/>
      <c r="BZ9" s="2150"/>
      <c r="CA9" s="2150"/>
      <c r="CB9" s="2150"/>
      <c r="CC9" s="2150"/>
      <c r="CD9" s="2150"/>
      <c r="CE9" s="2150"/>
      <c r="CF9" s="2150"/>
      <c r="CG9" s="2150"/>
      <c r="CH9" s="2150"/>
      <c r="CI9" s="2150"/>
      <c r="CJ9" s="2150"/>
      <c r="CK9" s="2150"/>
      <c r="CL9" s="2150"/>
      <c r="CM9" s="2150"/>
      <c r="CN9" s="2150"/>
      <c r="CO9" s="2150"/>
      <c r="CP9" s="2150"/>
      <c r="CQ9" s="2150"/>
      <c r="CR9" s="2150"/>
      <c r="CS9" s="2150"/>
      <c r="CT9" s="2150"/>
      <c r="CU9" s="2150"/>
      <c r="CV9" s="2150"/>
      <c r="CW9" s="2150"/>
      <c r="CX9" s="2150"/>
      <c r="CY9" s="2150"/>
      <c r="CZ9" s="2150"/>
      <c r="DA9" s="2150"/>
      <c r="DB9" s="2150"/>
      <c r="DC9" s="2150"/>
      <c r="DD9" s="2150"/>
      <c r="DE9" s="2150"/>
      <c r="DF9" s="2150"/>
      <c r="DG9" s="2150"/>
      <c r="DH9" s="2150"/>
      <c r="DI9" s="2150"/>
      <c r="DJ9" s="2150"/>
      <c r="DK9" s="2150"/>
      <c r="DL9" s="2150"/>
      <c r="DM9" s="2150"/>
      <c r="DN9" s="2150"/>
      <c r="DO9" s="2150"/>
      <c r="DP9" s="2150"/>
      <c r="DQ9" s="2150"/>
      <c r="DR9" s="2150"/>
      <c r="DS9" s="2150"/>
      <c r="DT9" s="2150"/>
      <c r="DU9" s="2150"/>
      <c r="DV9" s="2150"/>
      <c r="DW9" s="2150"/>
    </row>
    <row r="10" spans="1:127" s="1770" customFormat="1" ht="53.25" customHeight="1">
      <c r="A10" s="3767"/>
      <c r="B10" s="1495" t="str">
        <f t="shared" si="0"/>
        <v>2000002750</v>
      </c>
      <c r="C10" s="1495" t="s">
        <v>5469</v>
      </c>
      <c r="D10" s="2559"/>
      <c r="E10" s="1495"/>
      <c r="F10" s="1495" t="s">
        <v>61</v>
      </c>
      <c r="G10" s="1495"/>
      <c r="H10" s="1495"/>
      <c r="I10" s="1495" t="s">
        <v>19</v>
      </c>
      <c r="J10" s="1495" t="s">
        <v>74</v>
      </c>
      <c r="K10" s="1496" t="s">
        <v>6284</v>
      </c>
      <c r="L10" s="2299">
        <v>1190</v>
      </c>
      <c r="M10" s="2196" t="s">
        <v>5937</v>
      </c>
      <c r="N10" s="2520" t="s">
        <v>6285</v>
      </c>
      <c r="O10" s="2223">
        <v>1</v>
      </c>
      <c r="P10" s="1548"/>
      <c r="Q10" s="1493">
        <v>4143</v>
      </c>
      <c r="R10" s="1493">
        <v>4143</v>
      </c>
      <c r="S10" s="1493">
        <f t="shared" si="1"/>
        <v>0</v>
      </c>
      <c r="T10" s="1548"/>
      <c r="U10" s="1548"/>
      <c r="V10" s="1548"/>
      <c r="W10" s="1548"/>
      <c r="X10" s="1548"/>
      <c r="Y10" s="1548"/>
      <c r="Z10" s="1548"/>
      <c r="AA10" s="1548"/>
      <c r="AB10" s="1548"/>
      <c r="AC10" s="1548"/>
      <c r="AD10" s="1548"/>
      <c r="AE10" s="1548"/>
      <c r="AF10" s="1548"/>
      <c r="AG10" s="1548"/>
      <c r="AH10" s="1548"/>
      <c r="AI10" s="1548"/>
      <c r="AJ10" s="1548"/>
      <c r="AK10" s="1548"/>
      <c r="AL10" s="1548"/>
      <c r="AM10" s="1548"/>
      <c r="AN10" s="1548"/>
      <c r="AO10" s="1548"/>
      <c r="AP10" s="1548"/>
      <c r="AQ10" s="1548"/>
      <c r="AR10" s="1548"/>
      <c r="AS10" s="1548"/>
      <c r="AT10" s="1548"/>
      <c r="AU10" s="1548"/>
      <c r="AV10" s="1548"/>
      <c r="AW10" s="1548"/>
      <c r="AX10" s="1548"/>
      <c r="AY10" s="1548"/>
      <c r="AZ10" s="1548"/>
      <c r="BA10" s="1548"/>
      <c r="BB10" s="1548"/>
      <c r="BC10" s="1548"/>
      <c r="BD10" s="1548"/>
      <c r="BE10" s="1548"/>
      <c r="BF10" s="1548"/>
      <c r="BG10" s="1548"/>
      <c r="BH10" s="1548"/>
      <c r="BI10" s="1548"/>
      <c r="BJ10" s="1548"/>
      <c r="BK10" s="1548"/>
      <c r="BL10" s="1548"/>
      <c r="BM10" s="1548"/>
      <c r="BN10" s="1548"/>
      <c r="BO10" s="1548"/>
      <c r="BP10" s="1548"/>
      <c r="BQ10" s="1548"/>
      <c r="BR10" s="1548"/>
      <c r="BS10" s="1548"/>
      <c r="BT10" s="1548"/>
      <c r="BU10" s="1548"/>
      <c r="BV10" s="1548"/>
      <c r="BW10" s="1548"/>
      <c r="BX10" s="1548"/>
      <c r="BY10" s="1548"/>
      <c r="BZ10" s="1548"/>
      <c r="CA10" s="1548"/>
      <c r="CB10" s="1548"/>
      <c r="CC10" s="1548"/>
      <c r="CD10" s="1548"/>
      <c r="CE10" s="1548"/>
      <c r="CF10" s="1548"/>
      <c r="CG10" s="1548"/>
      <c r="CH10" s="1548"/>
      <c r="CI10" s="1548"/>
      <c r="CJ10" s="1548"/>
      <c r="CK10" s="1548"/>
      <c r="CL10" s="1548"/>
      <c r="CM10" s="1548"/>
      <c r="CN10" s="1548"/>
      <c r="CO10" s="1548"/>
      <c r="CP10" s="1548"/>
      <c r="CQ10" s="1548"/>
      <c r="CR10" s="1548"/>
      <c r="CS10" s="1548"/>
      <c r="CT10" s="1548"/>
      <c r="CU10" s="1548"/>
      <c r="CV10" s="1548"/>
      <c r="CW10" s="1548"/>
      <c r="CX10" s="1548"/>
      <c r="CY10" s="1548"/>
      <c r="CZ10" s="1548"/>
      <c r="DA10" s="1548"/>
      <c r="DB10" s="1548"/>
      <c r="DC10" s="1548"/>
      <c r="DD10" s="1548"/>
      <c r="DE10" s="1548"/>
      <c r="DF10" s="1548"/>
      <c r="DG10" s="1548"/>
      <c r="DH10" s="1548"/>
      <c r="DI10" s="1548"/>
      <c r="DJ10" s="1548"/>
      <c r="DK10" s="1548"/>
      <c r="DL10" s="1548"/>
      <c r="DM10" s="1548"/>
      <c r="DN10" s="1548"/>
      <c r="DO10" s="1548"/>
      <c r="DP10" s="1548"/>
      <c r="DQ10" s="1548"/>
      <c r="DR10" s="1548"/>
      <c r="DS10" s="1548"/>
      <c r="DT10" s="1548"/>
      <c r="DU10" s="1548"/>
      <c r="DV10" s="1548"/>
      <c r="DW10" s="1548"/>
    </row>
    <row r="11" spans="1:127" s="1770" customFormat="1" ht="53.25" customHeight="1">
      <c r="A11" s="3767"/>
      <c r="B11" s="1495" t="str">
        <f t="shared" si="0"/>
        <v>2000002762</v>
      </c>
      <c r="C11" s="1495" t="s">
        <v>5469</v>
      </c>
      <c r="D11" s="2559"/>
      <c r="E11" s="1495"/>
      <c r="F11" s="1495" t="s">
        <v>61</v>
      </c>
      <c r="G11" s="1495"/>
      <c r="H11" s="1495"/>
      <c r="I11" s="1495" t="s">
        <v>19</v>
      </c>
      <c r="J11" s="1495" t="s">
        <v>74</v>
      </c>
      <c r="K11" s="2685" t="s">
        <v>6286</v>
      </c>
      <c r="L11" s="2299">
        <v>1550</v>
      </c>
      <c r="M11" s="2196" t="s">
        <v>5937</v>
      </c>
      <c r="N11" s="2520" t="s">
        <v>6287</v>
      </c>
      <c r="O11" s="2223">
        <v>1</v>
      </c>
      <c r="P11" s="1548"/>
      <c r="Q11" s="1493">
        <v>1574</v>
      </c>
      <c r="R11" s="1493">
        <v>1574</v>
      </c>
      <c r="S11" s="1493">
        <f t="shared" si="1"/>
        <v>0</v>
      </c>
      <c r="T11" s="1548"/>
      <c r="U11" s="1548"/>
      <c r="V11" s="1548"/>
      <c r="W11" s="1548"/>
      <c r="X11" s="1548"/>
      <c r="Y11" s="1548"/>
      <c r="Z11" s="1548"/>
      <c r="AA11" s="1548"/>
      <c r="AB11" s="1548"/>
      <c r="AC11" s="1548"/>
      <c r="AD11" s="1548"/>
      <c r="AE11" s="1548"/>
      <c r="AF11" s="1548"/>
      <c r="AG11" s="1548"/>
      <c r="AH11" s="1548"/>
      <c r="AI11" s="1548"/>
      <c r="AJ11" s="1548"/>
      <c r="AK11" s="1548"/>
      <c r="AL11" s="1548"/>
      <c r="AM11" s="1548"/>
      <c r="AN11" s="1548"/>
      <c r="AO11" s="1548"/>
      <c r="AP11" s="1548"/>
      <c r="AQ11" s="1548"/>
      <c r="AR11" s="1548"/>
      <c r="AS11" s="1548"/>
      <c r="AT11" s="1548"/>
      <c r="AU11" s="1548"/>
      <c r="AV11" s="1548"/>
      <c r="AW11" s="1548"/>
      <c r="AX11" s="1548"/>
      <c r="AY11" s="1548"/>
      <c r="AZ11" s="1548"/>
      <c r="BA11" s="1548"/>
      <c r="BB11" s="1548"/>
      <c r="BC11" s="1548"/>
      <c r="BD11" s="1548"/>
      <c r="BE11" s="1548"/>
      <c r="BF11" s="1548"/>
      <c r="BG11" s="1548"/>
      <c r="BH11" s="1548"/>
      <c r="BI11" s="1548"/>
      <c r="BJ11" s="1548"/>
      <c r="BK11" s="1548"/>
      <c r="BL11" s="1548"/>
      <c r="BM11" s="1548"/>
      <c r="BN11" s="1548"/>
      <c r="BO11" s="1548"/>
      <c r="BP11" s="1548"/>
      <c r="BQ11" s="1548"/>
      <c r="BR11" s="1548"/>
      <c r="BS11" s="1548"/>
      <c r="BT11" s="1548"/>
      <c r="BU11" s="1548"/>
      <c r="BV11" s="1548"/>
      <c r="BW11" s="1548"/>
      <c r="BX11" s="1548"/>
      <c r="BY11" s="1548"/>
      <c r="BZ11" s="1548"/>
      <c r="CA11" s="1548"/>
      <c r="CB11" s="1548"/>
      <c r="CC11" s="1548"/>
      <c r="CD11" s="1548"/>
      <c r="CE11" s="1548"/>
      <c r="CF11" s="1548"/>
      <c r="CG11" s="1548"/>
      <c r="CH11" s="1548"/>
      <c r="CI11" s="1548"/>
      <c r="CJ11" s="1548"/>
      <c r="CK11" s="1548"/>
      <c r="CL11" s="1548"/>
      <c r="CM11" s="1548"/>
      <c r="CN11" s="1548"/>
      <c r="CO11" s="1548"/>
      <c r="CP11" s="1548"/>
      <c r="CQ11" s="1548"/>
      <c r="CR11" s="1548"/>
      <c r="CS11" s="1548"/>
      <c r="CT11" s="1548"/>
      <c r="CU11" s="1548"/>
      <c r="CV11" s="1548"/>
      <c r="CW11" s="1548"/>
      <c r="CX11" s="1548"/>
      <c r="CY11" s="1548"/>
      <c r="CZ11" s="1548"/>
      <c r="DA11" s="1548"/>
      <c r="DB11" s="1548"/>
      <c r="DC11" s="1548"/>
      <c r="DD11" s="1548"/>
      <c r="DE11" s="1548"/>
      <c r="DF11" s="1548"/>
      <c r="DG11" s="1548"/>
      <c r="DH11" s="1548"/>
      <c r="DI11" s="1548"/>
      <c r="DJ11" s="1548"/>
      <c r="DK11" s="1548"/>
      <c r="DL11" s="1548"/>
      <c r="DM11" s="1548"/>
      <c r="DN11" s="1548"/>
      <c r="DO11" s="1548"/>
      <c r="DP11" s="1548"/>
      <c r="DQ11" s="1548"/>
      <c r="DR11" s="1548"/>
      <c r="DS11" s="1548"/>
      <c r="DT11" s="1548"/>
      <c r="DU11" s="1548"/>
      <c r="DV11" s="1548"/>
      <c r="DW11" s="1548"/>
    </row>
    <row r="12" spans="1:127" s="1774" customFormat="1" ht="60.75" customHeight="1">
      <c r="A12" s="3768"/>
      <c r="B12" s="1495" t="str">
        <f t="shared" ref="B12:B43" si="2">TEXT(LEFT(K12,10),"0000000000")</f>
        <v>2200001916</v>
      </c>
      <c r="C12" s="1495" t="s">
        <v>5469</v>
      </c>
      <c r="D12" s="2559"/>
      <c r="E12" s="1495"/>
      <c r="F12" s="1495" t="s">
        <v>61</v>
      </c>
      <c r="G12" s="1495"/>
      <c r="H12" s="1495"/>
      <c r="I12" s="1495" t="s">
        <v>19</v>
      </c>
      <c r="J12" s="1495" t="s">
        <v>74</v>
      </c>
      <c r="K12" s="1496" t="s">
        <v>6288</v>
      </c>
      <c r="L12" s="2299">
        <v>165</v>
      </c>
      <c r="M12" s="1748" t="s">
        <v>6289</v>
      </c>
      <c r="N12" s="1843"/>
      <c r="O12" s="2223">
        <v>1</v>
      </c>
      <c r="P12" s="1548"/>
      <c r="Q12" s="1548"/>
      <c r="R12" s="1548"/>
      <c r="S12" s="1548"/>
      <c r="T12" s="1548"/>
      <c r="U12" s="1548"/>
      <c r="V12" s="1548"/>
      <c r="W12" s="1548"/>
      <c r="X12" s="1548"/>
      <c r="Y12" s="1548"/>
      <c r="Z12" s="1548"/>
      <c r="AA12" s="1548"/>
      <c r="AB12" s="1548"/>
      <c r="AC12" s="1548"/>
      <c r="AD12" s="1548"/>
      <c r="AE12" s="1548"/>
      <c r="AF12" s="1548"/>
      <c r="AG12" s="1548"/>
      <c r="AH12" s="1548"/>
      <c r="AI12" s="1548"/>
      <c r="AJ12" s="1548"/>
      <c r="AK12" s="1548"/>
      <c r="AL12" s="1548"/>
      <c r="AM12" s="1548"/>
      <c r="AN12" s="1548"/>
      <c r="AO12" s="1548"/>
      <c r="AP12" s="1548"/>
      <c r="AQ12" s="1548"/>
      <c r="AR12" s="1548"/>
      <c r="AS12" s="1548"/>
      <c r="AT12" s="1548"/>
      <c r="AU12" s="1548"/>
      <c r="AV12" s="1548"/>
      <c r="AW12" s="1548"/>
      <c r="AX12" s="1548"/>
      <c r="AY12" s="1548"/>
      <c r="AZ12" s="1548"/>
      <c r="BA12" s="1548"/>
      <c r="BB12" s="1548"/>
      <c r="BC12" s="1548"/>
      <c r="BD12" s="1548"/>
      <c r="BE12" s="1548"/>
      <c r="BF12" s="1548"/>
      <c r="BG12" s="1548"/>
      <c r="BH12" s="1548"/>
      <c r="BI12" s="1548"/>
      <c r="BJ12" s="1548"/>
      <c r="BK12" s="1548"/>
      <c r="BL12" s="1548"/>
      <c r="BM12" s="1548"/>
      <c r="BN12" s="1548"/>
      <c r="BO12" s="1548"/>
      <c r="BP12" s="1548"/>
      <c r="BQ12" s="1548"/>
      <c r="BR12" s="1548"/>
      <c r="BS12" s="1548"/>
      <c r="BT12" s="1548"/>
      <c r="BU12" s="1548"/>
      <c r="BV12" s="1548"/>
      <c r="BW12" s="1548"/>
      <c r="BX12" s="1548"/>
      <c r="BY12" s="1548"/>
      <c r="BZ12" s="1548"/>
      <c r="CA12" s="1548"/>
      <c r="CB12" s="1548"/>
      <c r="CC12" s="1548"/>
      <c r="CD12" s="1548"/>
      <c r="CE12" s="1548"/>
      <c r="CF12" s="1548"/>
      <c r="CG12" s="1548"/>
      <c r="CH12" s="1548"/>
      <c r="CI12" s="1548"/>
      <c r="CJ12" s="1548"/>
      <c r="CK12" s="1548"/>
      <c r="CL12" s="1548"/>
      <c r="CM12" s="1548"/>
      <c r="CN12" s="1548"/>
      <c r="CO12" s="1548"/>
      <c r="CP12" s="1548"/>
      <c r="CQ12" s="1548"/>
      <c r="CR12" s="1548"/>
      <c r="CS12" s="1548"/>
      <c r="CT12" s="1548"/>
      <c r="CU12" s="1548"/>
      <c r="CV12" s="1548"/>
      <c r="CW12" s="1548"/>
      <c r="CX12" s="1548"/>
      <c r="CY12" s="1548"/>
      <c r="CZ12" s="1548"/>
      <c r="DA12" s="1548"/>
      <c r="DB12" s="1548"/>
      <c r="DC12" s="1548"/>
      <c r="DD12" s="1548"/>
      <c r="DE12" s="1548"/>
      <c r="DF12" s="1548"/>
      <c r="DG12" s="1548"/>
      <c r="DH12" s="1548"/>
      <c r="DI12" s="1548"/>
      <c r="DJ12" s="1548"/>
      <c r="DK12" s="1548"/>
      <c r="DL12" s="1548"/>
      <c r="DM12" s="1548"/>
      <c r="DN12" s="1548"/>
      <c r="DO12" s="1548"/>
      <c r="DP12" s="1548"/>
      <c r="DQ12" s="1548"/>
      <c r="DR12" s="1548"/>
      <c r="DS12" s="1548"/>
      <c r="DT12" s="1548"/>
      <c r="DU12" s="1548"/>
      <c r="DV12" s="1548"/>
      <c r="DW12" s="1548"/>
    </row>
    <row r="13" spans="1:127" s="1774" customFormat="1" ht="67.5" customHeight="1">
      <c r="A13" s="3773">
        <v>5</v>
      </c>
      <c r="B13" s="1921" t="str">
        <f t="shared" si="2"/>
        <v>2200001917</v>
      </c>
      <c r="C13" s="1921" t="s">
        <v>3957</v>
      </c>
      <c r="D13" s="2537">
        <v>12900</v>
      </c>
      <c r="E13" s="2187" t="s">
        <v>6290</v>
      </c>
      <c r="F13" s="1921" t="s">
        <v>3401</v>
      </c>
      <c r="G13" s="2261" t="s">
        <v>6291</v>
      </c>
      <c r="H13" s="2261" t="s">
        <v>6292</v>
      </c>
      <c r="I13" s="1921" t="s">
        <v>19</v>
      </c>
      <c r="J13" s="1561" t="s">
        <v>1138</v>
      </c>
      <c r="K13" s="2686" t="s">
        <v>6293</v>
      </c>
      <c r="L13" s="2299">
        <v>122</v>
      </c>
      <c r="M13" s="1909" t="s">
        <v>6294</v>
      </c>
      <c r="N13" s="2540"/>
      <c r="O13" s="2223">
        <v>1</v>
      </c>
      <c r="P13" s="1548"/>
      <c r="Q13" s="1548"/>
      <c r="R13" s="1548"/>
      <c r="S13" s="1548"/>
      <c r="T13" s="1548"/>
      <c r="U13" s="1548"/>
      <c r="V13" s="1548"/>
      <c r="W13" s="1548"/>
      <c r="X13" s="1548"/>
      <c r="Y13" s="1548"/>
      <c r="Z13" s="1548"/>
      <c r="AA13" s="1548"/>
      <c r="AB13" s="1548"/>
      <c r="AC13" s="1548"/>
      <c r="AD13" s="1548"/>
      <c r="AE13" s="1548"/>
      <c r="AF13" s="1548"/>
      <c r="AG13" s="1548"/>
      <c r="AH13" s="1548"/>
      <c r="AI13" s="1548"/>
      <c r="AJ13" s="1548"/>
      <c r="AK13" s="1548"/>
      <c r="AL13" s="1548"/>
      <c r="AM13" s="1548"/>
      <c r="AN13" s="1548"/>
      <c r="AO13" s="1548"/>
      <c r="AP13" s="1548"/>
      <c r="AQ13" s="1548"/>
      <c r="AR13" s="1548"/>
      <c r="AS13" s="1548"/>
      <c r="AT13" s="1548"/>
      <c r="AU13" s="1548"/>
      <c r="AV13" s="1548"/>
      <c r="AW13" s="1548"/>
      <c r="AX13" s="1548"/>
      <c r="AY13" s="1548"/>
      <c r="AZ13" s="1548"/>
      <c r="BA13" s="1548"/>
      <c r="BB13" s="1548"/>
      <c r="BC13" s="1548"/>
      <c r="BD13" s="1548"/>
      <c r="BE13" s="1548"/>
      <c r="BF13" s="1548"/>
      <c r="BG13" s="1548"/>
      <c r="BH13" s="1548"/>
      <c r="BI13" s="1548"/>
      <c r="BJ13" s="1548"/>
      <c r="BK13" s="1548"/>
      <c r="BL13" s="1548"/>
      <c r="BM13" s="1548"/>
      <c r="BN13" s="1548"/>
      <c r="BO13" s="1548"/>
      <c r="BP13" s="1548"/>
      <c r="BQ13" s="1548"/>
      <c r="BR13" s="1548"/>
      <c r="BS13" s="1548"/>
      <c r="BT13" s="1548"/>
      <c r="BU13" s="1548"/>
      <c r="BV13" s="1548"/>
      <c r="BW13" s="1548"/>
      <c r="BX13" s="1548"/>
      <c r="BY13" s="1548"/>
      <c r="BZ13" s="1548"/>
      <c r="CA13" s="1548"/>
      <c r="CB13" s="1548"/>
      <c r="CC13" s="1548"/>
      <c r="CD13" s="1548"/>
      <c r="CE13" s="1548"/>
      <c r="CF13" s="1548"/>
      <c r="CG13" s="1548"/>
      <c r="CH13" s="1548"/>
      <c r="CI13" s="1548"/>
      <c r="CJ13" s="1548"/>
      <c r="CK13" s="1548"/>
      <c r="CL13" s="1548"/>
      <c r="CM13" s="1548"/>
      <c r="CN13" s="1548"/>
      <c r="CO13" s="1548"/>
      <c r="CP13" s="1548"/>
      <c r="CQ13" s="1548"/>
      <c r="CR13" s="1548"/>
      <c r="CS13" s="1548"/>
      <c r="CT13" s="1548"/>
      <c r="CU13" s="1548"/>
      <c r="CV13" s="1548"/>
      <c r="CW13" s="1548"/>
      <c r="CX13" s="1548"/>
      <c r="CY13" s="1548"/>
      <c r="CZ13" s="1548"/>
      <c r="DA13" s="1548"/>
      <c r="DB13" s="1548"/>
      <c r="DC13" s="1548"/>
      <c r="DD13" s="1548"/>
      <c r="DE13" s="1548"/>
      <c r="DF13" s="1548"/>
      <c r="DG13" s="1548"/>
      <c r="DH13" s="1548"/>
      <c r="DI13" s="1548"/>
      <c r="DJ13" s="1548"/>
      <c r="DK13" s="1548"/>
      <c r="DL13" s="1548"/>
      <c r="DM13" s="1548"/>
      <c r="DN13" s="1548"/>
      <c r="DO13" s="1548"/>
      <c r="DP13" s="1548"/>
      <c r="DQ13" s="1548"/>
      <c r="DR13" s="1548"/>
      <c r="DS13" s="1548"/>
      <c r="DT13" s="1548"/>
      <c r="DU13" s="1548"/>
      <c r="DV13" s="1548"/>
      <c r="DW13" s="1548"/>
    </row>
    <row r="14" spans="1:127" s="1774" customFormat="1" ht="67.5" customHeight="1">
      <c r="A14" s="3767"/>
      <c r="B14" s="1495" t="str">
        <f t="shared" si="2"/>
        <v>2200001902</v>
      </c>
      <c r="C14" s="1495" t="s">
        <v>3957</v>
      </c>
      <c r="D14" s="2539"/>
      <c r="E14" s="1543"/>
      <c r="F14" s="1495" t="s">
        <v>3401</v>
      </c>
      <c r="G14" s="1543"/>
      <c r="H14" s="1543"/>
      <c r="I14" s="1495" t="s">
        <v>19</v>
      </c>
      <c r="J14" s="1773" t="s">
        <v>1138</v>
      </c>
      <c r="K14" s="1628" t="s">
        <v>6295</v>
      </c>
      <c r="L14" s="2555">
        <v>194</v>
      </c>
      <c r="M14" s="2447" t="s">
        <v>5961</v>
      </c>
      <c r="N14" s="2561"/>
      <c r="O14" s="2228">
        <v>1</v>
      </c>
      <c r="P14" s="1559"/>
      <c r="Q14" s="1559"/>
      <c r="R14" s="1559"/>
      <c r="S14" s="1559"/>
      <c r="T14" s="1559"/>
      <c r="U14" s="1559"/>
      <c r="V14" s="1559"/>
      <c r="W14" s="1559"/>
      <c r="X14" s="1559"/>
      <c r="Y14" s="1559"/>
      <c r="Z14" s="1559"/>
      <c r="AA14" s="1559"/>
      <c r="AB14" s="1559"/>
      <c r="AC14" s="1559"/>
      <c r="AD14" s="1559"/>
      <c r="AE14" s="1559"/>
      <c r="AF14" s="1559"/>
      <c r="AG14" s="1559"/>
      <c r="AH14" s="1559"/>
      <c r="AI14" s="1559"/>
      <c r="AJ14" s="1559"/>
      <c r="AK14" s="1559"/>
      <c r="AL14" s="1559"/>
      <c r="AM14" s="1559"/>
      <c r="AN14" s="1559"/>
      <c r="AO14" s="1559"/>
      <c r="AP14" s="1559"/>
      <c r="AQ14" s="1559"/>
      <c r="AR14" s="1559"/>
      <c r="AS14" s="1559"/>
      <c r="AT14" s="1559"/>
      <c r="AU14" s="1559"/>
      <c r="AV14" s="1559"/>
      <c r="AW14" s="1559"/>
      <c r="AX14" s="1559"/>
      <c r="AY14" s="1559"/>
      <c r="AZ14" s="1559"/>
      <c r="BA14" s="1559"/>
      <c r="BB14" s="1559"/>
      <c r="BC14" s="1559"/>
      <c r="BD14" s="1559"/>
      <c r="BE14" s="1559"/>
      <c r="BF14" s="1559"/>
      <c r="BG14" s="1559"/>
      <c r="BH14" s="1559"/>
      <c r="BI14" s="1559"/>
      <c r="BJ14" s="1559"/>
      <c r="BK14" s="1559"/>
      <c r="BL14" s="1559"/>
      <c r="BM14" s="1559"/>
      <c r="BN14" s="1559"/>
      <c r="BO14" s="1559"/>
      <c r="BP14" s="1559"/>
      <c r="BQ14" s="1559"/>
      <c r="BR14" s="1559"/>
      <c r="BS14" s="1559"/>
      <c r="BT14" s="1559"/>
      <c r="BU14" s="1559"/>
      <c r="BV14" s="1559"/>
      <c r="BW14" s="1559"/>
      <c r="BX14" s="1559"/>
      <c r="BY14" s="1559"/>
      <c r="BZ14" s="1559"/>
      <c r="CA14" s="1559"/>
      <c r="CB14" s="1559"/>
      <c r="CC14" s="1559"/>
      <c r="CD14" s="1559"/>
      <c r="CE14" s="1559"/>
      <c r="CF14" s="1559"/>
      <c r="CG14" s="1559"/>
      <c r="CH14" s="1559"/>
      <c r="CI14" s="1559"/>
      <c r="CJ14" s="1559"/>
      <c r="CK14" s="1559"/>
      <c r="CL14" s="1559"/>
      <c r="CM14" s="1559"/>
      <c r="CN14" s="1559"/>
      <c r="CO14" s="1559"/>
      <c r="CP14" s="1559"/>
      <c r="CQ14" s="1559"/>
      <c r="CR14" s="1559"/>
      <c r="CS14" s="1559"/>
      <c r="CT14" s="1559"/>
      <c r="CU14" s="1559"/>
      <c r="CV14" s="1559"/>
      <c r="CW14" s="1559"/>
      <c r="CX14" s="1559"/>
      <c r="CY14" s="1559"/>
      <c r="CZ14" s="1559"/>
      <c r="DA14" s="1559"/>
      <c r="DB14" s="1559"/>
      <c r="DC14" s="1559"/>
      <c r="DD14" s="1559"/>
      <c r="DE14" s="1559"/>
      <c r="DF14" s="1559"/>
      <c r="DG14" s="1559"/>
      <c r="DH14" s="1559"/>
      <c r="DI14" s="1559"/>
      <c r="DJ14" s="1559"/>
      <c r="DK14" s="1559"/>
      <c r="DL14" s="1559"/>
      <c r="DM14" s="1559"/>
      <c r="DN14" s="1559"/>
      <c r="DO14" s="1559"/>
      <c r="DP14" s="1559"/>
      <c r="DQ14" s="1559"/>
      <c r="DR14" s="1559"/>
      <c r="DS14" s="1559"/>
      <c r="DT14" s="1559"/>
      <c r="DU14" s="1559"/>
      <c r="DV14" s="1559"/>
      <c r="DW14" s="1559"/>
    </row>
    <row r="15" spans="1:127" s="1916" customFormat="1" ht="53.25" customHeight="1">
      <c r="A15" s="3767"/>
      <c r="B15" s="1495" t="str">
        <f t="shared" si="2"/>
        <v>2200001906</v>
      </c>
      <c r="C15" s="1495" t="s">
        <v>3957</v>
      </c>
      <c r="D15" s="2539"/>
      <c r="E15" s="1543"/>
      <c r="F15" s="1495" t="s">
        <v>3401</v>
      </c>
      <c r="G15" s="1543"/>
      <c r="H15" s="1543"/>
      <c r="I15" s="1495" t="s">
        <v>19</v>
      </c>
      <c r="J15" s="1773" t="s">
        <v>1138</v>
      </c>
      <c r="K15" s="1600" t="s">
        <v>6296</v>
      </c>
      <c r="L15" s="2299">
        <v>1000</v>
      </c>
      <c r="M15" s="2448" t="s">
        <v>5953</v>
      </c>
      <c r="N15" s="2520" t="s">
        <v>6297</v>
      </c>
      <c r="O15" s="2223">
        <v>1</v>
      </c>
      <c r="P15" s="1548"/>
      <c r="Q15" s="1493">
        <v>3577</v>
      </c>
      <c r="R15" s="1493">
        <v>3577</v>
      </c>
      <c r="S15" s="1493">
        <f>Q15-R15</f>
        <v>0</v>
      </c>
      <c r="T15" s="1548"/>
      <c r="U15" s="1548"/>
      <c r="V15" s="1548"/>
      <c r="W15" s="1548"/>
      <c r="X15" s="1548"/>
      <c r="Y15" s="1548"/>
      <c r="Z15" s="1548"/>
      <c r="AA15" s="1548"/>
      <c r="AB15" s="1548"/>
      <c r="AC15" s="1548"/>
      <c r="AD15" s="1548"/>
      <c r="AE15" s="1548"/>
      <c r="AF15" s="1548"/>
      <c r="AG15" s="1548"/>
      <c r="AH15" s="1548"/>
      <c r="AI15" s="1548"/>
      <c r="AJ15" s="1548"/>
      <c r="AK15" s="1548"/>
      <c r="AL15" s="1548"/>
      <c r="AM15" s="1548"/>
      <c r="AN15" s="1548"/>
      <c r="AO15" s="1548"/>
      <c r="AP15" s="1548"/>
      <c r="AQ15" s="1548"/>
      <c r="AR15" s="1548"/>
      <c r="AS15" s="1548"/>
      <c r="AT15" s="1548"/>
      <c r="AU15" s="1548"/>
      <c r="AV15" s="1548"/>
      <c r="AW15" s="1548"/>
      <c r="AX15" s="1548"/>
      <c r="AY15" s="1548"/>
      <c r="AZ15" s="1548"/>
      <c r="BA15" s="1548"/>
      <c r="BB15" s="1548"/>
      <c r="BC15" s="1548"/>
      <c r="BD15" s="1548"/>
      <c r="BE15" s="1548"/>
      <c r="BF15" s="1548"/>
      <c r="BG15" s="1548"/>
      <c r="BH15" s="1548"/>
      <c r="BI15" s="1548"/>
      <c r="BJ15" s="1548"/>
      <c r="BK15" s="1548"/>
      <c r="BL15" s="1548"/>
      <c r="BM15" s="1548"/>
      <c r="BN15" s="1548"/>
      <c r="BO15" s="1548"/>
      <c r="BP15" s="1548"/>
      <c r="BQ15" s="1548"/>
      <c r="BR15" s="1548"/>
      <c r="BS15" s="1548"/>
      <c r="BT15" s="1548"/>
      <c r="BU15" s="1548"/>
      <c r="BV15" s="1548"/>
      <c r="BW15" s="1548"/>
      <c r="BX15" s="1548"/>
      <c r="BY15" s="1548"/>
      <c r="BZ15" s="1548"/>
      <c r="CA15" s="1548"/>
      <c r="CB15" s="1548"/>
      <c r="CC15" s="1548"/>
      <c r="CD15" s="1548"/>
      <c r="CE15" s="1548"/>
      <c r="CF15" s="1548"/>
      <c r="CG15" s="1548"/>
      <c r="CH15" s="1548"/>
      <c r="CI15" s="1548"/>
      <c r="CJ15" s="1548"/>
      <c r="CK15" s="1548"/>
      <c r="CL15" s="1548"/>
      <c r="CM15" s="1548"/>
      <c r="CN15" s="1548"/>
      <c r="CO15" s="1548"/>
      <c r="CP15" s="1548"/>
      <c r="CQ15" s="1548"/>
      <c r="CR15" s="1548"/>
      <c r="CS15" s="1548"/>
      <c r="CT15" s="1548"/>
      <c r="CU15" s="1548"/>
      <c r="CV15" s="1548"/>
      <c r="CW15" s="1548"/>
      <c r="CX15" s="1548"/>
      <c r="CY15" s="1548"/>
      <c r="CZ15" s="1548"/>
      <c r="DA15" s="1548"/>
      <c r="DB15" s="1548"/>
      <c r="DC15" s="1548"/>
      <c r="DD15" s="1548"/>
      <c r="DE15" s="1548"/>
      <c r="DF15" s="1548"/>
      <c r="DG15" s="1548"/>
      <c r="DH15" s="1548"/>
      <c r="DI15" s="1548"/>
      <c r="DJ15" s="1548"/>
      <c r="DK15" s="1548"/>
      <c r="DL15" s="1548"/>
      <c r="DM15" s="1548"/>
      <c r="DN15" s="1548"/>
      <c r="DO15" s="1548"/>
      <c r="DP15" s="1548"/>
      <c r="DQ15" s="1548"/>
      <c r="DR15" s="1548"/>
      <c r="DS15" s="1548"/>
      <c r="DT15" s="1548"/>
      <c r="DU15" s="1548"/>
      <c r="DV15" s="1548"/>
      <c r="DW15" s="1548"/>
    </row>
    <row r="16" spans="1:127" s="1916" customFormat="1" ht="61.5" customHeight="1">
      <c r="A16" s="3767"/>
      <c r="B16" s="1495" t="str">
        <f t="shared" si="2"/>
        <v>2200001921</v>
      </c>
      <c r="C16" s="1495" t="s">
        <v>3957</v>
      </c>
      <c r="D16" s="2539"/>
      <c r="E16" s="1543"/>
      <c r="F16" s="1495" t="s">
        <v>3401</v>
      </c>
      <c r="G16" s="1543"/>
      <c r="H16" s="1543"/>
      <c r="I16" s="1495" t="s">
        <v>19</v>
      </c>
      <c r="J16" s="1773" t="s">
        <v>1138</v>
      </c>
      <c r="K16" s="1605" t="s">
        <v>6298</v>
      </c>
      <c r="L16" s="2543">
        <v>2000</v>
      </c>
      <c r="M16" s="2196" t="s">
        <v>5937</v>
      </c>
      <c r="O16" s="2590">
        <v>1</v>
      </c>
      <c r="P16" s="1548"/>
      <c r="Q16" s="1493">
        <v>2614</v>
      </c>
      <c r="R16" s="1493">
        <v>2614</v>
      </c>
      <c r="S16" s="1493">
        <f>Q16-R16</f>
        <v>0</v>
      </c>
      <c r="T16" s="1548"/>
      <c r="U16" s="1548"/>
      <c r="V16" s="1548"/>
      <c r="W16" s="1548"/>
      <c r="X16" s="1548"/>
      <c r="Y16" s="1548"/>
      <c r="Z16" s="1548"/>
      <c r="AA16" s="1548"/>
      <c r="AB16" s="1548"/>
      <c r="AC16" s="1548"/>
      <c r="AD16" s="1548"/>
      <c r="AE16" s="1548"/>
      <c r="AF16" s="1548"/>
      <c r="AG16" s="1548"/>
      <c r="AH16" s="1548"/>
      <c r="AI16" s="1548"/>
      <c r="AJ16" s="1548"/>
      <c r="AK16" s="1548"/>
      <c r="AL16" s="1548"/>
      <c r="AM16" s="1548"/>
      <c r="AN16" s="1548"/>
      <c r="AO16" s="1548"/>
      <c r="AP16" s="1548"/>
      <c r="AQ16" s="1548"/>
      <c r="AR16" s="1548"/>
      <c r="AS16" s="1548"/>
      <c r="AT16" s="1548"/>
      <c r="AU16" s="1548"/>
      <c r="AV16" s="1548"/>
      <c r="AW16" s="1548"/>
      <c r="AX16" s="1548"/>
      <c r="AY16" s="1548"/>
      <c r="AZ16" s="1548"/>
      <c r="BA16" s="1548"/>
      <c r="BB16" s="1548"/>
      <c r="BC16" s="1548"/>
      <c r="BD16" s="1548"/>
      <c r="BE16" s="1548"/>
      <c r="BF16" s="1548"/>
      <c r="BG16" s="1548"/>
      <c r="BH16" s="1548"/>
      <c r="BI16" s="1548"/>
      <c r="BJ16" s="1548"/>
      <c r="BK16" s="1548"/>
      <c r="BL16" s="1548"/>
      <c r="BM16" s="1548"/>
      <c r="BN16" s="1548"/>
      <c r="BO16" s="1548"/>
      <c r="BP16" s="1548"/>
      <c r="BQ16" s="1548"/>
      <c r="BR16" s="1548"/>
      <c r="BS16" s="1548"/>
      <c r="BT16" s="1548"/>
      <c r="BU16" s="1548"/>
      <c r="BV16" s="1548"/>
      <c r="BW16" s="1548"/>
      <c r="BX16" s="1548"/>
      <c r="BY16" s="1548"/>
      <c r="BZ16" s="1548"/>
      <c r="CA16" s="1548"/>
      <c r="CB16" s="1548"/>
      <c r="CC16" s="1548"/>
      <c r="CD16" s="1548"/>
      <c r="CE16" s="1548"/>
      <c r="CF16" s="1548"/>
      <c r="CG16" s="1548"/>
      <c r="CH16" s="1548"/>
      <c r="CI16" s="1548"/>
      <c r="CJ16" s="1548"/>
      <c r="CK16" s="1548"/>
      <c r="CL16" s="1548"/>
      <c r="CM16" s="1548"/>
      <c r="CN16" s="1548"/>
      <c r="CO16" s="1548"/>
      <c r="CP16" s="1548"/>
      <c r="CQ16" s="1548"/>
      <c r="CR16" s="1548"/>
      <c r="CS16" s="1548"/>
      <c r="CT16" s="1548"/>
      <c r="CU16" s="1548"/>
      <c r="CV16" s="1548"/>
      <c r="CW16" s="1548"/>
      <c r="CX16" s="1548"/>
      <c r="CY16" s="1548"/>
      <c r="CZ16" s="1548"/>
      <c r="DA16" s="1548"/>
      <c r="DB16" s="1548"/>
      <c r="DC16" s="1548"/>
      <c r="DD16" s="1548"/>
      <c r="DE16" s="1548"/>
      <c r="DF16" s="1548"/>
      <c r="DG16" s="1548"/>
      <c r="DH16" s="1548"/>
      <c r="DI16" s="1548"/>
      <c r="DJ16" s="1548"/>
      <c r="DK16" s="1548"/>
      <c r="DL16" s="1548"/>
      <c r="DM16" s="1548"/>
      <c r="DN16" s="1548"/>
      <c r="DO16" s="1548"/>
      <c r="DP16" s="1548"/>
      <c r="DQ16" s="1548"/>
      <c r="DR16" s="1548"/>
      <c r="DS16" s="1548"/>
      <c r="DT16" s="1548"/>
      <c r="DU16" s="1548"/>
      <c r="DV16" s="1548"/>
      <c r="DW16" s="1548"/>
    </row>
    <row r="17" spans="1:127" s="1548" customFormat="1" ht="64.5" customHeight="1">
      <c r="A17" s="3767"/>
      <c r="B17" s="1495" t="str">
        <f t="shared" si="2"/>
        <v>2200001920</v>
      </c>
      <c r="C17" s="1495" t="s">
        <v>3957</v>
      </c>
      <c r="D17" s="2539"/>
      <c r="E17" s="1543"/>
      <c r="F17" s="1495" t="s">
        <v>3401</v>
      </c>
      <c r="G17" s="1543"/>
      <c r="H17" s="1543"/>
      <c r="I17" s="1495" t="s">
        <v>19</v>
      </c>
      <c r="J17" s="1773" t="s">
        <v>1138</v>
      </c>
      <c r="K17" s="1843" t="s">
        <v>6299</v>
      </c>
      <c r="L17" s="2562">
        <v>2000</v>
      </c>
      <c r="M17" s="2196" t="s">
        <v>5937</v>
      </c>
      <c r="N17" s="1770"/>
      <c r="O17" s="2590">
        <v>1</v>
      </c>
      <c r="Q17" s="1493">
        <v>27642</v>
      </c>
      <c r="R17" s="1493">
        <v>13395</v>
      </c>
      <c r="S17" s="1493">
        <f>Q17-R17</f>
        <v>14247</v>
      </c>
    </row>
    <row r="18" spans="1:127" s="1548" customFormat="1" ht="64.5" customHeight="1">
      <c r="A18" s="3767"/>
      <c r="B18" s="1495" t="str">
        <f t="shared" si="2"/>
        <v>2000002710</v>
      </c>
      <c r="C18" s="1495" t="s">
        <v>3957</v>
      </c>
      <c r="D18" s="2539"/>
      <c r="E18" s="1543"/>
      <c r="F18" s="1495" t="s">
        <v>3401</v>
      </c>
      <c r="G18" s="1543"/>
      <c r="H18" s="1543"/>
      <c r="I18" s="1495" t="s">
        <v>19</v>
      </c>
      <c r="J18" s="1773" t="s">
        <v>1138</v>
      </c>
      <c r="K18" s="1600" t="s">
        <v>6300</v>
      </c>
      <c r="L18" s="2357">
        <v>6000</v>
      </c>
      <c r="M18" s="2196" t="s">
        <v>5937</v>
      </c>
      <c r="N18" s="1843"/>
      <c r="O18" s="2590">
        <v>1</v>
      </c>
      <c r="Q18" s="1493">
        <v>5941</v>
      </c>
      <c r="R18" s="1493">
        <v>5941</v>
      </c>
      <c r="S18" s="1493">
        <f>Q18-R18</f>
        <v>0</v>
      </c>
    </row>
    <row r="19" spans="1:127" s="1548" customFormat="1" ht="64.5" customHeight="1">
      <c r="A19" s="3767"/>
      <c r="B19" s="1495" t="str">
        <f t="shared" si="2"/>
        <v>2000002729</v>
      </c>
      <c r="C19" s="1495" t="s">
        <v>3957</v>
      </c>
      <c r="D19" s="2539"/>
      <c r="E19" s="1543"/>
      <c r="F19" s="1495" t="s">
        <v>3401</v>
      </c>
      <c r="G19" s="1543"/>
      <c r="H19" s="1543"/>
      <c r="I19" s="1495" t="s">
        <v>19</v>
      </c>
      <c r="J19" s="1773" t="s">
        <v>1138</v>
      </c>
      <c r="K19" s="1600" t="s">
        <v>6301</v>
      </c>
      <c r="L19" s="2299">
        <v>1000</v>
      </c>
      <c r="M19" s="1748" t="s">
        <v>6302</v>
      </c>
      <c r="N19" s="1843"/>
      <c r="O19" s="2223">
        <v>1</v>
      </c>
    </row>
    <row r="20" spans="1:127" s="1548" customFormat="1" ht="64.5" customHeight="1">
      <c r="A20" s="3768"/>
      <c r="B20" s="1495" t="str">
        <f t="shared" si="2"/>
        <v>2000002816</v>
      </c>
      <c r="C20" s="1495" t="s">
        <v>3957</v>
      </c>
      <c r="D20" s="2539"/>
      <c r="E20" s="1543"/>
      <c r="F20" s="1495" t="s">
        <v>3401</v>
      </c>
      <c r="G20" s="1543"/>
      <c r="H20" s="1543"/>
      <c r="I20" s="1495" t="s">
        <v>19</v>
      </c>
      <c r="J20" s="1773" t="s">
        <v>1138</v>
      </c>
      <c r="K20" s="1600" t="s">
        <v>6303</v>
      </c>
      <c r="L20" s="2299">
        <v>300</v>
      </c>
      <c r="M20" s="1495" t="s">
        <v>6304</v>
      </c>
      <c r="N20" s="1843"/>
      <c r="O20" s="2223">
        <v>1</v>
      </c>
    </row>
    <row r="21" spans="1:127" s="1548" customFormat="1" ht="64.5" customHeight="1">
      <c r="A21" s="3773">
        <v>6</v>
      </c>
      <c r="B21" s="1921" t="str">
        <f t="shared" si="2"/>
        <v>2000002794</v>
      </c>
      <c r="C21" s="1921" t="s">
        <v>219</v>
      </c>
      <c r="D21" s="2222">
        <v>3750</v>
      </c>
      <c r="E21" s="2507" t="s">
        <v>6305</v>
      </c>
      <c r="F21" s="1921" t="s">
        <v>61</v>
      </c>
      <c r="G21" s="1921" t="s">
        <v>6306</v>
      </c>
      <c r="H21" s="1909"/>
      <c r="I21" s="1921" t="s">
        <v>19</v>
      </c>
      <c r="J21" s="1921" t="s">
        <v>74</v>
      </c>
      <c r="K21" s="2687" t="s">
        <v>6307</v>
      </c>
      <c r="L21" s="2299">
        <v>3400</v>
      </c>
      <c r="M21" s="2196" t="s">
        <v>5937</v>
      </c>
      <c r="N21" s="2520" t="s">
        <v>6308</v>
      </c>
      <c r="O21" s="2223">
        <v>1</v>
      </c>
      <c r="P21" s="2150"/>
      <c r="Q21" s="1493">
        <v>3408</v>
      </c>
      <c r="R21" s="1493">
        <v>3408</v>
      </c>
      <c r="S21" s="1493">
        <f>Q21-R21</f>
        <v>0</v>
      </c>
      <c r="T21" s="2150"/>
      <c r="U21" s="2150"/>
      <c r="V21" s="2150"/>
      <c r="W21" s="2150"/>
      <c r="X21" s="2150"/>
      <c r="Y21" s="2150"/>
      <c r="Z21" s="2150"/>
      <c r="AA21" s="2150"/>
      <c r="AB21" s="2150"/>
      <c r="AC21" s="2150"/>
      <c r="AD21" s="2150"/>
      <c r="AE21" s="2150"/>
      <c r="AF21" s="2150"/>
      <c r="AG21" s="2150"/>
      <c r="AH21" s="2150"/>
      <c r="AI21" s="2150"/>
      <c r="AJ21" s="2150"/>
      <c r="AK21" s="2150"/>
      <c r="AL21" s="2150"/>
      <c r="AM21" s="2150"/>
      <c r="AN21" s="2150"/>
      <c r="AO21" s="2150"/>
      <c r="AP21" s="2150"/>
      <c r="AQ21" s="2150"/>
      <c r="AR21" s="2150"/>
      <c r="AS21" s="2150"/>
      <c r="AT21" s="2150"/>
      <c r="AU21" s="2150"/>
      <c r="AV21" s="2150"/>
      <c r="AW21" s="2150"/>
      <c r="AX21" s="2150"/>
      <c r="AY21" s="2150"/>
      <c r="AZ21" s="2150"/>
      <c r="BA21" s="2150"/>
      <c r="BB21" s="2150"/>
      <c r="BC21" s="2150"/>
      <c r="BD21" s="2150"/>
      <c r="BE21" s="2150"/>
      <c r="BF21" s="2150"/>
      <c r="BG21" s="2150"/>
      <c r="BH21" s="2150"/>
      <c r="BI21" s="2150"/>
      <c r="BJ21" s="2150"/>
      <c r="BK21" s="2150"/>
      <c r="BL21" s="2150"/>
      <c r="BM21" s="2150"/>
      <c r="BN21" s="2150"/>
      <c r="BO21" s="2150"/>
      <c r="BP21" s="2150"/>
      <c r="BQ21" s="2150"/>
      <c r="BR21" s="2150"/>
      <c r="BS21" s="2150"/>
      <c r="BT21" s="2150"/>
      <c r="BU21" s="2150"/>
      <c r="BV21" s="2150"/>
      <c r="BW21" s="2150"/>
      <c r="BX21" s="2150"/>
      <c r="BY21" s="2150"/>
      <c r="BZ21" s="2150"/>
      <c r="CA21" s="2150"/>
      <c r="CB21" s="2150"/>
      <c r="CC21" s="2150"/>
      <c r="CD21" s="2150"/>
      <c r="CE21" s="2150"/>
      <c r="CF21" s="2150"/>
      <c r="CG21" s="2150"/>
      <c r="CH21" s="2150"/>
      <c r="CI21" s="2150"/>
      <c r="CJ21" s="2150"/>
      <c r="CK21" s="2150"/>
      <c r="CL21" s="2150"/>
      <c r="CM21" s="2150"/>
      <c r="CN21" s="2150"/>
      <c r="CO21" s="2150"/>
      <c r="CP21" s="2150"/>
      <c r="CQ21" s="2150"/>
      <c r="CR21" s="2150"/>
      <c r="CS21" s="2150"/>
      <c r="CT21" s="2150"/>
      <c r="CU21" s="2150"/>
      <c r="CV21" s="2150"/>
      <c r="CW21" s="2150"/>
      <c r="CX21" s="2150"/>
      <c r="CY21" s="2150"/>
      <c r="CZ21" s="2150"/>
      <c r="DA21" s="2150"/>
      <c r="DB21" s="2150"/>
      <c r="DC21" s="2150"/>
      <c r="DD21" s="2150"/>
      <c r="DE21" s="2150"/>
      <c r="DF21" s="2150"/>
      <c r="DG21" s="2150"/>
      <c r="DH21" s="2150"/>
      <c r="DI21" s="2150"/>
      <c r="DJ21" s="2150"/>
      <c r="DK21" s="2150"/>
      <c r="DL21" s="2150"/>
      <c r="DM21" s="2150"/>
      <c r="DN21" s="2150"/>
      <c r="DO21" s="2150"/>
      <c r="DP21" s="2150"/>
      <c r="DQ21" s="2150"/>
      <c r="DR21" s="2150"/>
      <c r="DS21" s="2150"/>
      <c r="DT21" s="2150"/>
      <c r="DU21" s="2150"/>
      <c r="DV21" s="2150"/>
      <c r="DW21" s="2150"/>
    </row>
    <row r="22" spans="1:127" s="1548" customFormat="1" ht="64.5" customHeight="1">
      <c r="A22" s="3768"/>
      <c r="B22" s="1495" t="str">
        <f t="shared" si="2"/>
        <v>2000002795</v>
      </c>
      <c r="C22" s="1495" t="s">
        <v>219</v>
      </c>
      <c r="D22" s="2559"/>
      <c r="E22" s="2010"/>
      <c r="F22" s="1495" t="s">
        <v>61</v>
      </c>
      <c r="G22" s="1495"/>
      <c r="H22" s="1748"/>
      <c r="I22" s="1495" t="s">
        <v>19</v>
      </c>
      <c r="J22" s="1495" t="s">
        <v>74</v>
      </c>
      <c r="K22" s="2685" t="s">
        <v>6309</v>
      </c>
      <c r="L22" s="2299">
        <v>150</v>
      </c>
      <c r="M22" s="2196" t="s">
        <v>5937</v>
      </c>
      <c r="N22" s="2520" t="s">
        <v>6283</v>
      </c>
      <c r="O22" s="2223">
        <v>1</v>
      </c>
      <c r="Q22" s="1493">
        <v>1446</v>
      </c>
      <c r="R22" s="1493">
        <v>1446</v>
      </c>
      <c r="S22" s="1493">
        <f>Q22-R22</f>
        <v>0</v>
      </c>
    </row>
    <row r="23" spans="1:127" s="2150" customFormat="1" ht="64.5" customHeight="1">
      <c r="A23" s="3749">
        <v>7</v>
      </c>
      <c r="B23" s="1921" t="str">
        <f t="shared" si="2"/>
        <v>2000002768</v>
      </c>
      <c r="C23" s="1902" t="s">
        <v>3391</v>
      </c>
      <c r="D23" s="2488">
        <v>3300</v>
      </c>
      <c r="E23" s="1921" t="s">
        <v>6279</v>
      </c>
      <c r="F23" s="1902" t="s">
        <v>89</v>
      </c>
      <c r="G23" s="1921" t="s">
        <v>6310</v>
      </c>
      <c r="H23" s="2261" t="s">
        <v>6311</v>
      </c>
      <c r="I23" s="1921" t="s">
        <v>19</v>
      </c>
      <c r="J23" s="1921" t="s">
        <v>199</v>
      </c>
      <c r="K23" s="1845" t="s">
        <v>6312</v>
      </c>
      <c r="L23" s="2357">
        <v>1800</v>
      </c>
      <c r="M23" s="2196" t="s">
        <v>5937</v>
      </c>
      <c r="N23" s="1862" t="s">
        <v>6313</v>
      </c>
      <c r="O23" s="2590">
        <v>1</v>
      </c>
      <c r="Q23" s="1493">
        <v>5792</v>
      </c>
      <c r="R23" s="1493">
        <v>5792</v>
      </c>
      <c r="S23" s="1493">
        <f>Q23-R23</f>
        <v>0</v>
      </c>
    </row>
    <row r="24" spans="1:127" s="2150" customFormat="1" ht="64.5" customHeight="1">
      <c r="A24" s="3750"/>
      <c r="B24" s="1495" t="str">
        <f t="shared" si="2"/>
        <v>2000002763</v>
      </c>
      <c r="C24" s="1493" t="s">
        <v>3391</v>
      </c>
      <c r="D24" s="2325"/>
      <c r="E24" s="1495"/>
      <c r="F24" s="1493" t="s">
        <v>89</v>
      </c>
      <c r="G24" s="1495"/>
      <c r="H24" s="1495"/>
      <c r="I24" s="1495" t="s">
        <v>19</v>
      </c>
      <c r="J24" s="1495" t="s">
        <v>74</v>
      </c>
      <c r="K24" s="1600" t="s">
        <v>6314</v>
      </c>
      <c r="L24" s="2357">
        <v>1200</v>
      </c>
      <c r="M24" s="2196" t="s">
        <v>5937</v>
      </c>
      <c r="N24" s="1859"/>
      <c r="O24" s="2590">
        <v>1</v>
      </c>
      <c r="Q24" s="1493">
        <v>1186</v>
      </c>
      <c r="R24" s="1493">
        <v>1186</v>
      </c>
      <c r="S24" s="1493">
        <f>Q24-R24</f>
        <v>0</v>
      </c>
    </row>
    <row r="25" spans="1:127" s="2127" customFormat="1" ht="64.5" customHeight="1">
      <c r="A25" s="3749">
        <v>8</v>
      </c>
      <c r="B25" s="2187" t="str">
        <f t="shared" si="2"/>
        <v>2000002760</v>
      </c>
      <c r="C25" s="2263" t="s">
        <v>4786</v>
      </c>
      <c r="D25" s="2505">
        <v>5800</v>
      </c>
      <c r="E25" s="2187" t="s">
        <v>6315</v>
      </c>
      <c r="F25" s="2263" t="s">
        <v>16</v>
      </c>
      <c r="G25" s="2187" t="s">
        <v>6316</v>
      </c>
      <c r="H25" s="2187" t="s">
        <v>6317</v>
      </c>
      <c r="I25" s="2187" t="s">
        <v>19</v>
      </c>
      <c r="J25" s="2187" t="s">
        <v>1138</v>
      </c>
      <c r="K25" s="2617" t="s">
        <v>6318</v>
      </c>
      <c r="L25" s="2543">
        <v>476</v>
      </c>
      <c r="M25" s="2196" t="s">
        <v>5937</v>
      </c>
      <c r="N25" s="2565" t="s">
        <v>6319</v>
      </c>
      <c r="O25" s="2591">
        <v>1</v>
      </c>
      <c r="Q25" s="1545">
        <v>476</v>
      </c>
      <c r="R25" s="1545">
        <v>476</v>
      </c>
      <c r="S25" s="1493">
        <f>Q25-R25</f>
        <v>0</v>
      </c>
    </row>
    <row r="26" spans="1:127" s="1548" customFormat="1" ht="64.5" customHeight="1">
      <c r="A26" s="3751"/>
      <c r="B26" s="1543" t="str">
        <f t="shared" si="2"/>
        <v>2000002804</v>
      </c>
      <c r="C26" s="1545" t="s">
        <v>4786</v>
      </c>
      <c r="D26" s="2325"/>
      <c r="E26" s="1495"/>
      <c r="F26" s="1545" t="s">
        <v>16</v>
      </c>
      <c r="G26" s="1495"/>
      <c r="H26" s="1495"/>
      <c r="I26" s="1495" t="s">
        <v>19</v>
      </c>
      <c r="J26" s="1495" t="s">
        <v>1138</v>
      </c>
      <c r="K26" s="1600" t="s">
        <v>6320</v>
      </c>
      <c r="L26" s="1826">
        <v>2408</v>
      </c>
      <c r="M26" s="1748" t="s">
        <v>6321</v>
      </c>
      <c r="N26" s="1859" t="s">
        <v>6322</v>
      </c>
      <c r="O26" s="2590">
        <v>1</v>
      </c>
    </row>
    <row r="27" spans="1:127" s="1548" customFormat="1" ht="64.5" customHeight="1">
      <c r="A27" s="3751"/>
      <c r="B27" s="1543" t="str">
        <f t="shared" si="2"/>
        <v>2000002805</v>
      </c>
      <c r="C27" s="1545" t="s">
        <v>4786</v>
      </c>
      <c r="D27" s="2325"/>
      <c r="E27" s="1495"/>
      <c r="F27" s="1545" t="s">
        <v>16</v>
      </c>
      <c r="G27" s="1495"/>
      <c r="H27" s="1495"/>
      <c r="I27" s="1495" t="s">
        <v>19</v>
      </c>
      <c r="J27" s="1495" t="s">
        <v>1138</v>
      </c>
      <c r="K27" s="1600" t="s">
        <v>6323</v>
      </c>
      <c r="L27" s="1826">
        <v>2336</v>
      </c>
      <c r="M27" s="1748" t="s">
        <v>6324</v>
      </c>
      <c r="N27" s="1843" t="s">
        <v>6322</v>
      </c>
      <c r="O27" s="2590">
        <v>1</v>
      </c>
    </row>
    <row r="28" spans="1:127" s="1548" customFormat="1" ht="86.25" customHeight="1">
      <c r="A28" s="3750"/>
      <c r="B28" s="1543" t="str">
        <f t="shared" si="2"/>
        <v>2200001920</v>
      </c>
      <c r="C28" s="1545" t="s">
        <v>4786</v>
      </c>
      <c r="D28" s="2325"/>
      <c r="E28" s="1495"/>
      <c r="F28" s="1545" t="s">
        <v>16</v>
      </c>
      <c r="G28" s="1495"/>
      <c r="H28" s="1495"/>
      <c r="I28" s="1495" t="s">
        <v>19</v>
      </c>
      <c r="J28" s="1495" t="s">
        <v>1138</v>
      </c>
      <c r="K28" s="1843" t="s">
        <v>6325</v>
      </c>
      <c r="L28" s="1826">
        <v>500</v>
      </c>
      <c r="M28" s="2196" t="s">
        <v>5937</v>
      </c>
      <c r="N28" s="1843" t="s">
        <v>6326</v>
      </c>
      <c r="O28" s="2590">
        <v>1</v>
      </c>
      <c r="Q28" s="1493">
        <v>27642</v>
      </c>
      <c r="R28" s="1493">
        <v>13395</v>
      </c>
      <c r="S28" s="1493">
        <f>Q28-R28</f>
        <v>14247</v>
      </c>
    </row>
    <row r="29" spans="1:127" s="2150" customFormat="1" ht="50.25" customHeight="1">
      <c r="A29" s="3735">
        <v>8</v>
      </c>
      <c r="B29" s="1921" t="str">
        <f t="shared" si="2"/>
        <v>2000002807</v>
      </c>
      <c r="C29" s="1902" t="s">
        <v>6327</v>
      </c>
      <c r="D29" s="2488">
        <v>23400</v>
      </c>
      <c r="E29" s="1921" t="s">
        <v>6328</v>
      </c>
      <c r="F29" s="1902" t="s">
        <v>16</v>
      </c>
      <c r="G29" s="2202" t="s">
        <v>6329</v>
      </c>
      <c r="H29" s="1921" t="s">
        <v>6330</v>
      </c>
      <c r="I29" s="2279" t="s">
        <v>19</v>
      </c>
      <c r="J29" s="1921" t="s">
        <v>123</v>
      </c>
      <c r="K29" s="1845" t="s">
        <v>6331</v>
      </c>
      <c r="L29" s="2357">
        <v>1000</v>
      </c>
      <c r="M29" s="1748" t="s">
        <v>6332</v>
      </c>
      <c r="N29" s="3777" t="s">
        <v>6333</v>
      </c>
      <c r="O29" s="2590">
        <v>1</v>
      </c>
    </row>
    <row r="30" spans="1:127" s="2150" customFormat="1" ht="50.25" customHeight="1">
      <c r="A30" s="3736"/>
      <c r="B30" s="1495" t="str">
        <f t="shared" si="2"/>
        <v>2000002808</v>
      </c>
      <c r="C30" s="1493" t="s">
        <v>6327</v>
      </c>
      <c r="D30" s="2488"/>
      <c r="E30" s="1921"/>
      <c r="F30" s="1493" t="s">
        <v>16</v>
      </c>
      <c r="G30" s="2202"/>
      <c r="H30" s="1921"/>
      <c r="I30" s="1568" t="s">
        <v>19</v>
      </c>
      <c r="J30" s="1495" t="s">
        <v>123</v>
      </c>
      <c r="K30" s="1600" t="s">
        <v>6334</v>
      </c>
      <c r="L30" s="2357">
        <v>2500</v>
      </c>
      <c r="M30" s="1748" t="s">
        <v>6335</v>
      </c>
      <c r="N30" s="3778"/>
      <c r="O30" s="2590">
        <v>1</v>
      </c>
      <c r="P30" s="1548"/>
      <c r="Q30" s="1548"/>
      <c r="R30" s="1548"/>
    </row>
    <row r="31" spans="1:127" s="2150" customFormat="1" ht="50.25" customHeight="1">
      <c r="A31" s="3736"/>
      <c r="B31" s="1495" t="str">
        <f t="shared" si="2"/>
        <v>2000002809</v>
      </c>
      <c r="C31" s="1493" t="s">
        <v>6327</v>
      </c>
      <c r="D31" s="2488"/>
      <c r="E31" s="1921"/>
      <c r="F31" s="1493" t="s">
        <v>16</v>
      </c>
      <c r="G31" s="2202"/>
      <c r="H31" s="1921"/>
      <c r="I31" s="1568" t="s">
        <v>19</v>
      </c>
      <c r="J31" s="1495" t="s">
        <v>123</v>
      </c>
      <c r="K31" s="1600" t="s">
        <v>6336</v>
      </c>
      <c r="L31" s="2357">
        <v>2000</v>
      </c>
      <c r="M31" s="1748" t="s">
        <v>6337</v>
      </c>
      <c r="N31" s="3778"/>
      <c r="O31" s="2590">
        <v>1</v>
      </c>
      <c r="P31" s="1548"/>
      <c r="Q31" s="1548"/>
      <c r="R31" s="1548"/>
    </row>
    <row r="32" spans="1:127" s="2150" customFormat="1" ht="50.25" customHeight="1">
      <c r="A32" s="3736"/>
      <c r="B32" s="1495" t="str">
        <f t="shared" si="2"/>
        <v>2000002810</v>
      </c>
      <c r="C32" s="1493" t="s">
        <v>6327</v>
      </c>
      <c r="D32" s="2488"/>
      <c r="E32" s="1921"/>
      <c r="F32" s="1493" t="s">
        <v>16</v>
      </c>
      <c r="G32" s="2202"/>
      <c r="H32" s="1921"/>
      <c r="I32" s="1568" t="s">
        <v>19</v>
      </c>
      <c r="J32" s="1495" t="s">
        <v>123</v>
      </c>
      <c r="K32" s="1600" t="s">
        <v>6338</v>
      </c>
      <c r="L32" s="2357">
        <v>2000</v>
      </c>
      <c r="M32" s="1748" t="s">
        <v>6339</v>
      </c>
      <c r="N32" s="3779"/>
      <c r="O32" s="2590">
        <v>1</v>
      </c>
      <c r="P32" s="1548"/>
      <c r="Q32" s="1548"/>
      <c r="R32" s="1548"/>
    </row>
    <row r="33" spans="1:19" s="1548" customFormat="1" ht="50.25" customHeight="1">
      <c r="A33" s="3736"/>
      <c r="B33" s="1495" t="str">
        <f t="shared" si="2"/>
        <v>2000002799</v>
      </c>
      <c r="C33" s="1493" t="s">
        <v>6327</v>
      </c>
      <c r="D33" s="2266"/>
      <c r="E33" s="1947"/>
      <c r="F33" s="1493" t="s">
        <v>16</v>
      </c>
      <c r="G33" s="1495"/>
      <c r="H33" s="1947"/>
      <c r="I33" s="1495" t="s">
        <v>19</v>
      </c>
      <c r="J33" s="1495" t="s">
        <v>123</v>
      </c>
      <c r="K33" s="1600" t="s">
        <v>6340</v>
      </c>
      <c r="L33" s="2357">
        <v>4000</v>
      </c>
      <c r="M33" s="2196" t="s">
        <v>5937</v>
      </c>
      <c r="N33" s="1843"/>
      <c r="O33" s="2590">
        <v>1</v>
      </c>
      <c r="P33" s="1883"/>
      <c r="Q33" s="1493">
        <v>3944</v>
      </c>
      <c r="R33" s="1493">
        <v>3944</v>
      </c>
      <c r="S33" s="1493">
        <f>Q33-R33</f>
        <v>0</v>
      </c>
    </row>
    <row r="34" spans="1:19" s="1548" customFormat="1" ht="50.25" customHeight="1">
      <c r="A34" s="3736"/>
      <c r="B34" s="1495" t="str">
        <f t="shared" si="2"/>
        <v>2000002740</v>
      </c>
      <c r="C34" s="1493" t="s">
        <v>6327</v>
      </c>
      <c r="D34" s="2351"/>
      <c r="E34" s="1495"/>
      <c r="F34" s="1493" t="s">
        <v>16</v>
      </c>
      <c r="G34" s="1495"/>
      <c r="H34" s="1495"/>
      <c r="I34" s="1495" t="s">
        <v>19</v>
      </c>
      <c r="J34" s="1495" t="s">
        <v>123</v>
      </c>
      <c r="K34" s="1496" t="s">
        <v>6341</v>
      </c>
      <c r="L34" s="2357">
        <v>2000</v>
      </c>
      <c r="M34" s="1909" t="s">
        <v>5961</v>
      </c>
      <c r="N34" s="1770"/>
      <c r="O34" s="2590">
        <v>1</v>
      </c>
    </row>
    <row r="35" spans="1:19" s="1548" customFormat="1" ht="50.25" customHeight="1">
      <c r="A35" s="3736"/>
      <c r="B35" s="1495" t="str">
        <f t="shared" si="2"/>
        <v>2000002797</v>
      </c>
      <c r="C35" s="1493" t="s">
        <v>6327</v>
      </c>
      <c r="D35" s="2351"/>
      <c r="E35" s="1495"/>
      <c r="F35" s="1493" t="s">
        <v>16</v>
      </c>
      <c r="G35" s="1495"/>
      <c r="H35" s="1495"/>
      <c r="I35" s="1495" t="s">
        <v>19</v>
      </c>
      <c r="J35" s="1495" t="s">
        <v>123</v>
      </c>
      <c r="K35" s="1496" t="s">
        <v>6342</v>
      </c>
      <c r="L35" s="2357">
        <v>2000</v>
      </c>
      <c r="M35" s="1909" t="s">
        <v>5961</v>
      </c>
      <c r="N35" s="1770"/>
      <c r="O35" s="2590">
        <v>1</v>
      </c>
    </row>
    <row r="36" spans="1:19" s="1548" customFormat="1" ht="50.25" customHeight="1">
      <c r="A36" s="3736"/>
      <c r="B36" s="1495" t="str">
        <f t="shared" si="2"/>
        <v>2000002764</v>
      </c>
      <c r="C36" s="1493" t="s">
        <v>6327</v>
      </c>
      <c r="D36" s="2325"/>
      <c r="E36" s="1495"/>
      <c r="F36" s="1493" t="s">
        <v>16</v>
      </c>
      <c r="G36" s="1495"/>
      <c r="H36" s="1495"/>
      <c r="I36" s="1495" t="s">
        <v>19</v>
      </c>
      <c r="J36" s="1495" t="s">
        <v>123</v>
      </c>
      <c r="K36" s="1600" t="s">
        <v>6343</v>
      </c>
      <c r="L36" s="2357">
        <v>1000</v>
      </c>
      <c r="M36" s="2196" t="s">
        <v>5937</v>
      </c>
      <c r="N36" s="1859" t="s">
        <v>6344</v>
      </c>
      <c r="O36" s="2590">
        <v>1</v>
      </c>
      <c r="Q36" s="1493">
        <v>1060</v>
      </c>
      <c r="R36" s="1493">
        <v>1060</v>
      </c>
      <c r="S36" s="1493">
        <f>Q36-R36</f>
        <v>0</v>
      </c>
    </row>
    <row r="37" spans="1:19" s="1548" customFormat="1" ht="50.25" customHeight="1">
      <c r="A37" s="3736"/>
      <c r="B37" s="1495" t="str">
        <f t="shared" si="2"/>
        <v>2000002765</v>
      </c>
      <c r="C37" s="1493" t="s">
        <v>6327</v>
      </c>
      <c r="D37" s="2325"/>
      <c r="E37" s="1495"/>
      <c r="F37" s="1493" t="s">
        <v>16</v>
      </c>
      <c r="G37" s="1495"/>
      <c r="H37" s="1495"/>
      <c r="I37" s="1495" t="s">
        <v>19</v>
      </c>
      <c r="J37" s="1495" t="s">
        <v>123</v>
      </c>
      <c r="K37" s="1600" t="s">
        <v>6345</v>
      </c>
      <c r="L37" s="2357">
        <v>300</v>
      </c>
      <c r="M37" s="2196" t="s">
        <v>5937</v>
      </c>
      <c r="N37" s="1859" t="s">
        <v>6344</v>
      </c>
      <c r="O37" s="2590">
        <v>1</v>
      </c>
      <c r="Q37" s="1493">
        <v>304</v>
      </c>
      <c r="R37" s="1493">
        <v>304</v>
      </c>
      <c r="S37" s="1493">
        <f>Q37-R37</f>
        <v>0</v>
      </c>
    </row>
    <row r="38" spans="1:19" s="1821" customFormat="1" ht="49.5" customHeight="1">
      <c r="A38" s="3736"/>
      <c r="B38" s="1780" t="str">
        <f t="shared" si="2"/>
        <v>2200001925</v>
      </c>
      <c r="C38" s="1782" t="s">
        <v>6327</v>
      </c>
      <c r="D38" s="2578"/>
      <c r="E38" s="1780"/>
      <c r="F38" s="1782" t="s">
        <v>16</v>
      </c>
      <c r="G38" s="1780"/>
      <c r="H38" s="1780"/>
      <c r="I38" s="1780" t="s">
        <v>19</v>
      </c>
      <c r="J38" s="1780" t="s">
        <v>123</v>
      </c>
      <c r="K38" s="1496" t="s">
        <v>6346</v>
      </c>
      <c r="L38" s="2579">
        <v>570</v>
      </c>
      <c r="M38" s="1780" t="s">
        <v>6347</v>
      </c>
      <c r="N38" s="1496"/>
      <c r="O38" s="1821">
        <v>1</v>
      </c>
    </row>
    <row r="39" spans="1:19" s="1548" customFormat="1" ht="49.5" customHeight="1">
      <c r="A39" s="3736"/>
      <c r="B39" s="1495" t="str">
        <f t="shared" si="2"/>
        <v>2000002784</v>
      </c>
      <c r="C39" s="1493" t="s">
        <v>6327</v>
      </c>
      <c r="D39" s="2566"/>
      <c r="E39" s="1543"/>
      <c r="F39" s="1493" t="s">
        <v>16</v>
      </c>
      <c r="G39" s="1495"/>
      <c r="H39" s="1495"/>
      <c r="I39" s="1495" t="s">
        <v>19</v>
      </c>
      <c r="J39" s="1851" t="s">
        <v>421</v>
      </c>
      <c r="K39" s="1497" t="s">
        <v>6348</v>
      </c>
      <c r="L39" s="2361">
        <v>700</v>
      </c>
      <c r="M39" s="2447" t="s">
        <v>5937</v>
      </c>
      <c r="N39" s="1962" t="s">
        <v>6349</v>
      </c>
      <c r="O39" s="2592">
        <v>1</v>
      </c>
      <c r="P39" s="2122"/>
      <c r="Q39" s="1493">
        <v>665</v>
      </c>
      <c r="R39" s="1493">
        <v>665</v>
      </c>
      <c r="S39" s="1493">
        <f>Q39-R39</f>
        <v>0</v>
      </c>
    </row>
    <row r="40" spans="1:19" s="1548" customFormat="1" ht="49.5" customHeight="1">
      <c r="A40" s="3736"/>
      <c r="B40" s="1495" t="str">
        <f t="shared" si="2"/>
        <v>2000002761</v>
      </c>
      <c r="C40" s="1493" t="s">
        <v>6327</v>
      </c>
      <c r="D40" s="2566"/>
      <c r="E40" s="1543"/>
      <c r="F40" s="1493" t="s">
        <v>16</v>
      </c>
      <c r="G40" s="1495"/>
      <c r="H40" s="1495"/>
      <c r="I40" s="1495" t="s">
        <v>19</v>
      </c>
      <c r="J40" s="1495" t="s">
        <v>421</v>
      </c>
      <c r="K40" s="1600" t="s">
        <v>6350</v>
      </c>
      <c r="L40" s="2357">
        <v>1000</v>
      </c>
      <c r="M40" s="2448" t="s">
        <v>5937</v>
      </c>
      <c r="N40" s="1859"/>
      <c r="O40" s="2590">
        <v>1</v>
      </c>
      <c r="Q40" s="1493">
        <v>1019</v>
      </c>
      <c r="R40" s="1493">
        <v>1019</v>
      </c>
      <c r="S40" s="1493">
        <f>Q40-R40</f>
        <v>0</v>
      </c>
    </row>
    <row r="41" spans="1:19" s="1548" customFormat="1" ht="49.5" customHeight="1">
      <c r="A41" s="3737"/>
      <c r="B41" s="1495" t="str">
        <f t="shared" si="2"/>
        <v>2000002785</v>
      </c>
      <c r="C41" s="1493" t="s">
        <v>6327</v>
      </c>
      <c r="D41" s="2566"/>
      <c r="E41" s="1543"/>
      <c r="F41" s="1493" t="s">
        <v>16</v>
      </c>
      <c r="G41" s="1495"/>
      <c r="H41" s="1495"/>
      <c r="I41" s="1495" t="s">
        <v>19</v>
      </c>
      <c r="J41" s="1495" t="s">
        <v>63</v>
      </c>
      <c r="K41" s="1600" t="s">
        <v>6351</v>
      </c>
      <c r="L41" s="2357">
        <v>4080</v>
      </c>
      <c r="M41" s="2448" t="s">
        <v>5937</v>
      </c>
      <c r="N41" s="1843" t="s">
        <v>6352</v>
      </c>
      <c r="O41" s="2590">
        <v>1</v>
      </c>
      <c r="Q41" s="1493">
        <v>4053</v>
      </c>
      <c r="R41" s="1493">
        <v>4053</v>
      </c>
      <c r="S41" s="1493">
        <f>Q41-R41</f>
        <v>0</v>
      </c>
    </row>
    <row r="42" spans="1:19" s="2150" customFormat="1" ht="64.5" customHeight="1">
      <c r="A42" s="3749">
        <v>9</v>
      </c>
      <c r="B42" s="1921" t="str">
        <f t="shared" si="2"/>
        <v>2200001923</v>
      </c>
      <c r="C42" s="1902" t="s">
        <v>5288</v>
      </c>
      <c r="D42" s="2505">
        <v>4300</v>
      </c>
      <c r="E42" s="2187" t="s">
        <v>6353</v>
      </c>
      <c r="F42" s="2563" t="s">
        <v>89</v>
      </c>
      <c r="G42" s="1921" t="s">
        <v>6354</v>
      </c>
      <c r="H42" s="1921" t="s">
        <v>6355</v>
      </c>
      <c r="I42" s="1921" t="s">
        <v>19</v>
      </c>
      <c r="J42" s="1921" t="s">
        <v>1138</v>
      </c>
      <c r="K42" s="2617" t="s">
        <v>6356</v>
      </c>
      <c r="L42" s="2564">
        <v>305</v>
      </c>
      <c r="M42" s="2196" t="s">
        <v>5937</v>
      </c>
      <c r="N42" s="2565" t="s">
        <v>6357</v>
      </c>
      <c r="O42" s="2593">
        <v>1</v>
      </c>
      <c r="Q42" s="1493">
        <v>262</v>
      </c>
      <c r="R42" s="1493">
        <v>262</v>
      </c>
      <c r="S42" s="1493">
        <f>Q42-R42</f>
        <v>0</v>
      </c>
    </row>
    <row r="43" spans="1:19" s="1548" customFormat="1" ht="64.5" customHeight="1">
      <c r="A43" s="3751"/>
      <c r="B43" s="1495" t="str">
        <f t="shared" si="2"/>
        <v>2000002806</v>
      </c>
      <c r="C43" s="1493" t="s">
        <v>5288</v>
      </c>
      <c r="D43" s="2325"/>
      <c r="E43" s="1495"/>
      <c r="F43" s="1626" t="s">
        <v>89</v>
      </c>
      <c r="G43" s="1495"/>
      <c r="H43" s="1495"/>
      <c r="I43" s="1495" t="s">
        <v>19</v>
      </c>
      <c r="J43" s="1495" t="s">
        <v>1138</v>
      </c>
      <c r="K43" s="1600" t="s">
        <v>6358</v>
      </c>
      <c r="L43" s="1826">
        <v>2347</v>
      </c>
      <c r="M43" s="1748" t="s">
        <v>6321</v>
      </c>
      <c r="N43" s="1859"/>
      <c r="O43" s="2590">
        <v>1</v>
      </c>
    </row>
    <row r="44" spans="1:19" s="1548" customFormat="1" ht="64.5" customHeight="1">
      <c r="A44" s="3751"/>
      <c r="B44" s="1495" t="str">
        <f t="shared" ref="B44:B75" si="3">TEXT(LEFT(K44,10),"0000000000")</f>
        <v>2200001920</v>
      </c>
      <c r="C44" s="1493" t="s">
        <v>5288</v>
      </c>
      <c r="D44" s="2325"/>
      <c r="E44" s="1495"/>
      <c r="F44" s="1626" t="s">
        <v>89</v>
      </c>
      <c r="G44" s="1495"/>
      <c r="H44" s="1495"/>
      <c r="I44" s="1495" t="s">
        <v>19</v>
      </c>
      <c r="J44" s="1495" t="s">
        <v>1138</v>
      </c>
      <c r="K44" s="1843" t="s">
        <v>6299</v>
      </c>
      <c r="L44" s="2562">
        <v>1300</v>
      </c>
      <c r="M44" s="2196" t="s">
        <v>5937</v>
      </c>
      <c r="N44" s="1770"/>
      <c r="O44" s="2590">
        <v>1</v>
      </c>
      <c r="Q44" s="1493">
        <v>27642</v>
      </c>
      <c r="R44" s="1493">
        <v>13395</v>
      </c>
      <c r="S44" s="1493">
        <f>Q44-R44</f>
        <v>14247</v>
      </c>
    </row>
    <row r="45" spans="1:19" s="1559" customFormat="1" ht="64.5" customHeight="1">
      <c r="A45" s="3750"/>
      <c r="B45" s="1543" t="str">
        <f t="shared" si="3"/>
        <v>2000002783</v>
      </c>
      <c r="C45" s="1545" t="s">
        <v>5288</v>
      </c>
      <c r="D45" s="2566"/>
      <c r="E45" s="1543"/>
      <c r="F45" s="1601" t="s">
        <v>89</v>
      </c>
      <c r="G45" s="1543"/>
      <c r="H45" s="1543"/>
      <c r="I45" s="1543" t="s">
        <v>19</v>
      </c>
      <c r="J45" s="1543" t="s">
        <v>1138</v>
      </c>
      <c r="K45" s="1605" t="s">
        <v>6359</v>
      </c>
      <c r="L45" s="2543">
        <v>300</v>
      </c>
      <c r="M45" s="2567" t="s">
        <v>5937</v>
      </c>
      <c r="N45" s="2568"/>
      <c r="O45" s="2591">
        <v>1</v>
      </c>
      <c r="Q45" s="1545">
        <v>290</v>
      </c>
      <c r="R45" s="1545">
        <v>290</v>
      </c>
      <c r="S45" s="1493">
        <f>Q45-R45</f>
        <v>0</v>
      </c>
    </row>
    <row r="46" spans="1:19" s="2150" customFormat="1" ht="71.25" customHeight="1">
      <c r="A46" s="2436">
        <v>10</v>
      </c>
      <c r="B46" s="1921" t="str">
        <f t="shared" si="3"/>
        <v>2400001092</v>
      </c>
      <c r="C46" s="1921" t="s">
        <v>3429</v>
      </c>
      <c r="D46" s="2222">
        <v>3000</v>
      </c>
      <c r="E46" s="2507" t="s">
        <v>6360</v>
      </c>
      <c r="F46" s="1921" t="s">
        <v>483</v>
      </c>
      <c r="G46" s="1921" t="s">
        <v>6361</v>
      </c>
      <c r="H46" s="1495" t="s">
        <v>6362</v>
      </c>
      <c r="I46" s="1921" t="s">
        <v>19</v>
      </c>
      <c r="J46" s="1921" t="s">
        <v>6363</v>
      </c>
      <c r="K46" s="2194" t="s">
        <v>6364</v>
      </c>
      <c r="L46" s="2337">
        <v>3000</v>
      </c>
      <c r="M46" s="2448" t="s">
        <v>5937</v>
      </c>
      <c r="N46" s="2571" t="s">
        <v>6365</v>
      </c>
      <c r="O46" s="2223">
        <v>1</v>
      </c>
      <c r="P46" s="1548" t="s">
        <v>6278</v>
      </c>
      <c r="Q46" s="1493">
        <v>3134</v>
      </c>
      <c r="R46" s="1493">
        <v>3134</v>
      </c>
      <c r="S46" s="1493">
        <f>Q46-R46</f>
        <v>0</v>
      </c>
    </row>
    <row r="47" spans="1:19" s="2122" customFormat="1" ht="58.5" customHeight="1">
      <c r="A47" s="3735">
        <v>11</v>
      </c>
      <c r="B47" s="2118" t="str">
        <f t="shared" si="3"/>
        <v>2400001108</v>
      </c>
      <c r="C47" s="2391" t="s">
        <v>6366</v>
      </c>
      <c r="D47" s="2322">
        <v>9226</v>
      </c>
      <c r="E47" s="2118" t="s">
        <v>6367</v>
      </c>
      <c r="F47" s="2391" t="s">
        <v>3095</v>
      </c>
      <c r="G47" s="2118" t="s">
        <v>6368</v>
      </c>
      <c r="H47" s="1851" t="s">
        <v>6362</v>
      </c>
      <c r="I47" s="2118" t="s">
        <v>19</v>
      </c>
      <c r="J47" s="2118" t="s">
        <v>6369</v>
      </c>
      <c r="K47" s="2402" t="s">
        <v>6370</v>
      </c>
      <c r="L47" s="2361">
        <v>9226</v>
      </c>
      <c r="M47" s="2118" t="s">
        <v>6371</v>
      </c>
      <c r="N47" s="2574"/>
      <c r="O47" s="2594">
        <v>1</v>
      </c>
      <c r="P47" s="1883" t="s">
        <v>6278</v>
      </c>
    </row>
    <row r="48" spans="1:19" s="1883" customFormat="1" ht="58.5" customHeight="1">
      <c r="A48" s="3736"/>
      <c r="B48" s="1495" t="str">
        <f t="shared" si="3"/>
        <v>2400001110</v>
      </c>
      <c r="C48" s="1493" t="s">
        <v>6372</v>
      </c>
      <c r="D48" s="2575"/>
      <c r="E48" s="1851"/>
      <c r="F48" s="1630"/>
      <c r="G48" s="1851"/>
      <c r="H48" s="1851"/>
      <c r="I48" s="1495" t="s">
        <v>19</v>
      </c>
      <c r="J48" s="1495" t="s">
        <v>6369</v>
      </c>
      <c r="K48" s="1843" t="s">
        <v>6373</v>
      </c>
      <c r="L48" s="2361"/>
      <c r="M48" s="1748" t="s">
        <v>6374</v>
      </c>
      <c r="N48" s="2576"/>
      <c r="O48" s="2223">
        <v>1</v>
      </c>
      <c r="P48" s="1883" t="s">
        <v>6278</v>
      </c>
    </row>
    <row r="49" spans="1:127" s="1883" customFormat="1" ht="58.5" customHeight="1">
      <c r="A49" s="3737"/>
      <c r="B49" s="1495" t="str">
        <f t="shared" si="3"/>
        <v>2400001121</v>
      </c>
      <c r="C49" s="1493" t="s">
        <v>6372</v>
      </c>
      <c r="D49" s="2575"/>
      <c r="E49" s="1851"/>
      <c r="F49" s="1630"/>
      <c r="G49" s="1851"/>
      <c r="H49" s="1851"/>
      <c r="I49" s="2320" t="s">
        <v>19</v>
      </c>
      <c r="J49" s="1495" t="s">
        <v>6369</v>
      </c>
      <c r="K49" s="1497" t="s">
        <v>6375</v>
      </c>
      <c r="L49" s="2361">
        <v>425</v>
      </c>
      <c r="M49" s="2447" t="s">
        <v>5937</v>
      </c>
      <c r="N49" s="2576"/>
      <c r="O49" s="2223">
        <v>1</v>
      </c>
      <c r="P49" s="1883" t="s">
        <v>6278</v>
      </c>
      <c r="Q49" s="1630">
        <v>473</v>
      </c>
      <c r="R49" s="1630">
        <v>473</v>
      </c>
      <c r="S49" s="1493">
        <f>Q49-R49</f>
        <v>0</v>
      </c>
    </row>
    <row r="50" spans="1:127" s="2150" customFormat="1" ht="58.5" customHeight="1">
      <c r="A50" s="3735">
        <v>12</v>
      </c>
      <c r="B50" s="1921" t="str">
        <f t="shared" si="3"/>
        <v>2400001104</v>
      </c>
      <c r="C50" s="1921" t="s">
        <v>6376</v>
      </c>
      <c r="D50" s="2569">
        <v>3950</v>
      </c>
      <c r="E50" s="2570" t="s">
        <v>6377</v>
      </c>
      <c r="F50" s="2120" t="s">
        <v>2260</v>
      </c>
      <c r="G50" s="1921" t="s">
        <v>6378</v>
      </c>
      <c r="H50" s="1495" t="s">
        <v>6362</v>
      </c>
      <c r="I50" s="2344" t="s">
        <v>19</v>
      </c>
      <c r="J50" s="2120" t="s">
        <v>6379</v>
      </c>
      <c r="K50" s="2161" t="s">
        <v>6380</v>
      </c>
      <c r="L50" s="2361">
        <v>1000</v>
      </c>
      <c r="M50" s="2447" t="s">
        <v>5937</v>
      </c>
      <c r="N50" s="2571"/>
      <c r="O50" s="2590">
        <v>1</v>
      </c>
      <c r="P50" s="1883" t="s">
        <v>6278</v>
      </c>
      <c r="Q50" s="1493">
        <v>680</v>
      </c>
      <c r="R50" s="1493">
        <v>680</v>
      </c>
      <c r="S50" s="1493">
        <f>Q50-R50</f>
        <v>0</v>
      </c>
    </row>
    <row r="51" spans="1:127" s="1548" customFormat="1" ht="58.5" customHeight="1">
      <c r="A51" s="3736"/>
      <c r="B51" s="1495" t="str">
        <f t="shared" si="3"/>
        <v>2400001105</v>
      </c>
      <c r="C51" s="1495" t="s">
        <v>6376</v>
      </c>
      <c r="D51" s="2572"/>
      <c r="E51" s="1947"/>
      <c r="F51" s="1872"/>
      <c r="G51" s="1495"/>
      <c r="H51" s="1947"/>
      <c r="I51" s="2320" t="s">
        <v>19</v>
      </c>
      <c r="J51" s="1872" t="s">
        <v>6379</v>
      </c>
      <c r="K51" s="1628" t="s">
        <v>6381</v>
      </c>
      <c r="L51" s="2361">
        <v>300</v>
      </c>
      <c r="M51" s="2448" t="s">
        <v>5937</v>
      </c>
      <c r="N51" s="2573"/>
      <c r="O51" s="2590">
        <v>1</v>
      </c>
      <c r="P51" s="1883" t="s">
        <v>6278</v>
      </c>
      <c r="Q51" s="1493">
        <v>295</v>
      </c>
      <c r="R51" s="1493">
        <v>295</v>
      </c>
      <c r="S51" s="1493">
        <f>Q51-R51</f>
        <v>0</v>
      </c>
    </row>
    <row r="52" spans="1:127" s="1548" customFormat="1" ht="58.5" customHeight="1">
      <c r="A52" s="3736"/>
      <c r="B52" s="1495" t="str">
        <f t="shared" si="3"/>
        <v>2400001101</v>
      </c>
      <c r="C52" s="1495" t="s">
        <v>6376</v>
      </c>
      <c r="D52" s="2572"/>
      <c r="E52" s="1947"/>
      <c r="F52" s="1872"/>
      <c r="G52" s="1495"/>
      <c r="H52" s="1947"/>
      <c r="I52" s="2320" t="s">
        <v>19</v>
      </c>
      <c r="J52" s="1872" t="s">
        <v>6379</v>
      </c>
      <c r="K52" s="1628" t="s">
        <v>6382</v>
      </c>
      <c r="L52" s="2361">
        <v>50</v>
      </c>
      <c r="M52" s="1974" t="s">
        <v>6383</v>
      </c>
      <c r="N52" s="2573"/>
      <c r="O52" s="2590">
        <v>1</v>
      </c>
      <c r="P52" s="1883" t="s">
        <v>6278</v>
      </c>
    </row>
    <row r="53" spans="1:127" s="1548" customFormat="1" ht="58.5" customHeight="1">
      <c r="A53" s="3736"/>
      <c r="B53" s="1495" t="str">
        <f t="shared" si="3"/>
        <v>2400001102</v>
      </c>
      <c r="C53" s="1495" t="s">
        <v>6376</v>
      </c>
      <c r="D53" s="2572"/>
      <c r="E53" s="1947"/>
      <c r="F53" s="1872"/>
      <c r="G53" s="1495"/>
      <c r="H53" s="1947"/>
      <c r="I53" s="2320" t="s">
        <v>19</v>
      </c>
      <c r="J53" s="1872" t="s">
        <v>6379</v>
      </c>
      <c r="K53" s="1628" t="s">
        <v>6384</v>
      </c>
      <c r="L53" s="2361">
        <v>1050</v>
      </c>
      <c r="M53" s="2448" t="s">
        <v>5937</v>
      </c>
      <c r="N53" s="2573"/>
      <c r="O53" s="2590">
        <v>1</v>
      </c>
      <c r="P53" s="1883" t="s">
        <v>6278</v>
      </c>
      <c r="Q53" s="1493">
        <v>1038</v>
      </c>
      <c r="R53" s="1493">
        <v>1038</v>
      </c>
      <c r="S53" s="1493">
        <f t="shared" ref="S53:S59" si="4">Q53-R53</f>
        <v>0</v>
      </c>
    </row>
    <row r="54" spans="1:127" s="1548" customFormat="1" ht="58.5" customHeight="1">
      <c r="A54" s="3736"/>
      <c r="B54" s="1495" t="str">
        <f t="shared" si="3"/>
        <v>2400001103</v>
      </c>
      <c r="C54" s="1495" t="s">
        <v>6376</v>
      </c>
      <c r="D54" s="2572"/>
      <c r="E54" s="1947"/>
      <c r="F54" s="1872"/>
      <c r="G54" s="1495"/>
      <c r="H54" s="1947"/>
      <c r="I54" s="2320" t="s">
        <v>19</v>
      </c>
      <c r="J54" s="1872" t="s">
        <v>6379</v>
      </c>
      <c r="K54" s="1628" t="s">
        <v>6385</v>
      </c>
      <c r="L54" s="2361">
        <v>1100</v>
      </c>
      <c r="M54" s="2448" t="s">
        <v>5937</v>
      </c>
      <c r="N54" s="2573"/>
      <c r="O54" s="2590">
        <v>1</v>
      </c>
      <c r="P54" s="1883" t="s">
        <v>6278</v>
      </c>
      <c r="Q54" s="1493">
        <v>1114</v>
      </c>
      <c r="R54" s="1493">
        <v>1114</v>
      </c>
      <c r="S54" s="1493">
        <f t="shared" si="4"/>
        <v>0</v>
      </c>
    </row>
    <row r="55" spans="1:127" s="1548" customFormat="1" ht="58.5" customHeight="1">
      <c r="A55" s="3736"/>
      <c r="B55" s="1495" t="str">
        <f t="shared" si="3"/>
        <v>2400001106</v>
      </c>
      <c r="C55" s="1495" t="s">
        <v>6376</v>
      </c>
      <c r="D55" s="2559"/>
      <c r="E55" s="1495"/>
      <c r="F55" s="1495"/>
      <c r="G55" s="1495"/>
      <c r="H55" s="1495"/>
      <c r="I55" s="1495" t="s">
        <v>19</v>
      </c>
      <c r="J55" s="1495" t="s">
        <v>6379</v>
      </c>
      <c r="K55" s="1496" t="s">
        <v>6386</v>
      </c>
      <c r="L55" s="2357">
        <v>750</v>
      </c>
      <c r="M55" s="2448" t="s">
        <v>6387</v>
      </c>
      <c r="N55" s="2573"/>
      <c r="O55" s="2590">
        <v>1</v>
      </c>
      <c r="P55" s="1883" t="s">
        <v>6278</v>
      </c>
      <c r="Q55" s="1493">
        <v>505</v>
      </c>
      <c r="R55" s="1493">
        <v>505</v>
      </c>
      <c r="S55" s="1493">
        <f t="shared" si="4"/>
        <v>0</v>
      </c>
    </row>
    <row r="56" spans="1:127" s="1548" customFormat="1" ht="58.5" customHeight="1">
      <c r="A56" s="3736"/>
      <c r="B56" s="1495" t="str">
        <f t="shared" si="3"/>
        <v>2400001107</v>
      </c>
      <c r="C56" s="1495" t="s">
        <v>6376</v>
      </c>
      <c r="D56" s="2572"/>
      <c r="E56" s="1947"/>
      <c r="F56" s="1872"/>
      <c r="G56" s="1851"/>
      <c r="H56" s="1947"/>
      <c r="I56" s="1495" t="s">
        <v>19</v>
      </c>
      <c r="J56" s="1495" t="s">
        <v>6379</v>
      </c>
      <c r="K56" s="1628" t="s">
        <v>6388</v>
      </c>
      <c r="L56" s="2361">
        <v>550</v>
      </c>
      <c r="M56" s="2448" t="s">
        <v>5937</v>
      </c>
      <c r="N56" s="1843" t="s">
        <v>6389</v>
      </c>
      <c r="O56" s="2590">
        <v>1</v>
      </c>
      <c r="P56" s="1883" t="s">
        <v>6278</v>
      </c>
      <c r="Q56" s="1493">
        <v>543</v>
      </c>
      <c r="R56" s="1493">
        <v>543</v>
      </c>
      <c r="S56" s="1493">
        <f t="shared" si="4"/>
        <v>0</v>
      </c>
    </row>
    <row r="57" spans="1:127" s="2150" customFormat="1" ht="79.5" customHeight="1">
      <c r="A57" s="2582">
        <v>13</v>
      </c>
      <c r="B57" s="2279" t="str">
        <f t="shared" si="3"/>
        <v>2000002787</v>
      </c>
      <c r="C57" s="2279" t="s">
        <v>2906</v>
      </c>
      <c r="D57" s="2569">
        <v>3500</v>
      </c>
      <c r="E57" s="2420" t="s">
        <v>6390</v>
      </c>
      <c r="F57" s="2120" t="s">
        <v>61</v>
      </c>
      <c r="G57" s="2118" t="s">
        <v>6391</v>
      </c>
      <c r="H57" s="2159" t="s">
        <v>6392</v>
      </c>
      <c r="I57" s="1921" t="s">
        <v>19</v>
      </c>
      <c r="J57" s="1921" t="s">
        <v>20</v>
      </c>
      <c r="K57" s="2161" t="s">
        <v>6393</v>
      </c>
      <c r="L57" s="2508">
        <v>3500</v>
      </c>
      <c r="M57" s="2448" t="s">
        <v>5937</v>
      </c>
      <c r="N57" s="1862" t="s">
        <v>6394</v>
      </c>
      <c r="O57" s="2595">
        <v>1</v>
      </c>
      <c r="Q57" s="1493">
        <v>6029</v>
      </c>
      <c r="R57" s="1493">
        <v>3494</v>
      </c>
      <c r="S57" s="1493">
        <f t="shared" si="4"/>
        <v>2535</v>
      </c>
    </row>
    <row r="58" spans="1:127" s="2150" customFormat="1" ht="58.5" customHeight="1">
      <c r="A58" s="3738">
        <v>14</v>
      </c>
      <c r="B58" s="2279" t="str">
        <f t="shared" si="3"/>
        <v>2000002791</v>
      </c>
      <c r="C58" s="2279" t="s">
        <v>82</v>
      </c>
      <c r="D58" s="2577">
        <v>4300</v>
      </c>
      <c r="E58" s="1921" t="s">
        <v>6390</v>
      </c>
      <c r="F58" s="2298" t="s">
        <v>84</v>
      </c>
      <c r="G58" s="2118" t="s">
        <v>6395</v>
      </c>
      <c r="H58" s="2159"/>
      <c r="I58" s="1921" t="s">
        <v>19</v>
      </c>
      <c r="J58" s="1921" t="s">
        <v>123</v>
      </c>
      <c r="K58" s="2161" t="s">
        <v>6396</v>
      </c>
      <c r="L58" s="2508">
        <v>3300</v>
      </c>
      <c r="M58" s="2448" t="s">
        <v>5937</v>
      </c>
      <c r="N58" s="1862" t="s">
        <v>6397</v>
      </c>
      <c r="O58" s="2595">
        <v>1</v>
      </c>
      <c r="Q58" s="1493">
        <v>5398</v>
      </c>
      <c r="R58" s="1493">
        <v>3249</v>
      </c>
      <c r="S58" s="1493">
        <f t="shared" si="4"/>
        <v>2149</v>
      </c>
    </row>
    <row r="59" spans="1:127" s="2150" customFormat="1" ht="71.25" customHeight="1">
      <c r="A59" s="3738"/>
      <c r="B59" s="1568" t="str">
        <f t="shared" si="3"/>
        <v>2000002792</v>
      </c>
      <c r="C59" s="1568" t="s">
        <v>82</v>
      </c>
      <c r="D59" s="2580"/>
      <c r="E59" s="1947"/>
      <c r="F59" s="1872" t="s">
        <v>84</v>
      </c>
      <c r="G59" s="1851"/>
      <c r="H59" s="1947"/>
      <c r="I59" s="1495" t="s">
        <v>19</v>
      </c>
      <c r="J59" s="1495" t="s">
        <v>123</v>
      </c>
      <c r="K59" s="1628" t="s">
        <v>6398</v>
      </c>
      <c r="L59" s="2361">
        <v>1000</v>
      </c>
      <c r="M59" s="2448" t="s">
        <v>6399</v>
      </c>
      <c r="N59" s="1843" t="s">
        <v>6400</v>
      </c>
      <c r="O59" s="2596">
        <v>1</v>
      </c>
      <c r="P59" s="1548"/>
      <c r="Q59" s="1493">
        <v>7743</v>
      </c>
      <c r="R59" s="1493">
        <v>995</v>
      </c>
      <c r="S59" s="1493">
        <f t="shared" si="4"/>
        <v>6748</v>
      </c>
      <c r="T59" s="1548"/>
      <c r="U59" s="1548"/>
      <c r="V59" s="1548"/>
      <c r="W59" s="1548"/>
      <c r="X59" s="1548"/>
      <c r="Y59" s="1548"/>
      <c r="Z59" s="1548"/>
      <c r="AA59" s="1548"/>
      <c r="AB59" s="1548"/>
      <c r="AC59" s="1548"/>
      <c r="AD59" s="1548"/>
      <c r="AE59" s="1548"/>
      <c r="AF59" s="1548"/>
      <c r="AG59" s="1548"/>
      <c r="AH59" s="1548"/>
      <c r="AI59" s="1548"/>
      <c r="AJ59" s="1548"/>
      <c r="AK59" s="1548"/>
      <c r="AL59" s="1548"/>
      <c r="AM59" s="1548"/>
      <c r="AN59" s="1548"/>
      <c r="AO59" s="1548"/>
      <c r="AP59" s="1548"/>
      <c r="AQ59" s="1548"/>
      <c r="AR59" s="1548"/>
      <c r="AS59" s="1548"/>
      <c r="AT59" s="1548"/>
      <c r="AU59" s="1548"/>
      <c r="AV59" s="1548"/>
      <c r="AW59" s="1548"/>
      <c r="AX59" s="1548"/>
      <c r="AY59" s="1548"/>
      <c r="AZ59" s="1548"/>
      <c r="BA59" s="1548"/>
      <c r="BB59" s="1548"/>
      <c r="BC59" s="1548"/>
      <c r="BD59" s="1548"/>
      <c r="BE59" s="1548"/>
      <c r="BF59" s="1548"/>
      <c r="BG59" s="1548"/>
      <c r="BH59" s="1548"/>
      <c r="BI59" s="1548"/>
      <c r="BJ59" s="1548"/>
      <c r="BK59" s="1548"/>
      <c r="BL59" s="1548"/>
      <c r="BM59" s="1548"/>
      <c r="BN59" s="1548"/>
      <c r="BO59" s="1548"/>
      <c r="BP59" s="1548"/>
      <c r="BQ59" s="1548"/>
      <c r="BR59" s="1548"/>
      <c r="BS59" s="1548"/>
      <c r="BT59" s="1548"/>
      <c r="BU59" s="1548"/>
      <c r="BV59" s="1548"/>
      <c r="BW59" s="1548"/>
      <c r="BX59" s="1548"/>
      <c r="BY59" s="1548"/>
      <c r="BZ59" s="1548"/>
      <c r="CA59" s="1548"/>
      <c r="CB59" s="1548"/>
      <c r="CC59" s="1548"/>
      <c r="CD59" s="1548"/>
      <c r="CE59" s="1548"/>
      <c r="CF59" s="1548"/>
      <c r="CG59" s="1548"/>
      <c r="CH59" s="1548"/>
      <c r="CI59" s="1548"/>
      <c r="CJ59" s="1548"/>
      <c r="CK59" s="1548"/>
      <c r="CL59" s="1548"/>
      <c r="CM59" s="1548"/>
      <c r="CN59" s="1548"/>
      <c r="CO59" s="1548"/>
      <c r="CP59" s="1548"/>
      <c r="CQ59" s="1548"/>
      <c r="CR59" s="1548"/>
      <c r="CS59" s="1548"/>
      <c r="CT59" s="1548"/>
      <c r="CU59" s="1548"/>
      <c r="CV59" s="1548"/>
      <c r="CW59" s="1548"/>
      <c r="CX59" s="1548"/>
      <c r="CY59" s="1548"/>
      <c r="CZ59" s="1548"/>
      <c r="DA59" s="1548"/>
      <c r="DB59" s="1548"/>
      <c r="DC59" s="1548"/>
      <c r="DD59" s="1548"/>
      <c r="DE59" s="1548"/>
      <c r="DF59" s="1548"/>
      <c r="DG59" s="1548"/>
      <c r="DH59" s="1548"/>
      <c r="DI59" s="1548"/>
      <c r="DJ59" s="1548"/>
      <c r="DK59" s="1548"/>
      <c r="DL59" s="1548"/>
      <c r="DM59" s="1548"/>
      <c r="DN59" s="1548"/>
      <c r="DO59" s="1548"/>
      <c r="DP59" s="1548"/>
      <c r="DQ59" s="1548"/>
      <c r="DR59" s="1548"/>
      <c r="DS59" s="1548"/>
      <c r="DT59" s="1548"/>
      <c r="DU59" s="1548"/>
      <c r="DV59" s="1548"/>
      <c r="DW59" s="1548"/>
    </row>
    <row r="60" spans="1:127" s="2150" customFormat="1" ht="63.75" customHeight="1">
      <c r="A60" s="3764" t="s">
        <v>6401</v>
      </c>
      <c r="B60" s="1921" t="str">
        <f t="shared" si="3"/>
        <v>2400001113</v>
      </c>
      <c r="C60" s="2563" t="s">
        <v>6402</v>
      </c>
      <c r="D60" s="2488">
        <v>13025</v>
      </c>
      <c r="E60" s="1921" t="s">
        <v>6403</v>
      </c>
      <c r="F60" s="1902" t="s">
        <v>25</v>
      </c>
      <c r="G60" s="1921" t="s">
        <v>6404</v>
      </c>
      <c r="H60" s="1495" t="s">
        <v>6405</v>
      </c>
      <c r="I60" s="1921" t="s">
        <v>19</v>
      </c>
      <c r="J60" s="1921" t="s">
        <v>267</v>
      </c>
      <c r="K60" s="1911" t="s">
        <v>6406</v>
      </c>
      <c r="L60" s="2583">
        <v>1000</v>
      </c>
      <c r="M60" s="1790" t="s">
        <v>6407</v>
      </c>
      <c r="N60" s="1775"/>
      <c r="O60" s="2597">
        <v>2</v>
      </c>
      <c r="P60" s="1883" t="s">
        <v>6278</v>
      </c>
    </row>
    <row r="61" spans="1:127" s="2150" customFormat="1" ht="63.75" customHeight="1">
      <c r="A61" s="3764"/>
      <c r="B61" s="1495" t="str">
        <f t="shared" si="3"/>
        <v>2400001114</v>
      </c>
      <c r="C61" s="1626" t="s">
        <v>6402</v>
      </c>
      <c r="D61" s="2325"/>
      <c r="E61" s="1495"/>
      <c r="F61" s="1493"/>
      <c r="G61" s="1495"/>
      <c r="H61" s="1495"/>
      <c r="I61" s="1495" t="s">
        <v>19</v>
      </c>
      <c r="J61" s="1495" t="s">
        <v>267</v>
      </c>
      <c r="K61" s="1547" t="s">
        <v>6408</v>
      </c>
      <c r="L61" s="2357"/>
      <c r="M61" s="1748" t="s">
        <v>6409</v>
      </c>
      <c r="N61" s="1859"/>
      <c r="O61" s="2597">
        <v>2</v>
      </c>
      <c r="P61" s="1883" t="s">
        <v>6278</v>
      </c>
      <c r="Q61" s="1548"/>
      <c r="R61" s="1548"/>
      <c r="S61" s="1548"/>
      <c r="T61" s="1548"/>
      <c r="U61" s="1548"/>
      <c r="V61" s="1548"/>
      <c r="W61" s="1548"/>
      <c r="X61" s="1548"/>
      <c r="Y61" s="1548"/>
      <c r="Z61" s="1548"/>
      <c r="AA61" s="1548"/>
      <c r="AB61" s="1548"/>
      <c r="AC61" s="1548"/>
      <c r="AD61" s="1548"/>
      <c r="AE61" s="1548"/>
      <c r="AF61" s="1548"/>
      <c r="AG61" s="1548"/>
      <c r="AH61" s="1548"/>
      <c r="AI61" s="1548"/>
      <c r="AJ61" s="1548"/>
      <c r="AK61" s="1548"/>
      <c r="AL61" s="1548"/>
      <c r="AM61" s="1548"/>
      <c r="AN61" s="1548"/>
      <c r="AO61" s="1548"/>
      <c r="AP61" s="1548"/>
      <c r="AQ61" s="1548"/>
      <c r="AR61" s="1548"/>
      <c r="AS61" s="1548"/>
      <c r="AT61" s="1548"/>
      <c r="AU61" s="1548"/>
      <c r="AV61" s="1548"/>
      <c r="AW61" s="1548"/>
      <c r="AX61" s="1548"/>
      <c r="AY61" s="1548"/>
      <c r="AZ61" s="1548"/>
      <c r="BA61" s="1548"/>
      <c r="BB61" s="1548"/>
      <c r="BC61" s="1548"/>
      <c r="BD61" s="1548"/>
      <c r="BE61" s="1548"/>
      <c r="BF61" s="1548"/>
      <c r="BG61" s="1548"/>
      <c r="BH61" s="1548"/>
      <c r="BI61" s="1548"/>
      <c r="BJ61" s="1548"/>
      <c r="BK61" s="1548"/>
      <c r="BL61" s="1548"/>
      <c r="BM61" s="1548"/>
      <c r="BN61" s="1548"/>
      <c r="BO61" s="1548"/>
      <c r="BP61" s="1548"/>
      <c r="BQ61" s="1548"/>
      <c r="BR61" s="1548"/>
      <c r="BS61" s="1548"/>
      <c r="BT61" s="1548"/>
      <c r="BU61" s="1548"/>
      <c r="BV61" s="1548"/>
      <c r="BW61" s="1548"/>
      <c r="BX61" s="1548"/>
      <c r="BY61" s="1548"/>
      <c r="BZ61" s="1548"/>
      <c r="CA61" s="1548"/>
      <c r="CB61" s="1548"/>
      <c r="CC61" s="1548"/>
      <c r="CD61" s="1548"/>
      <c r="CE61" s="1548"/>
      <c r="CF61" s="1548"/>
      <c r="CG61" s="1548"/>
      <c r="CH61" s="1548"/>
      <c r="CI61" s="1548"/>
      <c r="CJ61" s="1548"/>
      <c r="CK61" s="1548"/>
      <c r="CL61" s="1548"/>
      <c r="CM61" s="1548"/>
      <c r="CN61" s="1548"/>
      <c r="CO61" s="1548"/>
      <c r="CP61" s="1548"/>
      <c r="CQ61" s="1548"/>
      <c r="CR61" s="1548"/>
      <c r="CS61" s="1548"/>
      <c r="CT61" s="1548"/>
      <c r="CU61" s="1548"/>
      <c r="CV61" s="1548"/>
      <c r="CW61" s="1548"/>
      <c r="CX61" s="1548"/>
      <c r="CY61" s="1548"/>
      <c r="CZ61" s="1548"/>
      <c r="DA61" s="1548"/>
      <c r="DB61" s="1548"/>
      <c r="DC61" s="1548"/>
      <c r="DD61" s="1548"/>
      <c r="DE61" s="1548"/>
      <c r="DF61" s="1548"/>
      <c r="DG61" s="1548"/>
      <c r="DH61" s="1548"/>
      <c r="DI61" s="1548"/>
      <c r="DJ61" s="1548"/>
      <c r="DK61" s="1548"/>
      <c r="DL61" s="1548"/>
      <c r="DM61" s="1548"/>
      <c r="DN61" s="1548"/>
      <c r="DO61" s="1548"/>
      <c r="DP61" s="1548"/>
      <c r="DQ61" s="1548"/>
      <c r="DR61" s="1548"/>
      <c r="DS61" s="1548"/>
      <c r="DT61" s="1548"/>
      <c r="DU61" s="1548"/>
      <c r="DV61" s="1548"/>
      <c r="DW61" s="1548"/>
    </row>
    <row r="62" spans="1:127" s="2150" customFormat="1" ht="63.75" customHeight="1">
      <c r="A62" s="3764"/>
      <c r="B62" s="1495" t="str">
        <f t="shared" si="3"/>
        <v>2400001115</v>
      </c>
      <c r="C62" s="1626" t="s">
        <v>6402</v>
      </c>
      <c r="D62" s="2325"/>
      <c r="E62" s="1495"/>
      <c r="F62" s="1493"/>
      <c r="G62" s="1495"/>
      <c r="H62" s="1495"/>
      <c r="I62" s="1495" t="s">
        <v>19</v>
      </c>
      <c r="J62" s="1495" t="s">
        <v>267</v>
      </c>
      <c r="K62" s="1547" t="s">
        <v>6410</v>
      </c>
      <c r="L62" s="2357"/>
      <c r="M62" s="1748" t="s">
        <v>6411</v>
      </c>
      <c r="N62" s="1859"/>
      <c r="O62" s="2597">
        <v>2</v>
      </c>
      <c r="P62" s="1883" t="s">
        <v>6278</v>
      </c>
      <c r="Q62" s="1548"/>
      <c r="R62" s="1548"/>
      <c r="S62" s="1548"/>
      <c r="T62" s="1548"/>
      <c r="U62" s="1548"/>
      <c r="V62" s="1548"/>
      <c r="W62" s="1548"/>
      <c r="X62" s="1548"/>
      <c r="Y62" s="1548"/>
      <c r="Z62" s="1548"/>
      <c r="AA62" s="1548"/>
      <c r="AB62" s="1548"/>
      <c r="AC62" s="1548"/>
      <c r="AD62" s="1548"/>
      <c r="AE62" s="1548"/>
      <c r="AF62" s="1548"/>
      <c r="AG62" s="1548"/>
      <c r="AH62" s="1548"/>
      <c r="AI62" s="1548"/>
      <c r="AJ62" s="1548"/>
      <c r="AK62" s="1548"/>
      <c r="AL62" s="1548"/>
      <c r="AM62" s="1548"/>
      <c r="AN62" s="1548"/>
      <c r="AO62" s="1548"/>
      <c r="AP62" s="1548"/>
      <c r="AQ62" s="1548"/>
      <c r="AR62" s="1548"/>
      <c r="AS62" s="1548"/>
      <c r="AT62" s="1548"/>
      <c r="AU62" s="1548"/>
      <c r="AV62" s="1548"/>
      <c r="AW62" s="1548"/>
      <c r="AX62" s="1548"/>
      <c r="AY62" s="1548"/>
      <c r="AZ62" s="1548"/>
      <c r="BA62" s="1548"/>
      <c r="BB62" s="1548"/>
      <c r="BC62" s="1548"/>
      <c r="BD62" s="1548"/>
      <c r="BE62" s="1548"/>
      <c r="BF62" s="1548"/>
      <c r="BG62" s="1548"/>
      <c r="BH62" s="1548"/>
      <c r="BI62" s="1548"/>
      <c r="BJ62" s="1548"/>
      <c r="BK62" s="1548"/>
      <c r="BL62" s="1548"/>
      <c r="BM62" s="1548"/>
      <c r="BN62" s="1548"/>
      <c r="BO62" s="1548"/>
      <c r="BP62" s="1548"/>
      <c r="BQ62" s="1548"/>
      <c r="BR62" s="1548"/>
      <c r="BS62" s="1548"/>
      <c r="BT62" s="1548"/>
      <c r="BU62" s="1548"/>
      <c r="BV62" s="1548"/>
      <c r="BW62" s="1548"/>
      <c r="BX62" s="1548"/>
      <c r="BY62" s="1548"/>
      <c r="BZ62" s="1548"/>
      <c r="CA62" s="1548"/>
      <c r="CB62" s="1548"/>
      <c r="CC62" s="1548"/>
      <c r="CD62" s="1548"/>
      <c r="CE62" s="1548"/>
      <c r="CF62" s="1548"/>
      <c r="CG62" s="1548"/>
      <c r="CH62" s="1548"/>
      <c r="CI62" s="1548"/>
      <c r="CJ62" s="1548"/>
      <c r="CK62" s="1548"/>
      <c r="CL62" s="1548"/>
      <c r="CM62" s="1548"/>
      <c r="CN62" s="1548"/>
      <c r="CO62" s="1548"/>
      <c r="CP62" s="1548"/>
      <c r="CQ62" s="1548"/>
      <c r="CR62" s="1548"/>
      <c r="CS62" s="1548"/>
      <c r="CT62" s="1548"/>
      <c r="CU62" s="1548"/>
      <c r="CV62" s="1548"/>
      <c r="CW62" s="1548"/>
      <c r="CX62" s="1548"/>
      <c r="CY62" s="1548"/>
      <c r="CZ62" s="1548"/>
      <c r="DA62" s="1548"/>
      <c r="DB62" s="1548"/>
      <c r="DC62" s="1548"/>
      <c r="DD62" s="1548"/>
      <c r="DE62" s="1548"/>
      <c r="DF62" s="1548"/>
      <c r="DG62" s="1548"/>
      <c r="DH62" s="1548"/>
      <c r="DI62" s="1548"/>
      <c r="DJ62" s="1548"/>
      <c r="DK62" s="1548"/>
      <c r="DL62" s="1548"/>
      <c r="DM62" s="1548"/>
      <c r="DN62" s="1548"/>
      <c r="DO62" s="1548"/>
      <c r="DP62" s="1548"/>
      <c r="DQ62" s="1548"/>
      <c r="DR62" s="1548"/>
      <c r="DS62" s="1548"/>
      <c r="DT62" s="1548"/>
      <c r="DU62" s="1548"/>
      <c r="DV62" s="1548"/>
      <c r="DW62" s="1548"/>
    </row>
    <row r="63" spans="1:127" s="2150" customFormat="1" ht="63.75" customHeight="1">
      <c r="A63" s="3764"/>
      <c r="B63" s="1495" t="str">
        <f t="shared" si="3"/>
        <v>2400001118</v>
      </c>
      <c r="C63" s="1626" t="s">
        <v>6402</v>
      </c>
      <c r="D63" s="2325"/>
      <c r="E63" s="1495"/>
      <c r="F63" s="1493"/>
      <c r="G63" s="1495"/>
      <c r="H63" s="1495"/>
      <c r="I63" s="1495" t="s">
        <v>19</v>
      </c>
      <c r="J63" s="1495" t="s">
        <v>267</v>
      </c>
      <c r="K63" s="1547" t="s">
        <v>6412</v>
      </c>
      <c r="L63" s="2357"/>
      <c r="M63" s="2584" t="s">
        <v>5937</v>
      </c>
      <c r="N63" s="1843" t="s">
        <v>6389</v>
      </c>
      <c r="O63" s="2597">
        <v>1</v>
      </c>
      <c r="P63" s="1883" t="s">
        <v>6278</v>
      </c>
      <c r="Q63" s="1493">
        <v>142</v>
      </c>
      <c r="R63" s="1493">
        <v>142</v>
      </c>
      <c r="S63" s="1493">
        <f>Q63-R63</f>
        <v>0</v>
      </c>
      <c r="T63" s="1548"/>
      <c r="U63" s="1548"/>
      <c r="V63" s="1548"/>
      <c r="W63" s="1548"/>
      <c r="X63" s="1548"/>
      <c r="Y63" s="1548"/>
      <c r="Z63" s="1548"/>
      <c r="AA63" s="1548"/>
      <c r="AB63" s="1548"/>
      <c r="AC63" s="1548"/>
      <c r="AD63" s="1548"/>
      <c r="AE63" s="1548"/>
      <c r="AF63" s="1548"/>
      <c r="AG63" s="1548"/>
      <c r="AH63" s="1548"/>
      <c r="AI63" s="1548"/>
      <c r="AJ63" s="1548"/>
      <c r="AK63" s="1548"/>
      <c r="AL63" s="1548"/>
      <c r="AM63" s="1548"/>
      <c r="AN63" s="1548"/>
      <c r="AO63" s="1548"/>
      <c r="AP63" s="1548"/>
      <c r="AQ63" s="1548"/>
      <c r="AR63" s="1548"/>
      <c r="AS63" s="1548"/>
      <c r="AT63" s="1548"/>
      <c r="AU63" s="1548"/>
      <c r="AV63" s="1548"/>
      <c r="AW63" s="1548"/>
      <c r="AX63" s="1548"/>
      <c r="AY63" s="1548"/>
      <c r="AZ63" s="1548"/>
      <c r="BA63" s="1548"/>
      <c r="BB63" s="1548"/>
      <c r="BC63" s="1548"/>
      <c r="BD63" s="1548"/>
      <c r="BE63" s="1548"/>
      <c r="BF63" s="1548"/>
      <c r="BG63" s="1548"/>
      <c r="BH63" s="1548"/>
      <c r="BI63" s="1548"/>
      <c r="BJ63" s="1548"/>
      <c r="BK63" s="1548"/>
      <c r="BL63" s="1548"/>
      <c r="BM63" s="1548"/>
      <c r="BN63" s="1548"/>
      <c r="BO63" s="1548"/>
      <c r="BP63" s="1548"/>
      <c r="BQ63" s="1548"/>
      <c r="BR63" s="1548"/>
      <c r="BS63" s="1548"/>
      <c r="BT63" s="1548"/>
      <c r="BU63" s="1548"/>
      <c r="BV63" s="1548"/>
      <c r="BW63" s="1548"/>
      <c r="BX63" s="1548"/>
      <c r="BY63" s="1548"/>
      <c r="BZ63" s="1548"/>
      <c r="CA63" s="1548"/>
      <c r="CB63" s="1548"/>
      <c r="CC63" s="1548"/>
      <c r="CD63" s="1548"/>
      <c r="CE63" s="1548"/>
      <c r="CF63" s="1548"/>
      <c r="CG63" s="1548"/>
      <c r="CH63" s="1548"/>
      <c r="CI63" s="1548"/>
      <c r="CJ63" s="1548"/>
      <c r="CK63" s="1548"/>
      <c r="CL63" s="1548"/>
      <c r="CM63" s="1548"/>
      <c r="CN63" s="1548"/>
      <c r="CO63" s="1548"/>
      <c r="CP63" s="1548"/>
      <c r="CQ63" s="1548"/>
      <c r="CR63" s="1548"/>
      <c r="CS63" s="1548"/>
      <c r="CT63" s="1548"/>
      <c r="CU63" s="1548"/>
      <c r="CV63" s="1548"/>
      <c r="CW63" s="1548"/>
      <c r="CX63" s="1548"/>
      <c r="CY63" s="1548"/>
      <c r="CZ63" s="1548"/>
      <c r="DA63" s="1548"/>
      <c r="DB63" s="1548"/>
      <c r="DC63" s="1548"/>
      <c r="DD63" s="1548"/>
      <c r="DE63" s="1548"/>
      <c r="DF63" s="1548"/>
      <c r="DG63" s="1548"/>
      <c r="DH63" s="1548"/>
      <c r="DI63" s="1548"/>
      <c r="DJ63" s="1548"/>
      <c r="DK63" s="1548"/>
      <c r="DL63" s="1548"/>
      <c r="DM63" s="1548"/>
      <c r="DN63" s="1548"/>
      <c r="DO63" s="1548"/>
      <c r="DP63" s="1548"/>
      <c r="DQ63" s="1548"/>
      <c r="DR63" s="1548"/>
      <c r="DS63" s="1548"/>
      <c r="DT63" s="1548"/>
      <c r="DU63" s="1548"/>
      <c r="DV63" s="1548"/>
      <c r="DW63" s="1548"/>
    </row>
    <row r="64" spans="1:127" s="2150" customFormat="1" ht="63.75" customHeight="1">
      <c r="A64" s="3764"/>
      <c r="B64" s="1495" t="str">
        <f t="shared" si="3"/>
        <v>2400001119</v>
      </c>
      <c r="C64" s="1626" t="s">
        <v>6402</v>
      </c>
      <c r="D64" s="2325"/>
      <c r="E64" s="1495"/>
      <c r="F64" s="1493"/>
      <c r="G64" s="1495"/>
      <c r="H64" s="1495"/>
      <c r="I64" s="1495" t="s">
        <v>19</v>
      </c>
      <c r="J64" s="1495" t="s">
        <v>267</v>
      </c>
      <c r="K64" s="1547" t="s">
        <v>6413</v>
      </c>
      <c r="L64" s="2357">
        <v>145</v>
      </c>
      <c r="M64" s="2584" t="s">
        <v>5937</v>
      </c>
      <c r="N64" s="1843" t="s">
        <v>6389</v>
      </c>
      <c r="O64" s="2597">
        <v>1</v>
      </c>
      <c r="P64" s="1883" t="s">
        <v>6278</v>
      </c>
      <c r="Q64" s="1493">
        <v>147</v>
      </c>
      <c r="R64" s="1493">
        <v>147</v>
      </c>
      <c r="S64" s="1493">
        <f>Q64-R64</f>
        <v>0</v>
      </c>
      <c r="T64" s="1548"/>
      <c r="U64" s="1548"/>
      <c r="V64" s="1548"/>
      <c r="W64" s="1548"/>
      <c r="X64" s="1548"/>
      <c r="Y64" s="1548"/>
      <c r="Z64" s="1548"/>
      <c r="AA64" s="1548"/>
      <c r="AB64" s="1548"/>
      <c r="AC64" s="1548"/>
      <c r="AD64" s="1548"/>
      <c r="AE64" s="1548"/>
      <c r="AF64" s="1548"/>
      <c r="AG64" s="1548"/>
      <c r="AH64" s="1548"/>
      <c r="AI64" s="1548"/>
      <c r="AJ64" s="1548"/>
      <c r="AK64" s="1548"/>
      <c r="AL64" s="1548"/>
      <c r="AM64" s="1548"/>
      <c r="AN64" s="1548"/>
      <c r="AO64" s="1548"/>
      <c r="AP64" s="1548"/>
      <c r="AQ64" s="1548"/>
      <c r="AR64" s="1548"/>
      <c r="AS64" s="1548"/>
      <c r="AT64" s="1548"/>
      <c r="AU64" s="1548"/>
      <c r="AV64" s="1548"/>
      <c r="AW64" s="1548"/>
      <c r="AX64" s="1548"/>
      <c r="AY64" s="1548"/>
      <c r="AZ64" s="1548"/>
      <c r="BA64" s="1548"/>
      <c r="BB64" s="1548"/>
      <c r="BC64" s="1548"/>
      <c r="BD64" s="1548"/>
      <c r="BE64" s="1548"/>
      <c r="BF64" s="1548"/>
      <c r="BG64" s="1548"/>
      <c r="BH64" s="1548"/>
      <c r="BI64" s="1548"/>
      <c r="BJ64" s="1548"/>
      <c r="BK64" s="1548"/>
      <c r="BL64" s="1548"/>
      <c r="BM64" s="1548"/>
      <c r="BN64" s="1548"/>
      <c r="BO64" s="1548"/>
      <c r="BP64" s="1548"/>
      <c r="BQ64" s="1548"/>
      <c r="BR64" s="1548"/>
      <c r="BS64" s="1548"/>
      <c r="BT64" s="1548"/>
      <c r="BU64" s="1548"/>
      <c r="BV64" s="1548"/>
      <c r="BW64" s="1548"/>
      <c r="BX64" s="1548"/>
      <c r="BY64" s="1548"/>
      <c r="BZ64" s="1548"/>
      <c r="CA64" s="1548"/>
      <c r="CB64" s="1548"/>
      <c r="CC64" s="1548"/>
      <c r="CD64" s="1548"/>
      <c r="CE64" s="1548"/>
      <c r="CF64" s="1548"/>
      <c r="CG64" s="1548"/>
      <c r="CH64" s="1548"/>
      <c r="CI64" s="1548"/>
      <c r="CJ64" s="1548"/>
      <c r="CK64" s="1548"/>
      <c r="CL64" s="1548"/>
      <c r="CM64" s="1548"/>
      <c r="CN64" s="1548"/>
      <c r="CO64" s="1548"/>
      <c r="CP64" s="1548"/>
      <c r="CQ64" s="1548"/>
      <c r="CR64" s="1548"/>
      <c r="CS64" s="1548"/>
      <c r="CT64" s="1548"/>
      <c r="CU64" s="1548"/>
      <c r="CV64" s="1548"/>
      <c r="CW64" s="1548"/>
      <c r="CX64" s="1548"/>
      <c r="CY64" s="1548"/>
      <c r="CZ64" s="1548"/>
      <c r="DA64" s="1548"/>
      <c r="DB64" s="1548"/>
      <c r="DC64" s="1548"/>
      <c r="DD64" s="1548"/>
      <c r="DE64" s="1548"/>
      <c r="DF64" s="1548"/>
      <c r="DG64" s="1548"/>
      <c r="DH64" s="1548"/>
      <c r="DI64" s="1548"/>
      <c r="DJ64" s="1548"/>
      <c r="DK64" s="1548"/>
      <c r="DL64" s="1548"/>
      <c r="DM64" s="1548"/>
      <c r="DN64" s="1548"/>
      <c r="DO64" s="1548"/>
      <c r="DP64" s="1548"/>
      <c r="DQ64" s="1548"/>
      <c r="DR64" s="1548"/>
      <c r="DS64" s="1548"/>
      <c r="DT64" s="1548"/>
      <c r="DU64" s="1548"/>
      <c r="DV64" s="1548"/>
      <c r="DW64" s="1548"/>
    </row>
    <row r="65" spans="1:127" s="2150" customFormat="1" ht="63.75" customHeight="1">
      <c r="A65" s="3764"/>
      <c r="B65" s="1495" t="str">
        <f t="shared" si="3"/>
        <v>2400001120</v>
      </c>
      <c r="C65" s="1626" t="s">
        <v>6402</v>
      </c>
      <c r="D65" s="2325"/>
      <c r="E65" s="1495"/>
      <c r="F65" s="1493"/>
      <c r="G65" s="1495"/>
      <c r="H65" s="1495"/>
      <c r="I65" s="1495" t="s">
        <v>19</v>
      </c>
      <c r="J65" s="1495" t="s">
        <v>267</v>
      </c>
      <c r="K65" s="1547" t="s">
        <v>6414</v>
      </c>
      <c r="L65" s="2357">
        <v>45</v>
      </c>
      <c r="M65" s="2584" t="s">
        <v>5937</v>
      </c>
      <c r="N65" s="1843" t="s">
        <v>6389</v>
      </c>
      <c r="O65" s="2597">
        <v>1</v>
      </c>
      <c r="P65" s="1883" t="s">
        <v>6278</v>
      </c>
      <c r="Q65" s="1493">
        <v>42</v>
      </c>
      <c r="R65" s="1493">
        <v>42</v>
      </c>
      <c r="S65" s="1493">
        <f>Q65-R65</f>
        <v>0</v>
      </c>
      <c r="T65" s="1548"/>
      <c r="U65" s="1548"/>
      <c r="V65" s="1548"/>
      <c r="W65" s="1548"/>
      <c r="X65" s="1548"/>
      <c r="Y65" s="1548"/>
      <c r="Z65" s="1548"/>
      <c r="AA65" s="1548"/>
      <c r="AB65" s="1548"/>
      <c r="AC65" s="1548"/>
      <c r="AD65" s="1548"/>
      <c r="AE65" s="1548"/>
      <c r="AF65" s="1548"/>
      <c r="AG65" s="1548"/>
      <c r="AH65" s="1548"/>
      <c r="AI65" s="1548"/>
      <c r="AJ65" s="1548"/>
      <c r="AK65" s="1548"/>
      <c r="AL65" s="1548"/>
      <c r="AM65" s="1548"/>
      <c r="AN65" s="1548"/>
      <c r="AO65" s="1548"/>
      <c r="AP65" s="1548"/>
      <c r="AQ65" s="1548"/>
      <c r="AR65" s="1548"/>
      <c r="AS65" s="1548"/>
      <c r="AT65" s="1548"/>
      <c r="AU65" s="1548"/>
      <c r="AV65" s="1548"/>
      <c r="AW65" s="1548"/>
      <c r="AX65" s="1548"/>
      <c r="AY65" s="1548"/>
      <c r="AZ65" s="1548"/>
      <c r="BA65" s="1548"/>
      <c r="BB65" s="1548"/>
      <c r="BC65" s="1548"/>
      <c r="BD65" s="1548"/>
      <c r="BE65" s="1548"/>
      <c r="BF65" s="1548"/>
      <c r="BG65" s="1548"/>
      <c r="BH65" s="1548"/>
      <c r="BI65" s="1548"/>
      <c r="BJ65" s="1548"/>
      <c r="BK65" s="1548"/>
      <c r="BL65" s="1548"/>
      <c r="BM65" s="1548"/>
      <c r="BN65" s="1548"/>
      <c r="BO65" s="1548"/>
      <c r="BP65" s="1548"/>
      <c r="BQ65" s="1548"/>
      <c r="BR65" s="1548"/>
      <c r="BS65" s="1548"/>
      <c r="BT65" s="1548"/>
      <c r="BU65" s="1548"/>
      <c r="BV65" s="1548"/>
      <c r="BW65" s="1548"/>
      <c r="BX65" s="1548"/>
      <c r="BY65" s="1548"/>
      <c r="BZ65" s="1548"/>
      <c r="CA65" s="1548"/>
      <c r="CB65" s="1548"/>
      <c r="CC65" s="1548"/>
      <c r="CD65" s="1548"/>
      <c r="CE65" s="1548"/>
      <c r="CF65" s="1548"/>
      <c r="CG65" s="1548"/>
      <c r="CH65" s="1548"/>
      <c r="CI65" s="1548"/>
      <c r="CJ65" s="1548"/>
      <c r="CK65" s="1548"/>
      <c r="CL65" s="1548"/>
      <c r="CM65" s="1548"/>
      <c r="CN65" s="1548"/>
      <c r="CO65" s="1548"/>
      <c r="CP65" s="1548"/>
      <c r="CQ65" s="1548"/>
      <c r="CR65" s="1548"/>
      <c r="CS65" s="1548"/>
      <c r="CT65" s="1548"/>
      <c r="CU65" s="1548"/>
      <c r="CV65" s="1548"/>
      <c r="CW65" s="1548"/>
      <c r="CX65" s="1548"/>
      <c r="CY65" s="1548"/>
      <c r="CZ65" s="1548"/>
      <c r="DA65" s="1548"/>
      <c r="DB65" s="1548"/>
      <c r="DC65" s="1548"/>
      <c r="DD65" s="1548"/>
      <c r="DE65" s="1548"/>
      <c r="DF65" s="1548"/>
      <c r="DG65" s="1548"/>
      <c r="DH65" s="1548"/>
      <c r="DI65" s="1548"/>
      <c r="DJ65" s="1548"/>
      <c r="DK65" s="1548"/>
      <c r="DL65" s="1548"/>
      <c r="DM65" s="1548"/>
      <c r="DN65" s="1548"/>
      <c r="DO65" s="1548"/>
      <c r="DP65" s="1548"/>
      <c r="DQ65" s="1548"/>
      <c r="DR65" s="1548"/>
      <c r="DS65" s="1548"/>
      <c r="DT65" s="1548"/>
      <c r="DU65" s="1548"/>
      <c r="DV65" s="1548"/>
      <c r="DW65" s="1548"/>
    </row>
    <row r="66" spans="1:127" s="2150" customFormat="1" ht="63.75" customHeight="1">
      <c r="A66" s="3764"/>
      <c r="B66" s="1495" t="str">
        <f t="shared" si="3"/>
        <v>2400001111</v>
      </c>
      <c r="C66" s="1626" t="s">
        <v>6402</v>
      </c>
      <c r="D66" s="2325"/>
      <c r="E66" s="1495"/>
      <c r="F66" s="1493"/>
      <c r="G66" s="1495"/>
      <c r="H66" s="1495"/>
      <c r="I66" s="1495" t="s">
        <v>19</v>
      </c>
      <c r="J66" s="1495" t="s">
        <v>267</v>
      </c>
      <c r="K66" s="1547" t="s">
        <v>6415</v>
      </c>
      <c r="L66" s="2357">
        <v>300</v>
      </c>
      <c r="M66" s="1748" t="s">
        <v>6416</v>
      </c>
      <c r="N66" s="1859"/>
      <c r="O66" s="2597">
        <v>2</v>
      </c>
      <c r="P66" s="1883" t="s">
        <v>6278</v>
      </c>
      <c r="Q66" s="1548"/>
      <c r="R66" s="1548"/>
      <c r="S66" s="1548"/>
      <c r="T66" s="1548"/>
      <c r="U66" s="1548"/>
      <c r="V66" s="1548"/>
      <c r="W66" s="1548"/>
      <c r="X66" s="1548"/>
      <c r="Y66" s="1548"/>
      <c r="Z66" s="1548"/>
      <c r="AA66" s="1548"/>
      <c r="AB66" s="1548"/>
      <c r="AC66" s="1548"/>
      <c r="AD66" s="1548"/>
      <c r="AE66" s="1548"/>
      <c r="AF66" s="1548"/>
      <c r="AG66" s="1548"/>
      <c r="AH66" s="1548"/>
      <c r="AI66" s="1548"/>
      <c r="AJ66" s="1548"/>
      <c r="AK66" s="1548"/>
      <c r="AL66" s="1548"/>
      <c r="AM66" s="1548"/>
      <c r="AN66" s="1548"/>
      <c r="AO66" s="1548"/>
      <c r="AP66" s="1548"/>
      <c r="AQ66" s="1548"/>
      <c r="AR66" s="1548"/>
      <c r="AS66" s="1548"/>
      <c r="AT66" s="1548"/>
      <c r="AU66" s="1548"/>
      <c r="AV66" s="1548"/>
      <c r="AW66" s="1548"/>
      <c r="AX66" s="1548"/>
      <c r="AY66" s="1548"/>
      <c r="AZ66" s="1548"/>
      <c r="BA66" s="1548"/>
      <c r="BB66" s="1548"/>
      <c r="BC66" s="1548"/>
      <c r="BD66" s="1548"/>
      <c r="BE66" s="1548"/>
      <c r="BF66" s="1548"/>
      <c r="BG66" s="1548"/>
      <c r="BH66" s="1548"/>
      <c r="BI66" s="1548"/>
      <c r="BJ66" s="1548"/>
      <c r="BK66" s="1548"/>
      <c r="BL66" s="1548"/>
      <c r="BM66" s="1548"/>
      <c r="BN66" s="1548"/>
      <c r="BO66" s="1548"/>
      <c r="BP66" s="1548"/>
      <c r="BQ66" s="1548"/>
      <c r="BR66" s="1548"/>
      <c r="BS66" s="1548"/>
      <c r="BT66" s="1548"/>
      <c r="BU66" s="1548"/>
      <c r="BV66" s="1548"/>
      <c r="BW66" s="1548"/>
      <c r="BX66" s="1548"/>
      <c r="BY66" s="1548"/>
      <c r="BZ66" s="1548"/>
      <c r="CA66" s="1548"/>
      <c r="CB66" s="1548"/>
      <c r="CC66" s="1548"/>
      <c r="CD66" s="1548"/>
      <c r="CE66" s="1548"/>
      <c r="CF66" s="1548"/>
      <c r="CG66" s="1548"/>
      <c r="CH66" s="1548"/>
      <c r="CI66" s="1548"/>
      <c r="CJ66" s="1548"/>
      <c r="CK66" s="1548"/>
      <c r="CL66" s="1548"/>
      <c r="CM66" s="1548"/>
      <c r="CN66" s="1548"/>
      <c r="CO66" s="1548"/>
      <c r="CP66" s="1548"/>
      <c r="CQ66" s="1548"/>
      <c r="CR66" s="1548"/>
      <c r="CS66" s="1548"/>
      <c r="CT66" s="1548"/>
      <c r="CU66" s="1548"/>
      <c r="CV66" s="1548"/>
      <c r="CW66" s="1548"/>
      <c r="CX66" s="1548"/>
      <c r="CY66" s="1548"/>
      <c r="CZ66" s="1548"/>
      <c r="DA66" s="1548"/>
      <c r="DB66" s="1548"/>
      <c r="DC66" s="1548"/>
      <c r="DD66" s="1548"/>
      <c r="DE66" s="1548"/>
      <c r="DF66" s="1548"/>
      <c r="DG66" s="1548"/>
      <c r="DH66" s="1548"/>
      <c r="DI66" s="1548"/>
      <c r="DJ66" s="1548"/>
      <c r="DK66" s="1548"/>
      <c r="DL66" s="1548"/>
      <c r="DM66" s="1548"/>
      <c r="DN66" s="1548"/>
      <c r="DO66" s="1548"/>
      <c r="DP66" s="1548"/>
      <c r="DQ66" s="1548"/>
      <c r="DR66" s="1548"/>
      <c r="DS66" s="1548"/>
      <c r="DT66" s="1548"/>
      <c r="DU66" s="1548"/>
      <c r="DV66" s="1548"/>
      <c r="DW66" s="1548"/>
    </row>
    <row r="67" spans="1:127" s="2150" customFormat="1" ht="54.75" customHeight="1">
      <c r="A67" s="3764"/>
      <c r="B67" s="1495" t="str">
        <f t="shared" si="3"/>
        <v>2400001149</v>
      </c>
      <c r="C67" s="1626" t="s">
        <v>6402</v>
      </c>
      <c r="D67" s="2325"/>
      <c r="E67" s="1495"/>
      <c r="F67" s="1493"/>
      <c r="G67" s="1495"/>
      <c r="H67" s="1495"/>
      <c r="I67" s="1495" t="s">
        <v>19</v>
      </c>
      <c r="J67" s="1495" t="s">
        <v>267</v>
      </c>
      <c r="K67" s="1547" t="s">
        <v>6417</v>
      </c>
      <c r="L67" s="2357"/>
      <c r="M67" s="2584" t="s">
        <v>5937</v>
      </c>
      <c r="N67" s="1843" t="s">
        <v>6389</v>
      </c>
      <c r="O67" s="2597">
        <v>1</v>
      </c>
      <c r="P67" s="1883" t="s">
        <v>6278</v>
      </c>
      <c r="Q67" s="1493">
        <v>62</v>
      </c>
      <c r="R67" s="1493">
        <v>62</v>
      </c>
      <c r="S67" s="1493">
        <f>Q67-R67</f>
        <v>0</v>
      </c>
      <c r="T67" s="1548"/>
      <c r="U67" s="1548"/>
      <c r="V67" s="1548"/>
      <c r="W67" s="1548"/>
      <c r="X67" s="1548"/>
      <c r="Y67" s="1548"/>
      <c r="Z67" s="1548"/>
      <c r="AA67" s="1548"/>
      <c r="AB67" s="1548"/>
      <c r="AC67" s="1548"/>
      <c r="AD67" s="1548"/>
      <c r="AE67" s="1548"/>
      <c r="AF67" s="1548"/>
      <c r="AG67" s="1548"/>
      <c r="AH67" s="1548"/>
      <c r="AI67" s="1548"/>
      <c r="AJ67" s="1548"/>
      <c r="AK67" s="1548"/>
      <c r="AL67" s="1548"/>
      <c r="AM67" s="1548"/>
      <c r="AN67" s="1548"/>
      <c r="AO67" s="1548"/>
      <c r="AP67" s="1548"/>
      <c r="AQ67" s="1548"/>
      <c r="AR67" s="1548"/>
      <c r="AS67" s="1548"/>
      <c r="AT67" s="1548"/>
      <c r="AU67" s="1548"/>
      <c r="AV67" s="1548"/>
      <c r="AW67" s="1548"/>
      <c r="AX67" s="1548"/>
      <c r="AY67" s="1548"/>
      <c r="AZ67" s="1548"/>
      <c r="BA67" s="1548"/>
      <c r="BB67" s="1548"/>
      <c r="BC67" s="1548"/>
      <c r="BD67" s="1548"/>
      <c r="BE67" s="1548"/>
      <c r="BF67" s="1548"/>
      <c r="BG67" s="1548"/>
      <c r="BH67" s="1548"/>
      <c r="BI67" s="1548"/>
      <c r="BJ67" s="1548"/>
      <c r="BK67" s="1548"/>
      <c r="BL67" s="1548"/>
      <c r="BM67" s="1548"/>
      <c r="BN67" s="1548"/>
      <c r="BO67" s="1548"/>
      <c r="BP67" s="1548"/>
      <c r="BQ67" s="1548"/>
      <c r="BR67" s="1548"/>
      <c r="BS67" s="1548"/>
      <c r="BT67" s="1548"/>
      <c r="BU67" s="1548"/>
      <c r="BV67" s="1548"/>
      <c r="BW67" s="1548"/>
      <c r="BX67" s="1548"/>
      <c r="BY67" s="1548"/>
      <c r="BZ67" s="1548"/>
      <c r="CA67" s="1548"/>
      <c r="CB67" s="1548"/>
      <c r="CC67" s="1548"/>
      <c r="CD67" s="1548"/>
      <c r="CE67" s="1548"/>
      <c r="CF67" s="1548"/>
      <c r="CG67" s="1548"/>
      <c r="CH67" s="1548"/>
      <c r="CI67" s="1548"/>
      <c r="CJ67" s="1548"/>
      <c r="CK67" s="1548"/>
      <c r="CL67" s="1548"/>
      <c r="CM67" s="1548"/>
      <c r="CN67" s="1548"/>
      <c r="CO67" s="1548"/>
      <c r="CP67" s="1548"/>
      <c r="CQ67" s="1548"/>
      <c r="CR67" s="1548"/>
      <c r="CS67" s="1548"/>
      <c r="CT67" s="1548"/>
      <c r="CU67" s="1548"/>
      <c r="CV67" s="1548"/>
      <c r="CW67" s="1548"/>
      <c r="CX67" s="1548"/>
      <c r="CY67" s="1548"/>
      <c r="CZ67" s="1548"/>
      <c r="DA67" s="1548"/>
      <c r="DB67" s="1548"/>
      <c r="DC67" s="1548"/>
      <c r="DD67" s="1548"/>
      <c r="DE67" s="1548"/>
      <c r="DF67" s="1548"/>
      <c r="DG67" s="1548"/>
      <c r="DH67" s="1548"/>
      <c r="DI67" s="1548"/>
      <c r="DJ67" s="1548"/>
      <c r="DK67" s="1548"/>
      <c r="DL67" s="1548"/>
      <c r="DM67" s="1548"/>
      <c r="DN67" s="1548"/>
      <c r="DO67" s="1548"/>
      <c r="DP67" s="1548"/>
      <c r="DQ67" s="1548"/>
      <c r="DR67" s="1548"/>
      <c r="DS67" s="1548"/>
      <c r="DT67" s="1548"/>
      <c r="DU67" s="1548"/>
      <c r="DV67" s="1548"/>
      <c r="DW67" s="1548"/>
    </row>
    <row r="68" spans="1:127" s="2150" customFormat="1" ht="54.75" customHeight="1">
      <c r="A68" s="3764"/>
      <c r="B68" s="1495" t="str">
        <f t="shared" si="3"/>
        <v>2400001122</v>
      </c>
      <c r="C68" s="1626" t="s">
        <v>6402</v>
      </c>
      <c r="D68" s="2325"/>
      <c r="E68" s="1495"/>
      <c r="F68" s="1493"/>
      <c r="G68" s="1495"/>
      <c r="H68" s="1495"/>
      <c r="I68" s="1495" t="s">
        <v>19</v>
      </c>
      <c r="J68" s="1495" t="s">
        <v>267</v>
      </c>
      <c r="K68" s="1547" t="s">
        <v>6418</v>
      </c>
      <c r="L68" s="2357">
        <v>475</v>
      </c>
      <c r="M68" s="1790" t="s">
        <v>6419</v>
      </c>
      <c r="N68" s="1859"/>
      <c r="O68" s="2597">
        <v>2</v>
      </c>
      <c r="P68" s="1883" t="s">
        <v>6278</v>
      </c>
      <c r="Q68" s="1548"/>
      <c r="R68" s="1548"/>
      <c r="S68" s="1548"/>
      <c r="T68" s="1548"/>
      <c r="U68" s="1548"/>
      <c r="V68" s="1548"/>
      <c r="W68" s="1548"/>
      <c r="X68" s="1548"/>
      <c r="Y68" s="1548"/>
      <c r="Z68" s="1548"/>
      <c r="AA68" s="1548"/>
      <c r="AB68" s="1548"/>
      <c r="AC68" s="1548"/>
      <c r="AD68" s="1548"/>
      <c r="AE68" s="1548"/>
      <c r="AF68" s="1548"/>
      <c r="AG68" s="1548"/>
      <c r="AH68" s="1548"/>
      <c r="AI68" s="1548"/>
      <c r="AJ68" s="1548"/>
      <c r="AK68" s="1548"/>
      <c r="AL68" s="1548"/>
      <c r="AM68" s="1548"/>
      <c r="AN68" s="1548"/>
      <c r="AO68" s="1548"/>
      <c r="AP68" s="1548"/>
      <c r="AQ68" s="1548"/>
      <c r="AR68" s="1548"/>
      <c r="AS68" s="1548"/>
      <c r="AT68" s="1548"/>
      <c r="AU68" s="1548"/>
      <c r="AV68" s="1548"/>
      <c r="AW68" s="1548"/>
      <c r="AX68" s="1548"/>
      <c r="AY68" s="1548"/>
      <c r="AZ68" s="1548"/>
      <c r="BA68" s="1548"/>
      <c r="BB68" s="1548"/>
      <c r="BC68" s="1548"/>
      <c r="BD68" s="1548"/>
      <c r="BE68" s="1548"/>
      <c r="BF68" s="1548"/>
      <c r="BG68" s="1548"/>
      <c r="BH68" s="1548"/>
      <c r="BI68" s="1548"/>
      <c r="BJ68" s="1548"/>
      <c r="BK68" s="1548"/>
      <c r="BL68" s="1548"/>
      <c r="BM68" s="1548"/>
      <c r="BN68" s="1548"/>
      <c r="BO68" s="1548"/>
      <c r="BP68" s="1548"/>
      <c r="BQ68" s="1548"/>
      <c r="BR68" s="1548"/>
      <c r="BS68" s="1548"/>
      <c r="BT68" s="1548"/>
      <c r="BU68" s="1548"/>
      <c r="BV68" s="1548"/>
      <c r="BW68" s="1548"/>
      <c r="BX68" s="1548"/>
      <c r="BY68" s="1548"/>
      <c r="BZ68" s="1548"/>
      <c r="CA68" s="1548"/>
      <c r="CB68" s="1548"/>
      <c r="CC68" s="1548"/>
      <c r="CD68" s="1548"/>
      <c r="CE68" s="1548"/>
      <c r="CF68" s="1548"/>
      <c r="CG68" s="1548"/>
      <c r="CH68" s="1548"/>
      <c r="CI68" s="1548"/>
      <c r="CJ68" s="1548"/>
      <c r="CK68" s="1548"/>
      <c r="CL68" s="1548"/>
      <c r="CM68" s="1548"/>
      <c r="CN68" s="1548"/>
      <c r="CO68" s="1548"/>
      <c r="CP68" s="1548"/>
      <c r="CQ68" s="1548"/>
      <c r="CR68" s="1548"/>
      <c r="CS68" s="1548"/>
      <c r="CT68" s="1548"/>
      <c r="CU68" s="1548"/>
      <c r="CV68" s="1548"/>
      <c r="CW68" s="1548"/>
      <c r="CX68" s="1548"/>
      <c r="CY68" s="1548"/>
      <c r="CZ68" s="1548"/>
      <c r="DA68" s="1548"/>
      <c r="DB68" s="1548"/>
      <c r="DC68" s="1548"/>
      <c r="DD68" s="1548"/>
      <c r="DE68" s="1548"/>
      <c r="DF68" s="1548"/>
      <c r="DG68" s="1548"/>
      <c r="DH68" s="1548"/>
      <c r="DI68" s="1548"/>
      <c r="DJ68" s="1548"/>
      <c r="DK68" s="1548"/>
      <c r="DL68" s="1548"/>
      <c r="DM68" s="1548"/>
      <c r="DN68" s="1548"/>
      <c r="DO68" s="1548"/>
      <c r="DP68" s="1548"/>
      <c r="DQ68" s="1548"/>
      <c r="DR68" s="1548"/>
      <c r="DS68" s="1548"/>
      <c r="DT68" s="1548"/>
      <c r="DU68" s="1548"/>
      <c r="DV68" s="1548"/>
      <c r="DW68" s="1548"/>
    </row>
    <row r="69" spans="1:127" s="2150" customFormat="1" ht="54.75" customHeight="1">
      <c r="A69" s="3764"/>
      <c r="B69" s="1495" t="str">
        <f t="shared" si="3"/>
        <v>2400001123</v>
      </c>
      <c r="C69" s="1626" t="s">
        <v>6402</v>
      </c>
      <c r="D69" s="2325"/>
      <c r="E69" s="1495"/>
      <c r="F69" s="1493"/>
      <c r="G69" s="1495"/>
      <c r="H69" s="1495"/>
      <c r="I69" s="1495" t="s">
        <v>19</v>
      </c>
      <c r="J69" s="1495" t="s">
        <v>267</v>
      </c>
      <c r="K69" s="1547" t="s">
        <v>6420</v>
      </c>
      <c r="L69" s="2357">
        <v>475</v>
      </c>
      <c r="M69" s="1790" t="s">
        <v>6421</v>
      </c>
      <c r="N69" s="1859"/>
      <c r="O69" s="2597">
        <v>2</v>
      </c>
      <c r="P69" s="1883" t="s">
        <v>6278</v>
      </c>
      <c r="Q69" s="1548"/>
      <c r="R69" s="1548"/>
      <c r="S69" s="1548"/>
      <c r="T69" s="1548"/>
      <c r="U69" s="1548"/>
      <c r="V69" s="1548"/>
      <c r="W69" s="1548"/>
      <c r="X69" s="1548"/>
      <c r="Y69" s="1548"/>
      <c r="Z69" s="1548"/>
      <c r="AA69" s="1548"/>
      <c r="AB69" s="1548"/>
      <c r="AC69" s="1548"/>
      <c r="AD69" s="1548"/>
      <c r="AE69" s="1548"/>
      <c r="AF69" s="1548"/>
      <c r="AG69" s="1548"/>
      <c r="AH69" s="1548"/>
      <c r="AI69" s="1548"/>
      <c r="AJ69" s="1548"/>
      <c r="AK69" s="1548"/>
      <c r="AL69" s="1548"/>
      <c r="AM69" s="1548"/>
      <c r="AN69" s="1548"/>
      <c r="AO69" s="1548"/>
      <c r="AP69" s="1548"/>
      <c r="AQ69" s="1548"/>
      <c r="AR69" s="1548"/>
      <c r="AS69" s="1548"/>
      <c r="AT69" s="1548"/>
      <c r="AU69" s="1548"/>
      <c r="AV69" s="1548"/>
      <c r="AW69" s="1548"/>
      <c r="AX69" s="1548"/>
      <c r="AY69" s="1548"/>
      <c r="AZ69" s="1548"/>
      <c r="BA69" s="1548"/>
      <c r="BB69" s="1548"/>
      <c r="BC69" s="1548"/>
      <c r="BD69" s="1548"/>
      <c r="BE69" s="1548"/>
      <c r="BF69" s="1548"/>
      <c r="BG69" s="1548"/>
      <c r="BH69" s="1548"/>
      <c r="BI69" s="1548"/>
      <c r="BJ69" s="1548"/>
      <c r="BK69" s="1548"/>
      <c r="BL69" s="1548"/>
      <c r="BM69" s="1548"/>
      <c r="BN69" s="1548"/>
      <c r="BO69" s="1548"/>
      <c r="BP69" s="1548"/>
      <c r="BQ69" s="1548"/>
      <c r="BR69" s="1548"/>
      <c r="BS69" s="1548"/>
      <c r="BT69" s="1548"/>
      <c r="BU69" s="1548"/>
      <c r="BV69" s="1548"/>
      <c r="BW69" s="1548"/>
      <c r="BX69" s="1548"/>
      <c r="BY69" s="1548"/>
      <c r="BZ69" s="1548"/>
      <c r="CA69" s="1548"/>
      <c r="CB69" s="1548"/>
      <c r="CC69" s="1548"/>
      <c r="CD69" s="1548"/>
      <c r="CE69" s="1548"/>
      <c r="CF69" s="1548"/>
      <c r="CG69" s="1548"/>
      <c r="CH69" s="1548"/>
      <c r="CI69" s="1548"/>
      <c r="CJ69" s="1548"/>
      <c r="CK69" s="1548"/>
      <c r="CL69" s="1548"/>
      <c r="CM69" s="1548"/>
      <c r="CN69" s="1548"/>
      <c r="CO69" s="1548"/>
      <c r="CP69" s="1548"/>
      <c r="CQ69" s="1548"/>
      <c r="CR69" s="1548"/>
      <c r="CS69" s="1548"/>
      <c r="CT69" s="1548"/>
      <c r="CU69" s="1548"/>
      <c r="CV69" s="1548"/>
      <c r="CW69" s="1548"/>
      <c r="CX69" s="1548"/>
      <c r="CY69" s="1548"/>
      <c r="CZ69" s="1548"/>
      <c r="DA69" s="1548"/>
      <c r="DB69" s="1548"/>
      <c r="DC69" s="1548"/>
      <c r="DD69" s="1548"/>
      <c r="DE69" s="1548"/>
      <c r="DF69" s="1548"/>
      <c r="DG69" s="1548"/>
      <c r="DH69" s="1548"/>
      <c r="DI69" s="1548"/>
      <c r="DJ69" s="1548"/>
      <c r="DK69" s="1548"/>
      <c r="DL69" s="1548"/>
      <c r="DM69" s="1548"/>
      <c r="DN69" s="1548"/>
      <c r="DO69" s="1548"/>
      <c r="DP69" s="1548"/>
      <c r="DQ69" s="1548"/>
      <c r="DR69" s="1548"/>
      <c r="DS69" s="1548"/>
      <c r="DT69" s="1548"/>
      <c r="DU69" s="1548"/>
      <c r="DV69" s="1548"/>
      <c r="DW69" s="1548"/>
    </row>
    <row r="70" spans="1:127" s="2150" customFormat="1" ht="54.75" customHeight="1">
      <c r="A70" s="3764"/>
      <c r="B70" s="1495" t="str">
        <f t="shared" si="3"/>
        <v>2400001124</v>
      </c>
      <c r="C70" s="1626" t="s">
        <v>6402</v>
      </c>
      <c r="D70" s="2325"/>
      <c r="E70" s="1495"/>
      <c r="F70" s="1493"/>
      <c r="G70" s="1495"/>
      <c r="H70" s="1495"/>
      <c r="I70" s="1495" t="s">
        <v>19</v>
      </c>
      <c r="J70" s="1495" t="s">
        <v>267</v>
      </c>
      <c r="K70" s="1547" t="s">
        <v>6422</v>
      </c>
      <c r="L70" s="2357">
        <v>125</v>
      </c>
      <c r="M70" s="2584" t="s">
        <v>5937</v>
      </c>
      <c r="N70" s="1843" t="s">
        <v>6389</v>
      </c>
      <c r="O70" s="2597">
        <v>1</v>
      </c>
      <c r="P70" s="1883" t="s">
        <v>6278</v>
      </c>
      <c r="Q70" s="1493">
        <v>121</v>
      </c>
      <c r="R70" s="1493">
        <v>121</v>
      </c>
      <c r="S70" s="1493">
        <f>Q70-R70</f>
        <v>0</v>
      </c>
      <c r="T70" s="1548"/>
      <c r="U70" s="1548"/>
      <c r="V70" s="1548"/>
      <c r="W70" s="1548"/>
      <c r="X70" s="1548"/>
      <c r="Y70" s="1548"/>
      <c r="Z70" s="1548"/>
      <c r="AA70" s="1548"/>
      <c r="AB70" s="1548"/>
      <c r="AC70" s="1548"/>
      <c r="AD70" s="1548"/>
      <c r="AE70" s="1548"/>
      <c r="AF70" s="1548"/>
      <c r="AG70" s="1548"/>
      <c r="AH70" s="1548"/>
      <c r="AI70" s="1548"/>
      <c r="AJ70" s="1548"/>
      <c r="AK70" s="1548"/>
      <c r="AL70" s="1548"/>
      <c r="AM70" s="1548"/>
      <c r="AN70" s="1548"/>
      <c r="AO70" s="1548"/>
      <c r="AP70" s="1548"/>
      <c r="AQ70" s="1548"/>
      <c r="AR70" s="1548"/>
      <c r="AS70" s="1548"/>
      <c r="AT70" s="1548"/>
      <c r="AU70" s="1548"/>
      <c r="AV70" s="1548"/>
      <c r="AW70" s="1548"/>
      <c r="AX70" s="1548"/>
      <c r="AY70" s="1548"/>
      <c r="AZ70" s="1548"/>
      <c r="BA70" s="1548"/>
      <c r="BB70" s="1548"/>
      <c r="BC70" s="1548"/>
      <c r="BD70" s="1548"/>
      <c r="BE70" s="1548"/>
      <c r="BF70" s="1548"/>
      <c r="BG70" s="1548"/>
      <c r="BH70" s="1548"/>
      <c r="BI70" s="1548"/>
      <c r="BJ70" s="1548"/>
      <c r="BK70" s="1548"/>
      <c r="BL70" s="1548"/>
      <c r="BM70" s="1548"/>
      <c r="BN70" s="1548"/>
      <c r="BO70" s="1548"/>
      <c r="BP70" s="1548"/>
      <c r="BQ70" s="1548"/>
      <c r="BR70" s="1548"/>
      <c r="BS70" s="1548"/>
      <c r="BT70" s="1548"/>
      <c r="BU70" s="1548"/>
      <c r="BV70" s="1548"/>
      <c r="BW70" s="1548"/>
      <c r="BX70" s="1548"/>
      <c r="BY70" s="1548"/>
      <c r="BZ70" s="1548"/>
      <c r="CA70" s="1548"/>
      <c r="CB70" s="1548"/>
      <c r="CC70" s="1548"/>
      <c r="CD70" s="1548"/>
      <c r="CE70" s="1548"/>
      <c r="CF70" s="1548"/>
      <c r="CG70" s="1548"/>
      <c r="CH70" s="1548"/>
      <c r="CI70" s="1548"/>
      <c r="CJ70" s="1548"/>
      <c r="CK70" s="1548"/>
      <c r="CL70" s="1548"/>
      <c r="CM70" s="1548"/>
      <c r="CN70" s="1548"/>
      <c r="CO70" s="1548"/>
      <c r="CP70" s="1548"/>
      <c r="CQ70" s="1548"/>
      <c r="CR70" s="1548"/>
      <c r="CS70" s="1548"/>
      <c r="CT70" s="1548"/>
      <c r="CU70" s="1548"/>
      <c r="CV70" s="1548"/>
      <c r="CW70" s="1548"/>
      <c r="CX70" s="1548"/>
      <c r="CY70" s="1548"/>
      <c r="CZ70" s="1548"/>
      <c r="DA70" s="1548"/>
      <c r="DB70" s="1548"/>
      <c r="DC70" s="1548"/>
      <c r="DD70" s="1548"/>
      <c r="DE70" s="1548"/>
      <c r="DF70" s="1548"/>
      <c r="DG70" s="1548"/>
      <c r="DH70" s="1548"/>
      <c r="DI70" s="1548"/>
      <c r="DJ70" s="1548"/>
      <c r="DK70" s="1548"/>
      <c r="DL70" s="1548"/>
      <c r="DM70" s="1548"/>
      <c r="DN70" s="1548"/>
      <c r="DO70" s="1548"/>
      <c r="DP70" s="1548"/>
      <c r="DQ70" s="1548"/>
      <c r="DR70" s="1548"/>
      <c r="DS70" s="1548"/>
      <c r="DT70" s="1548"/>
      <c r="DU70" s="1548"/>
      <c r="DV70" s="1548"/>
      <c r="DW70" s="1548"/>
    </row>
    <row r="71" spans="1:127" s="2150" customFormat="1" ht="54.75" customHeight="1">
      <c r="A71" s="3764"/>
      <c r="B71" s="1495" t="str">
        <f t="shared" si="3"/>
        <v>2400001125</v>
      </c>
      <c r="C71" s="1626" t="s">
        <v>6402</v>
      </c>
      <c r="D71" s="2325"/>
      <c r="E71" s="1495"/>
      <c r="F71" s="1493"/>
      <c r="G71" s="1495"/>
      <c r="H71" s="1495"/>
      <c r="I71" s="1495" t="s">
        <v>19</v>
      </c>
      <c r="J71" s="1495" t="s">
        <v>267</v>
      </c>
      <c r="K71" s="1547" t="s">
        <v>6423</v>
      </c>
      <c r="L71" s="2357">
        <v>50</v>
      </c>
      <c r="M71" s="2584" t="s">
        <v>5937</v>
      </c>
      <c r="N71" s="1843" t="s">
        <v>6389</v>
      </c>
      <c r="O71" s="2597">
        <v>1</v>
      </c>
      <c r="P71" s="1883" t="s">
        <v>6278</v>
      </c>
      <c r="Q71" s="1493">
        <v>47</v>
      </c>
      <c r="R71" s="1493">
        <v>47</v>
      </c>
      <c r="S71" s="1493">
        <f>Q71-R71</f>
        <v>0</v>
      </c>
      <c r="T71" s="1548"/>
      <c r="U71" s="1548"/>
      <c r="V71" s="1548"/>
      <c r="W71" s="1548"/>
      <c r="X71" s="1548"/>
      <c r="Y71" s="1548"/>
      <c r="Z71" s="1548"/>
      <c r="AA71" s="1548"/>
      <c r="AB71" s="1548"/>
      <c r="AC71" s="1548"/>
      <c r="AD71" s="1548"/>
      <c r="AE71" s="1548"/>
      <c r="AF71" s="1548"/>
      <c r="AG71" s="1548"/>
      <c r="AH71" s="1548"/>
      <c r="AI71" s="1548"/>
      <c r="AJ71" s="1548"/>
      <c r="AK71" s="1548"/>
      <c r="AL71" s="1548"/>
      <c r="AM71" s="1548"/>
      <c r="AN71" s="1548"/>
      <c r="AO71" s="1548"/>
      <c r="AP71" s="1548"/>
      <c r="AQ71" s="1548"/>
      <c r="AR71" s="1548"/>
      <c r="AS71" s="1548"/>
      <c r="AT71" s="1548"/>
      <c r="AU71" s="1548"/>
      <c r="AV71" s="1548"/>
      <c r="AW71" s="1548"/>
      <c r="AX71" s="1548"/>
      <c r="AY71" s="1548"/>
      <c r="AZ71" s="1548"/>
      <c r="BA71" s="1548"/>
      <c r="BB71" s="1548"/>
      <c r="BC71" s="1548"/>
      <c r="BD71" s="1548"/>
      <c r="BE71" s="1548"/>
      <c r="BF71" s="1548"/>
      <c r="BG71" s="1548"/>
      <c r="BH71" s="1548"/>
      <c r="BI71" s="1548"/>
      <c r="BJ71" s="1548"/>
      <c r="BK71" s="1548"/>
      <c r="BL71" s="1548"/>
      <c r="BM71" s="1548"/>
      <c r="BN71" s="1548"/>
      <c r="BO71" s="1548"/>
      <c r="BP71" s="1548"/>
      <c r="BQ71" s="1548"/>
      <c r="BR71" s="1548"/>
      <c r="BS71" s="1548"/>
      <c r="BT71" s="1548"/>
      <c r="BU71" s="1548"/>
      <c r="BV71" s="1548"/>
      <c r="BW71" s="1548"/>
      <c r="BX71" s="1548"/>
      <c r="BY71" s="1548"/>
      <c r="BZ71" s="1548"/>
      <c r="CA71" s="1548"/>
      <c r="CB71" s="1548"/>
      <c r="CC71" s="1548"/>
      <c r="CD71" s="1548"/>
      <c r="CE71" s="1548"/>
      <c r="CF71" s="1548"/>
      <c r="CG71" s="1548"/>
      <c r="CH71" s="1548"/>
      <c r="CI71" s="1548"/>
      <c r="CJ71" s="1548"/>
      <c r="CK71" s="1548"/>
      <c r="CL71" s="1548"/>
      <c r="CM71" s="1548"/>
      <c r="CN71" s="1548"/>
      <c r="CO71" s="1548"/>
      <c r="CP71" s="1548"/>
      <c r="CQ71" s="1548"/>
      <c r="CR71" s="1548"/>
      <c r="CS71" s="1548"/>
      <c r="CT71" s="1548"/>
      <c r="CU71" s="1548"/>
      <c r="CV71" s="1548"/>
      <c r="CW71" s="1548"/>
      <c r="CX71" s="1548"/>
      <c r="CY71" s="1548"/>
      <c r="CZ71" s="1548"/>
      <c r="DA71" s="1548"/>
      <c r="DB71" s="1548"/>
      <c r="DC71" s="1548"/>
      <c r="DD71" s="1548"/>
      <c r="DE71" s="1548"/>
      <c r="DF71" s="1548"/>
      <c r="DG71" s="1548"/>
      <c r="DH71" s="1548"/>
      <c r="DI71" s="1548"/>
      <c r="DJ71" s="1548"/>
      <c r="DK71" s="1548"/>
      <c r="DL71" s="1548"/>
      <c r="DM71" s="1548"/>
      <c r="DN71" s="1548"/>
      <c r="DO71" s="1548"/>
      <c r="DP71" s="1548"/>
      <c r="DQ71" s="1548"/>
      <c r="DR71" s="1548"/>
      <c r="DS71" s="1548"/>
      <c r="DT71" s="1548"/>
      <c r="DU71" s="1548"/>
      <c r="DV71" s="1548"/>
      <c r="DW71" s="1548"/>
    </row>
    <row r="72" spans="1:127" s="2150" customFormat="1" ht="54.75" customHeight="1">
      <c r="A72" s="3764"/>
      <c r="B72" s="1495" t="str">
        <f t="shared" si="3"/>
        <v>2400001129</v>
      </c>
      <c r="C72" s="1626" t="s">
        <v>6402</v>
      </c>
      <c r="D72" s="2325"/>
      <c r="E72" s="1495"/>
      <c r="F72" s="1493"/>
      <c r="G72" s="1495"/>
      <c r="H72" s="1495"/>
      <c r="I72" s="1495" t="s">
        <v>19</v>
      </c>
      <c r="J72" s="1495" t="s">
        <v>267</v>
      </c>
      <c r="K72" s="1547" t="s">
        <v>6424</v>
      </c>
      <c r="L72" s="2357"/>
      <c r="M72" s="1790" t="s">
        <v>5961</v>
      </c>
      <c r="N72" s="1859"/>
      <c r="O72" s="2597">
        <v>2</v>
      </c>
      <c r="P72" s="1883" t="s">
        <v>6278</v>
      </c>
      <c r="Q72" s="1548"/>
      <c r="R72" s="1548"/>
      <c r="S72" s="1548"/>
      <c r="T72" s="1548"/>
      <c r="U72" s="1548"/>
      <c r="V72" s="1548"/>
      <c r="W72" s="1548"/>
      <c r="X72" s="1548"/>
      <c r="Y72" s="1548"/>
      <c r="Z72" s="1548"/>
      <c r="AA72" s="1548"/>
      <c r="AB72" s="1548"/>
      <c r="AC72" s="1548"/>
      <c r="AD72" s="1548"/>
      <c r="AE72" s="1548"/>
      <c r="AF72" s="1548"/>
      <c r="AG72" s="1548"/>
      <c r="AH72" s="1548"/>
      <c r="AI72" s="1548"/>
      <c r="AJ72" s="1548"/>
      <c r="AK72" s="1548"/>
      <c r="AL72" s="1548"/>
      <c r="AM72" s="1548"/>
      <c r="AN72" s="1548"/>
      <c r="AO72" s="1548"/>
      <c r="AP72" s="1548"/>
      <c r="AQ72" s="1548"/>
      <c r="AR72" s="1548"/>
      <c r="AS72" s="1548"/>
      <c r="AT72" s="1548"/>
      <c r="AU72" s="1548"/>
      <c r="AV72" s="1548"/>
      <c r="AW72" s="1548"/>
      <c r="AX72" s="1548"/>
      <c r="AY72" s="1548"/>
      <c r="AZ72" s="1548"/>
      <c r="BA72" s="1548"/>
      <c r="BB72" s="1548"/>
      <c r="BC72" s="1548"/>
      <c r="BD72" s="1548"/>
      <c r="BE72" s="1548"/>
      <c r="BF72" s="1548"/>
      <c r="BG72" s="1548"/>
      <c r="BH72" s="1548"/>
      <c r="BI72" s="1548"/>
      <c r="BJ72" s="1548"/>
      <c r="BK72" s="1548"/>
      <c r="BL72" s="1548"/>
      <c r="BM72" s="1548"/>
      <c r="BN72" s="1548"/>
      <c r="BO72" s="1548"/>
      <c r="BP72" s="1548"/>
      <c r="BQ72" s="1548"/>
      <c r="BR72" s="1548"/>
      <c r="BS72" s="1548"/>
      <c r="BT72" s="1548"/>
      <c r="BU72" s="1548"/>
      <c r="BV72" s="1548"/>
      <c r="BW72" s="1548"/>
      <c r="BX72" s="1548"/>
      <c r="BY72" s="1548"/>
      <c r="BZ72" s="1548"/>
      <c r="CA72" s="1548"/>
      <c r="CB72" s="1548"/>
      <c r="CC72" s="1548"/>
      <c r="CD72" s="1548"/>
      <c r="CE72" s="1548"/>
      <c r="CF72" s="1548"/>
      <c r="CG72" s="1548"/>
      <c r="CH72" s="1548"/>
      <c r="CI72" s="1548"/>
      <c r="CJ72" s="1548"/>
      <c r="CK72" s="1548"/>
      <c r="CL72" s="1548"/>
      <c r="CM72" s="1548"/>
      <c r="CN72" s="1548"/>
      <c r="CO72" s="1548"/>
      <c r="CP72" s="1548"/>
      <c r="CQ72" s="1548"/>
      <c r="CR72" s="1548"/>
      <c r="CS72" s="1548"/>
      <c r="CT72" s="1548"/>
      <c r="CU72" s="1548"/>
      <c r="CV72" s="1548"/>
      <c r="CW72" s="1548"/>
      <c r="CX72" s="1548"/>
      <c r="CY72" s="1548"/>
      <c r="CZ72" s="1548"/>
      <c r="DA72" s="1548"/>
      <c r="DB72" s="1548"/>
      <c r="DC72" s="1548"/>
      <c r="DD72" s="1548"/>
      <c r="DE72" s="1548"/>
      <c r="DF72" s="1548"/>
      <c r="DG72" s="1548"/>
      <c r="DH72" s="1548"/>
      <c r="DI72" s="1548"/>
      <c r="DJ72" s="1548"/>
      <c r="DK72" s="1548"/>
      <c r="DL72" s="1548"/>
      <c r="DM72" s="1548"/>
      <c r="DN72" s="1548"/>
      <c r="DO72" s="1548"/>
      <c r="DP72" s="1548"/>
      <c r="DQ72" s="1548"/>
      <c r="DR72" s="1548"/>
      <c r="DS72" s="1548"/>
      <c r="DT72" s="1548"/>
      <c r="DU72" s="1548"/>
      <c r="DV72" s="1548"/>
      <c r="DW72" s="1548"/>
    </row>
    <row r="73" spans="1:127" s="2150" customFormat="1" ht="54.75" customHeight="1">
      <c r="A73" s="3764"/>
      <c r="B73" s="1495" t="str">
        <f t="shared" si="3"/>
        <v>2400001130</v>
      </c>
      <c r="C73" s="1626" t="s">
        <v>6402</v>
      </c>
      <c r="D73" s="2325"/>
      <c r="E73" s="1495"/>
      <c r="F73" s="1493"/>
      <c r="G73" s="1495"/>
      <c r="H73" s="1495"/>
      <c r="I73" s="1495" t="s">
        <v>19</v>
      </c>
      <c r="J73" s="1495" t="s">
        <v>267</v>
      </c>
      <c r="K73" s="1547" t="s">
        <v>6425</v>
      </c>
      <c r="L73" s="2357"/>
      <c r="M73" s="1790" t="s">
        <v>5961</v>
      </c>
      <c r="N73" s="1859"/>
      <c r="O73" s="2597">
        <v>2</v>
      </c>
      <c r="P73" s="1883" t="s">
        <v>6278</v>
      </c>
      <c r="Q73" s="1548"/>
      <c r="R73" s="1548"/>
      <c r="S73" s="1548"/>
      <c r="T73" s="1548"/>
      <c r="U73" s="1548"/>
      <c r="V73" s="1548"/>
      <c r="W73" s="1548"/>
      <c r="X73" s="1548"/>
      <c r="Y73" s="1548"/>
      <c r="Z73" s="1548"/>
      <c r="AA73" s="1548"/>
      <c r="AB73" s="1548"/>
      <c r="AC73" s="1548"/>
      <c r="AD73" s="1548"/>
      <c r="AE73" s="1548"/>
      <c r="AF73" s="1548"/>
      <c r="AG73" s="1548"/>
      <c r="AH73" s="1548"/>
      <c r="AI73" s="1548"/>
      <c r="AJ73" s="1548"/>
      <c r="AK73" s="1548"/>
      <c r="AL73" s="1548"/>
      <c r="AM73" s="1548"/>
      <c r="AN73" s="1548"/>
      <c r="AO73" s="1548"/>
      <c r="AP73" s="1548"/>
      <c r="AQ73" s="1548"/>
      <c r="AR73" s="1548"/>
      <c r="AS73" s="1548"/>
      <c r="AT73" s="1548"/>
      <c r="AU73" s="1548"/>
      <c r="AV73" s="1548"/>
      <c r="AW73" s="1548"/>
      <c r="AX73" s="1548"/>
      <c r="AY73" s="1548"/>
      <c r="AZ73" s="1548"/>
      <c r="BA73" s="1548"/>
      <c r="BB73" s="1548"/>
      <c r="BC73" s="1548"/>
      <c r="BD73" s="1548"/>
      <c r="BE73" s="1548"/>
      <c r="BF73" s="1548"/>
      <c r="BG73" s="1548"/>
      <c r="BH73" s="1548"/>
      <c r="BI73" s="1548"/>
      <c r="BJ73" s="1548"/>
      <c r="BK73" s="1548"/>
      <c r="BL73" s="1548"/>
      <c r="BM73" s="1548"/>
      <c r="BN73" s="1548"/>
      <c r="BO73" s="1548"/>
      <c r="BP73" s="1548"/>
      <c r="BQ73" s="1548"/>
      <c r="BR73" s="1548"/>
      <c r="BS73" s="1548"/>
      <c r="BT73" s="1548"/>
      <c r="BU73" s="1548"/>
      <c r="BV73" s="1548"/>
      <c r="BW73" s="1548"/>
      <c r="BX73" s="1548"/>
      <c r="BY73" s="1548"/>
      <c r="BZ73" s="1548"/>
      <c r="CA73" s="1548"/>
      <c r="CB73" s="1548"/>
      <c r="CC73" s="1548"/>
      <c r="CD73" s="1548"/>
      <c r="CE73" s="1548"/>
      <c r="CF73" s="1548"/>
      <c r="CG73" s="1548"/>
      <c r="CH73" s="1548"/>
      <c r="CI73" s="1548"/>
      <c r="CJ73" s="1548"/>
      <c r="CK73" s="1548"/>
      <c r="CL73" s="1548"/>
      <c r="CM73" s="1548"/>
      <c r="CN73" s="1548"/>
      <c r="CO73" s="1548"/>
      <c r="CP73" s="1548"/>
      <c r="CQ73" s="1548"/>
      <c r="CR73" s="1548"/>
      <c r="CS73" s="1548"/>
      <c r="CT73" s="1548"/>
      <c r="CU73" s="1548"/>
      <c r="CV73" s="1548"/>
      <c r="CW73" s="1548"/>
      <c r="CX73" s="1548"/>
      <c r="CY73" s="1548"/>
      <c r="CZ73" s="1548"/>
      <c r="DA73" s="1548"/>
      <c r="DB73" s="1548"/>
      <c r="DC73" s="1548"/>
      <c r="DD73" s="1548"/>
      <c r="DE73" s="1548"/>
      <c r="DF73" s="1548"/>
      <c r="DG73" s="1548"/>
      <c r="DH73" s="1548"/>
      <c r="DI73" s="1548"/>
      <c r="DJ73" s="1548"/>
      <c r="DK73" s="1548"/>
      <c r="DL73" s="1548"/>
      <c r="DM73" s="1548"/>
      <c r="DN73" s="1548"/>
      <c r="DO73" s="1548"/>
      <c r="DP73" s="1548"/>
      <c r="DQ73" s="1548"/>
      <c r="DR73" s="1548"/>
      <c r="DS73" s="1548"/>
      <c r="DT73" s="1548"/>
      <c r="DU73" s="1548"/>
      <c r="DV73" s="1548"/>
      <c r="DW73" s="1548"/>
    </row>
    <row r="74" spans="1:127" s="2150" customFormat="1" ht="61.5" customHeight="1">
      <c r="A74" s="3764"/>
      <c r="B74" s="1495" t="str">
        <f t="shared" si="3"/>
        <v>2400001128</v>
      </c>
      <c r="C74" s="1626" t="s">
        <v>6402</v>
      </c>
      <c r="D74" s="2325"/>
      <c r="E74" s="1495"/>
      <c r="F74" s="1493"/>
      <c r="G74" s="1495"/>
      <c r="H74" s="1495"/>
      <c r="I74" s="1495" t="s">
        <v>19</v>
      </c>
      <c r="J74" s="1495" t="s">
        <v>267</v>
      </c>
      <c r="K74" s="1547" t="s">
        <v>6426</v>
      </c>
      <c r="L74" s="2357"/>
      <c r="M74" s="2584" t="s">
        <v>5937</v>
      </c>
      <c r="N74" s="1843" t="s">
        <v>6389</v>
      </c>
      <c r="O74" s="2597">
        <v>1</v>
      </c>
      <c r="P74" s="1883" t="s">
        <v>6278</v>
      </c>
      <c r="Q74" s="1493">
        <v>144</v>
      </c>
      <c r="R74" s="1493">
        <v>144</v>
      </c>
      <c r="S74" s="1493">
        <f>Q74-R74</f>
        <v>0</v>
      </c>
      <c r="T74" s="1548"/>
      <c r="U74" s="1548"/>
      <c r="V74" s="1548"/>
      <c r="W74" s="1548"/>
      <c r="X74" s="1548"/>
      <c r="Y74" s="1548"/>
      <c r="Z74" s="1548"/>
      <c r="AA74" s="1548"/>
      <c r="AB74" s="1548"/>
      <c r="AC74" s="1548"/>
      <c r="AD74" s="1548"/>
      <c r="AE74" s="1548"/>
      <c r="AF74" s="1548"/>
      <c r="AG74" s="1548"/>
      <c r="AH74" s="1548"/>
      <c r="AI74" s="1548"/>
      <c r="AJ74" s="1548"/>
      <c r="AK74" s="1548"/>
      <c r="AL74" s="1548"/>
      <c r="AM74" s="1548"/>
      <c r="AN74" s="1548"/>
      <c r="AO74" s="1548"/>
      <c r="AP74" s="1548"/>
      <c r="AQ74" s="1548"/>
      <c r="AR74" s="1548"/>
      <c r="AS74" s="1548"/>
      <c r="AT74" s="1548"/>
      <c r="AU74" s="1548"/>
      <c r="AV74" s="1548"/>
      <c r="AW74" s="1548"/>
      <c r="AX74" s="1548"/>
      <c r="AY74" s="1548"/>
      <c r="AZ74" s="1548"/>
      <c r="BA74" s="1548"/>
      <c r="BB74" s="1548"/>
      <c r="BC74" s="1548"/>
      <c r="BD74" s="1548"/>
      <c r="BE74" s="1548"/>
      <c r="BF74" s="1548"/>
      <c r="BG74" s="1548"/>
      <c r="BH74" s="1548"/>
      <c r="BI74" s="1548"/>
      <c r="BJ74" s="1548"/>
      <c r="BK74" s="1548"/>
      <c r="BL74" s="1548"/>
      <c r="BM74" s="1548"/>
      <c r="BN74" s="1548"/>
      <c r="BO74" s="1548"/>
      <c r="BP74" s="1548"/>
      <c r="BQ74" s="1548"/>
      <c r="BR74" s="1548"/>
      <c r="BS74" s="1548"/>
      <c r="BT74" s="1548"/>
      <c r="BU74" s="1548"/>
      <c r="BV74" s="1548"/>
      <c r="BW74" s="1548"/>
      <c r="BX74" s="1548"/>
      <c r="BY74" s="1548"/>
      <c r="BZ74" s="1548"/>
      <c r="CA74" s="1548"/>
      <c r="CB74" s="1548"/>
      <c r="CC74" s="1548"/>
      <c r="CD74" s="1548"/>
      <c r="CE74" s="1548"/>
      <c r="CF74" s="1548"/>
      <c r="CG74" s="1548"/>
      <c r="CH74" s="1548"/>
      <c r="CI74" s="1548"/>
      <c r="CJ74" s="1548"/>
      <c r="CK74" s="1548"/>
      <c r="CL74" s="1548"/>
      <c r="CM74" s="1548"/>
      <c r="CN74" s="1548"/>
      <c r="CO74" s="1548"/>
      <c r="CP74" s="1548"/>
      <c r="CQ74" s="1548"/>
      <c r="CR74" s="1548"/>
      <c r="CS74" s="1548"/>
      <c r="CT74" s="1548"/>
      <c r="CU74" s="1548"/>
      <c r="CV74" s="1548"/>
      <c r="CW74" s="1548"/>
      <c r="CX74" s="1548"/>
      <c r="CY74" s="1548"/>
      <c r="CZ74" s="1548"/>
      <c r="DA74" s="1548"/>
      <c r="DB74" s="1548"/>
      <c r="DC74" s="1548"/>
      <c r="DD74" s="1548"/>
      <c r="DE74" s="1548"/>
      <c r="DF74" s="1548"/>
      <c r="DG74" s="1548"/>
      <c r="DH74" s="1548"/>
      <c r="DI74" s="1548"/>
      <c r="DJ74" s="1548"/>
      <c r="DK74" s="1548"/>
      <c r="DL74" s="1548"/>
      <c r="DM74" s="1548"/>
      <c r="DN74" s="1548"/>
      <c r="DO74" s="1548"/>
      <c r="DP74" s="1548"/>
      <c r="DQ74" s="1548"/>
      <c r="DR74" s="1548"/>
      <c r="DS74" s="1548"/>
      <c r="DT74" s="1548"/>
      <c r="DU74" s="1548"/>
      <c r="DV74" s="1548"/>
      <c r="DW74" s="1548"/>
    </row>
    <row r="75" spans="1:127" s="2150" customFormat="1" ht="61.5" customHeight="1">
      <c r="A75" s="3764"/>
      <c r="B75" s="1495" t="str">
        <f t="shared" si="3"/>
        <v>2400001133</v>
      </c>
      <c r="C75" s="1626" t="s">
        <v>6402</v>
      </c>
      <c r="D75" s="2325"/>
      <c r="E75" s="1495"/>
      <c r="F75" s="1493"/>
      <c r="G75" s="1495"/>
      <c r="H75" s="1495"/>
      <c r="I75" s="1495" t="s">
        <v>19</v>
      </c>
      <c r="J75" s="1495" t="s">
        <v>267</v>
      </c>
      <c r="K75" s="1547" t="s">
        <v>6427</v>
      </c>
      <c r="L75" s="2357">
        <v>140</v>
      </c>
      <c r="M75" s="2448" t="s">
        <v>5937</v>
      </c>
      <c r="N75" s="1843" t="s">
        <v>6389</v>
      </c>
      <c r="O75" s="2597">
        <v>1</v>
      </c>
      <c r="P75" s="1883" t="s">
        <v>6278</v>
      </c>
      <c r="Q75" s="1493">
        <v>146</v>
      </c>
      <c r="R75" s="1493">
        <v>146</v>
      </c>
      <c r="S75" s="1493">
        <f>Q75-R75</f>
        <v>0</v>
      </c>
      <c r="T75" s="1548"/>
      <c r="U75" s="1548"/>
      <c r="V75" s="1548"/>
      <c r="W75" s="1548"/>
      <c r="X75" s="1548"/>
      <c r="Y75" s="1548"/>
      <c r="Z75" s="1548"/>
      <c r="AA75" s="1548"/>
      <c r="AB75" s="1548"/>
      <c r="AC75" s="1548"/>
      <c r="AD75" s="1548"/>
      <c r="AE75" s="1548"/>
      <c r="AF75" s="1548"/>
      <c r="AG75" s="1548"/>
      <c r="AH75" s="1548"/>
      <c r="AI75" s="1548"/>
      <c r="AJ75" s="1548"/>
      <c r="AK75" s="1548"/>
      <c r="AL75" s="1548"/>
      <c r="AM75" s="1548"/>
      <c r="AN75" s="1548"/>
      <c r="AO75" s="1548"/>
      <c r="AP75" s="1548"/>
      <c r="AQ75" s="1548"/>
      <c r="AR75" s="1548"/>
      <c r="AS75" s="1548"/>
      <c r="AT75" s="1548"/>
      <c r="AU75" s="1548"/>
      <c r="AV75" s="1548"/>
      <c r="AW75" s="1548"/>
      <c r="AX75" s="1548"/>
      <c r="AY75" s="1548"/>
      <c r="AZ75" s="1548"/>
      <c r="BA75" s="1548"/>
      <c r="BB75" s="1548"/>
      <c r="BC75" s="1548"/>
      <c r="BD75" s="1548"/>
      <c r="BE75" s="1548"/>
      <c r="BF75" s="1548"/>
      <c r="BG75" s="1548"/>
      <c r="BH75" s="1548"/>
      <c r="BI75" s="1548"/>
      <c r="BJ75" s="1548"/>
      <c r="BK75" s="1548"/>
      <c r="BL75" s="1548"/>
      <c r="BM75" s="1548"/>
      <c r="BN75" s="1548"/>
      <c r="BO75" s="1548"/>
      <c r="BP75" s="1548"/>
      <c r="BQ75" s="1548"/>
      <c r="BR75" s="1548"/>
      <c r="BS75" s="1548"/>
      <c r="BT75" s="1548"/>
      <c r="BU75" s="1548"/>
      <c r="BV75" s="1548"/>
      <c r="BW75" s="1548"/>
      <c r="BX75" s="1548"/>
      <c r="BY75" s="1548"/>
      <c r="BZ75" s="1548"/>
      <c r="CA75" s="1548"/>
      <c r="CB75" s="1548"/>
      <c r="CC75" s="1548"/>
      <c r="CD75" s="1548"/>
      <c r="CE75" s="1548"/>
      <c r="CF75" s="1548"/>
      <c r="CG75" s="1548"/>
      <c r="CH75" s="1548"/>
      <c r="CI75" s="1548"/>
      <c r="CJ75" s="1548"/>
      <c r="CK75" s="1548"/>
      <c r="CL75" s="1548"/>
      <c r="CM75" s="1548"/>
      <c r="CN75" s="1548"/>
      <c r="CO75" s="1548"/>
      <c r="CP75" s="1548"/>
      <c r="CQ75" s="1548"/>
      <c r="CR75" s="1548"/>
      <c r="CS75" s="1548"/>
      <c r="CT75" s="1548"/>
      <c r="CU75" s="1548"/>
      <c r="CV75" s="1548"/>
      <c r="CW75" s="1548"/>
      <c r="CX75" s="1548"/>
      <c r="CY75" s="1548"/>
      <c r="CZ75" s="1548"/>
      <c r="DA75" s="1548"/>
      <c r="DB75" s="1548"/>
      <c r="DC75" s="1548"/>
      <c r="DD75" s="1548"/>
      <c r="DE75" s="1548"/>
      <c r="DF75" s="1548"/>
      <c r="DG75" s="1548"/>
      <c r="DH75" s="1548"/>
      <c r="DI75" s="1548"/>
      <c r="DJ75" s="1548"/>
      <c r="DK75" s="1548"/>
      <c r="DL75" s="1548"/>
      <c r="DM75" s="1548"/>
      <c r="DN75" s="1548"/>
      <c r="DO75" s="1548"/>
      <c r="DP75" s="1548"/>
      <c r="DQ75" s="1548"/>
      <c r="DR75" s="1548"/>
      <c r="DS75" s="1548"/>
      <c r="DT75" s="1548"/>
      <c r="DU75" s="1548"/>
      <c r="DV75" s="1548"/>
      <c r="DW75" s="1548"/>
    </row>
    <row r="76" spans="1:127" s="2150" customFormat="1" ht="61.5" customHeight="1">
      <c r="A76" s="3764"/>
      <c r="B76" s="1495" t="str">
        <f t="shared" ref="B76:B107" si="5">TEXT(LEFT(K76,10),"0000000000")</f>
        <v>2400001131</v>
      </c>
      <c r="C76" s="1626" t="s">
        <v>6402</v>
      </c>
      <c r="D76" s="2325"/>
      <c r="E76" s="1495"/>
      <c r="F76" s="1493"/>
      <c r="G76" s="1495"/>
      <c r="H76" s="1495"/>
      <c r="I76" s="1495" t="s">
        <v>19</v>
      </c>
      <c r="J76" s="1495" t="s">
        <v>267</v>
      </c>
      <c r="K76" s="1547" t="s">
        <v>6428</v>
      </c>
      <c r="L76" s="2357">
        <v>43</v>
      </c>
      <c r="M76" s="2448" t="s">
        <v>5937</v>
      </c>
      <c r="N76" s="1843" t="s">
        <v>6389</v>
      </c>
      <c r="O76" s="2597">
        <v>1</v>
      </c>
      <c r="P76" s="1883" t="s">
        <v>6278</v>
      </c>
      <c r="Q76" s="1493">
        <v>43</v>
      </c>
      <c r="R76" s="1493">
        <v>43</v>
      </c>
      <c r="S76" s="1493">
        <f>Q76-R76</f>
        <v>0</v>
      </c>
      <c r="T76" s="1548"/>
      <c r="U76" s="1548"/>
      <c r="V76" s="1548"/>
      <c r="W76" s="1548"/>
      <c r="X76" s="1548"/>
      <c r="Y76" s="1548"/>
      <c r="Z76" s="1548"/>
      <c r="AA76" s="1548"/>
      <c r="AB76" s="1548"/>
      <c r="AC76" s="1548"/>
      <c r="AD76" s="1548"/>
      <c r="AE76" s="1548"/>
      <c r="AF76" s="1548"/>
      <c r="AG76" s="1548"/>
      <c r="AH76" s="1548"/>
      <c r="AI76" s="1548"/>
      <c r="AJ76" s="1548"/>
      <c r="AK76" s="1548"/>
      <c r="AL76" s="1548"/>
      <c r="AM76" s="1548"/>
      <c r="AN76" s="1548"/>
      <c r="AO76" s="1548"/>
      <c r="AP76" s="1548"/>
      <c r="AQ76" s="1548"/>
      <c r="AR76" s="1548"/>
      <c r="AS76" s="1548"/>
      <c r="AT76" s="1548"/>
      <c r="AU76" s="1548"/>
      <c r="AV76" s="1548"/>
      <c r="AW76" s="1548"/>
      <c r="AX76" s="1548"/>
      <c r="AY76" s="1548"/>
      <c r="AZ76" s="1548"/>
      <c r="BA76" s="1548"/>
      <c r="BB76" s="1548"/>
      <c r="BC76" s="1548"/>
      <c r="BD76" s="1548"/>
      <c r="BE76" s="1548"/>
      <c r="BF76" s="1548"/>
      <c r="BG76" s="1548"/>
      <c r="BH76" s="1548"/>
      <c r="BI76" s="1548"/>
      <c r="BJ76" s="1548"/>
      <c r="BK76" s="1548"/>
      <c r="BL76" s="1548"/>
      <c r="BM76" s="1548"/>
      <c r="BN76" s="1548"/>
      <c r="BO76" s="1548"/>
      <c r="BP76" s="1548"/>
      <c r="BQ76" s="1548"/>
      <c r="BR76" s="1548"/>
      <c r="BS76" s="1548"/>
      <c r="BT76" s="1548"/>
      <c r="BU76" s="1548"/>
      <c r="BV76" s="1548"/>
      <c r="BW76" s="1548"/>
      <c r="BX76" s="1548"/>
      <c r="BY76" s="1548"/>
      <c r="BZ76" s="1548"/>
      <c r="CA76" s="1548"/>
      <c r="CB76" s="1548"/>
      <c r="CC76" s="1548"/>
      <c r="CD76" s="1548"/>
      <c r="CE76" s="1548"/>
      <c r="CF76" s="1548"/>
      <c r="CG76" s="1548"/>
      <c r="CH76" s="1548"/>
      <c r="CI76" s="1548"/>
      <c r="CJ76" s="1548"/>
      <c r="CK76" s="1548"/>
      <c r="CL76" s="1548"/>
      <c r="CM76" s="1548"/>
      <c r="CN76" s="1548"/>
      <c r="CO76" s="1548"/>
      <c r="CP76" s="1548"/>
      <c r="CQ76" s="1548"/>
      <c r="CR76" s="1548"/>
      <c r="CS76" s="1548"/>
      <c r="CT76" s="1548"/>
      <c r="CU76" s="1548"/>
      <c r="CV76" s="1548"/>
      <c r="CW76" s="1548"/>
      <c r="CX76" s="1548"/>
      <c r="CY76" s="1548"/>
      <c r="CZ76" s="1548"/>
      <c r="DA76" s="1548"/>
      <c r="DB76" s="1548"/>
      <c r="DC76" s="1548"/>
      <c r="DD76" s="1548"/>
      <c r="DE76" s="1548"/>
      <c r="DF76" s="1548"/>
      <c r="DG76" s="1548"/>
      <c r="DH76" s="1548"/>
      <c r="DI76" s="1548"/>
      <c r="DJ76" s="1548"/>
      <c r="DK76" s="1548"/>
      <c r="DL76" s="1548"/>
      <c r="DM76" s="1548"/>
      <c r="DN76" s="1548"/>
      <c r="DO76" s="1548"/>
      <c r="DP76" s="1548"/>
      <c r="DQ76" s="1548"/>
      <c r="DR76" s="1548"/>
      <c r="DS76" s="1548"/>
      <c r="DT76" s="1548"/>
      <c r="DU76" s="1548"/>
      <c r="DV76" s="1548"/>
      <c r="DW76" s="1548"/>
    </row>
    <row r="77" spans="1:127" s="2150" customFormat="1" ht="61.5" customHeight="1">
      <c r="A77" s="3764"/>
      <c r="B77" s="1495" t="str">
        <f t="shared" si="5"/>
        <v>2400001132</v>
      </c>
      <c r="C77" s="1626" t="s">
        <v>6402</v>
      </c>
      <c r="D77" s="2325"/>
      <c r="E77" s="1495"/>
      <c r="F77" s="1493"/>
      <c r="G77" s="1495"/>
      <c r="H77" s="1495"/>
      <c r="I77" s="1495" t="s">
        <v>19</v>
      </c>
      <c r="J77" s="1495" t="s">
        <v>267</v>
      </c>
      <c r="K77" s="1547" t="s">
        <v>6429</v>
      </c>
      <c r="L77" s="2357">
        <v>485</v>
      </c>
      <c r="M77" s="2584" t="s">
        <v>5937</v>
      </c>
      <c r="N77" s="1843" t="s">
        <v>6389</v>
      </c>
      <c r="O77" s="2597">
        <v>1</v>
      </c>
      <c r="P77" s="1883" t="s">
        <v>6278</v>
      </c>
      <c r="Q77" s="1493">
        <v>503</v>
      </c>
      <c r="R77" s="1493">
        <v>503</v>
      </c>
      <c r="S77" s="1493">
        <f>Q77-R77</f>
        <v>0</v>
      </c>
      <c r="T77" s="1548"/>
      <c r="U77" s="1548"/>
      <c r="V77" s="1548"/>
      <c r="W77" s="1548"/>
      <c r="X77" s="1548"/>
      <c r="Y77" s="1548"/>
      <c r="Z77" s="1548"/>
      <c r="AA77" s="1548"/>
      <c r="AB77" s="1548"/>
      <c r="AC77" s="1548"/>
      <c r="AD77" s="1548"/>
      <c r="AE77" s="1548"/>
      <c r="AF77" s="1548"/>
      <c r="AG77" s="1548"/>
      <c r="AH77" s="1548"/>
      <c r="AI77" s="1548"/>
      <c r="AJ77" s="1548"/>
      <c r="AK77" s="1548"/>
      <c r="AL77" s="1548"/>
      <c r="AM77" s="1548"/>
      <c r="AN77" s="1548"/>
      <c r="AO77" s="1548"/>
      <c r="AP77" s="1548"/>
      <c r="AQ77" s="1548"/>
      <c r="AR77" s="1548"/>
      <c r="AS77" s="1548"/>
      <c r="AT77" s="1548"/>
      <c r="AU77" s="1548"/>
      <c r="AV77" s="1548"/>
      <c r="AW77" s="1548"/>
      <c r="AX77" s="1548"/>
      <c r="AY77" s="1548"/>
      <c r="AZ77" s="1548"/>
      <c r="BA77" s="1548"/>
      <c r="BB77" s="1548"/>
      <c r="BC77" s="1548"/>
      <c r="BD77" s="1548"/>
      <c r="BE77" s="1548"/>
      <c r="BF77" s="1548"/>
      <c r="BG77" s="1548"/>
      <c r="BH77" s="1548"/>
      <c r="BI77" s="1548"/>
      <c r="BJ77" s="1548"/>
      <c r="BK77" s="1548"/>
      <c r="BL77" s="1548"/>
      <c r="BM77" s="1548"/>
      <c r="BN77" s="1548"/>
      <c r="BO77" s="1548"/>
      <c r="BP77" s="1548"/>
      <c r="BQ77" s="1548"/>
      <c r="BR77" s="1548"/>
      <c r="BS77" s="1548"/>
      <c r="BT77" s="1548"/>
      <c r="BU77" s="1548"/>
      <c r="BV77" s="1548"/>
      <c r="BW77" s="1548"/>
      <c r="BX77" s="1548"/>
      <c r="BY77" s="1548"/>
      <c r="BZ77" s="1548"/>
      <c r="CA77" s="1548"/>
      <c r="CB77" s="1548"/>
      <c r="CC77" s="1548"/>
      <c r="CD77" s="1548"/>
      <c r="CE77" s="1548"/>
      <c r="CF77" s="1548"/>
      <c r="CG77" s="1548"/>
      <c r="CH77" s="1548"/>
      <c r="CI77" s="1548"/>
      <c r="CJ77" s="1548"/>
      <c r="CK77" s="1548"/>
      <c r="CL77" s="1548"/>
      <c r="CM77" s="1548"/>
      <c r="CN77" s="1548"/>
      <c r="CO77" s="1548"/>
      <c r="CP77" s="1548"/>
      <c r="CQ77" s="1548"/>
      <c r="CR77" s="1548"/>
      <c r="CS77" s="1548"/>
      <c r="CT77" s="1548"/>
      <c r="CU77" s="1548"/>
      <c r="CV77" s="1548"/>
      <c r="CW77" s="1548"/>
      <c r="CX77" s="1548"/>
      <c r="CY77" s="1548"/>
      <c r="CZ77" s="1548"/>
      <c r="DA77" s="1548"/>
      <c r="DB77" s="1548"/>
      <c r="DC77" s="1548"/>
      <c r="DD77" s="1548"/>
      <c r="DE77" s="1548"/>
      <c r="DF77" s="1548"/>
      <c r="DG77" s="1548"/>
      <c r="DH77" s="1548"/>
      <c r="DI77" s="1548"/>
      <c r="DJ77" s="1548"/>
      <c r="DK77" s="1548"/>
      <c r="DL77" s="1548"/>
      <c r="DM77" s="1548"/>
      <c r="DN77" s="1548"/>
      <c r="DO77" s="1548"/>
      <c r="DP77" s="1548"/>
      <c r="DQ77" s="1548"/>
      <c r="DR77" s="1548"/>
      <c r="DS77" s="1548"/>
      <c r="DT77" s="1548"/>
      <c r="DU77" s="1548"/>
      <c r="DV77" s="1548"/>
      <c r="DW77" s="1548"/>
    </row>
    <row r="78" spans="1:127" s="2150" customFormat="1" ht="61.5" customHeight="1">
      <c r="A78" s="3764"/>
      <c r="B78" s="1495" t="str">
        <f t="shared" si="5"/>
        <v>2400001134</v>
      </c>
      <c r="C78" s="1626" t="s">
        <v>6402</v>
      </c>
      <c r="D78" s="2325"/>
      <c r="E78" s="1495"/>
      <c r="F78" s="1493"/>
      <c r="G78" s="1495"/>
      <c r="H78" s="1495"/>
      <c r="I78" s="1495" t="s">
        <v>19</v>
      </c>
      <c r="J78" s="1495" t="s">
        <v>267</v>
      </c>
      <c r="K78" s="1547" t="s">
        <v>6430</v>
      </c>
      <c r="L78" s="2357">
        <v>447</v>
      </c>
      <c r="M78" s="2584" t="s">
        <v>5937</v>
      </c>
      <c r="N78" s="1843" t="s">
        <v>6389</v>
      </c>
      <c r="O78" s="2597">
        <v>1</v>
      </c>
      <c r="P78" s="1883" t="s">
        <v>6278</v>
      </c>
      <c r="Q78" s="1493">
        <v>505</v>
      </c>
      <c r="R78" s="1493">
        <v>505</v>
      </c>
      <c r="S78" s="1493">
        <f>Q78-R78</f>
        <v>0</v>
      </c>
      <c r="T78" s="1548"/>
      <c r="U78" s="1548"/>
      <c r="V78" s="1548"/>
      <c r="W78" s="1548"/>
      <c r="X78" s="1548"/>
      <c r="Y78" s="1548"/>
      <c r="Z78" s="1548"/>
      <c r="AA78" s="1548"/>
      <c r="AB78" s="1548"/>
      <c r="AC78" s="1548"/>
      <c r="AD78" s="1548"/>
      <c r="AE78" s="1548"/>
      <c r="AF78" s="1548"/>
      <c r="AG78" s="1548"/>
      <c r="AH78" s="1548"/>
      <c r="AI78" s="1548"/>
      <c r="AJ78" s="1548"/>
      <c r="AK78" s="1548"/>
      <c r="AL78" s="1548"/>
      <c r="AM78" s="1548"/>
      <c r="AN78" s="1548"/>
      <c r="AO78" s="1548"/>
      <c r="AP78" s="1548"/>
      <c r="AQ78" s="1548"/>
      <c r="AR78" s="1548"/>
      <c r="AS78" s="1548"/>
      <c r="AT78" s="1548"/>
      <c r="AU78" s="1548"/>
      <c r="AV78" s="1548"/>
      <c r="AW78" s="1548"/>
      <c r="AX78" s="1548"/>
      <c r="AY78" s="1548"/>
      <c r="AZ78" s="1548"/>
      <c r="BA78" s="1548"/>
      <c r="BB78" s="1548"/>
      <c r="BC78" s="1548"/>
      <c r="BD78" s="1548"/>
      <c r="BE78" s="1548"/>
      <c r="BF78" s="1548"/>
      <c r="BG78" s="1548"/>
      <c r="BH78" s="1548"/>
      <c r="BI78" s="1548"/>
      <c r="BJ78" s="1548"/>
      <c r="BK78" s="1548"/>
      <c r="BL78" s="1548"/>
      <c r="BM78" s="1548"/>
      <c r="BN78" s="1548"/>
      <c r="BO78" s="1548"/>
      <c r="BP78" s="1548"/>
      <c r="BQ78" s="1548"/>
      <c r="BR78" s="1548"/>
      <c r="BS78" s="1548"/>
      <c r="BT78" s="1548"/>
      <c r="BU78" s="1548"/>
      <c r="BV78" s="1548"/>
      <c r="BW78" s="1548"/>
      <c r="BX78" s="1548"/>
      <c r="BY78" s="1548"/>
      <c r="BZ78" s="1548"/>
      <c r="CA78" s="1548"/>
      <c r="CB78" s="1548"/>
      <c r="CC78" s="1548"/>
      <c r="CD78" s="1548"/>
      <c r="CE78" s="1548"/>
      <c r="CF78" s="1548"/>
      <c r="CG78" s="1548"/>
      <c r="CH78" s="1548"/>
      <c r="CI78" s="1548"/>
      <c r="CJ78" s="1548"/>
      <c r="CK78" s="1548"/>
      <c r="CL78" s="1548"/>
      <c r="CM78" s="1548"/>
      <c r="CN78" s="1548"/>
      <c r="CO78" s="1548"/>
      <c r="CP78" s="1548"/>
      <c r="CQ78" s="1548"/>
      <c r="CR78" s="1548"/>
      <c r="CS78" s="1548"/>
      <c r="CT78" s="1548"/>
      <c r="CU78" s="1548"/>
      <c r="CV78" s="1548"/>
      <c r="CW78" s="1548"/>
      <c r="CX78" s="1548"/>
      <c r="CY78" s="1548"/>
      <c r="CZ78" s="1548"/>
      <c r="DA78" s="1548"/>
      <c r="DB78" s="1548"/>
      <c r="DC78" s="1548"/>
      <c r="DD78" s="1548"/>
      <c r="DE78" s="1548"/>
      <c r="DF78" s="1548"/>
      <c r="DG78" s="1548"/>
      <c r="DH78" s="1548"/>
      <c r="DI78" s="1548"/>
      <c r="DJ78" s="1548"/>
      <c r="DK78" s="1548"/>
      <c r="DL78" s="1548"/>
      <c r="DM78" s="1548"/>
      <c r="DN78" s="1548"/>
      <c r="DO78" s="1548"/>
      <c r="DP78" s="1548"/>
      <c r="DQ78" s="1548"/>
      <c r="DR78" s="1548"/>
      <c r="DS78" s="1548"/>
      <c r="DT78" s="1548"/>
      <c r="DU78" s="1548"/>
      <c r="DV78" s="1548"/>
      <c r="DW78" s="1548"/>
    </row>
    <row r="79" spans="1:127" s="2150" customFormat="1" ht="61.5" customHeight="1">
      <c r="A79" s="3764"/>
      <c r="B79" s="1495" t="str">
        <f t="shared" si="5"/>
        <v>2400001135</v>
      </c>
      <c r="C79" s="1626" t="s">
        <v>6402</v>
      </c>
      <c r="D79" s="2325"/>
      <c r="E79" s="1495"/>
      <c r="F79" s="1493"/>
      <c r="G79" s="1495"/>
      <c r="H79" s="1495"/>
      <c r="I79" s="1495" t="s">
        <v>19</v>
      </c>
      <c r="J79" s="1495" t="s">
        <v>267</v>
      </c>
      <c r="K79" s="1547" t="s">
        <v>6431</v>
      </c>
      <c r="L79" s="2357">
        <v>357</v>
      </c>
      <c r="M79" s="1790" t="s">
        <v>6432</v>
      </c>
      <c r="N79" s="1859"/>
      <c r="O79" s="2597">
        <v>2</v>
      </c>
      <c r="P79" s="1883" t="s">
        <v>6278</v>
      </c>
      <c r="Q79" s="1548"/>
      <c r="R79" s="1548"/>
      <c r="S79" s="1548"/>
      <c r="T79" s="1548"/>
      <c r="U79" s="1548"/>
      <c r="V79" s="1548"/>
      <c r="W79" s="1548"/>
      <c r="X79" s="1548"/>
      <c r="Y79" s="1548"/>
      <c r="Z79" s="1548"/>
      <c r="AA79" s="1548"/>
      <c r="AB79" s="1548"/>
      <c r="AC79" s="1548"/>
      <c r="AD79" s="1548"/>
      <c r="AE79" s="1548"/>
      <c r="AF79" s="1548"/>
      <c r="AG79" s="1548"/>
      <c r="AH79" s="1548"/>
      <c r="AI79" s="1548"/>
      <c r="AJ79" s="1548"/>
      <c r="AK79" s="1548"/>
      <c r="AL79" s="1548"/>
      <c r="AM79" s="1548"/>
      <c r="AN79" s="1548"/>
      <c r="AO79" s="1548"/>
      <c r="AP79" s="1548"/>
      <c r="AQ79" s="1548"/>
      <c r="AR79" s="1548"/>
      <c r="AS79" s="1548"/>
      <c r="AT79" s="1548"/>
      <c r="AU79" s="1548"/>
      <c r="AV79" s="1548"/>
      <c r="AW79" s="1548"/>
      <c r="AX79" s="1548"/>
      <c r="AY79" s="1548"/>
      <c r="AZ79" s="1548"/>
      <c r="BA79" s="1548"/>
      <c r="BB79" s="1548"/>
      <c r="BC79" s="1548"/>
      <c r="BD79" s="1548"/>
      <c r="BE79" s="1548"/>
      <c r="BF79" s="1548"/>
      <c r="BG79" s="1548"/>
      <c r="BH79" s="1548"/>
      <c r="BI79" s="1548"/>
      <c r="BJ79" s="1548"/>
      <c r="BK79" s="1548"/>
      <c r="BL79" s="1548"/>
      <c r="BM79" s="1548"/>
      <c r="BN79" s="1548"/>
      <c r="BO79" s="1548"/>
      <c r="BP79" s="1548"/>
      <c r="BQ79" s="1548"/>
      <c r="BR79" s="1548"/>
      <c r="BS79" s="1548"/>
      <c r="BT79" s="1548"/>
      <c r="BU79" s="1548"/>
      <c r="BV79" s="1548"/>
      <c r="BW79" s="1548"/>
      <c r="BX79" s="1548"/>
      <c r="BY79" s="1548"/>
      <c r="BZ79" s="1548"/>
      <c r="CA79" s="1548"/>
      <c r="CB79" s="1548"/>
      <c r="CC79" s="1548"/>
      <c r="CD79" s="1548"/>
      <c r="CE79" s="1548"/>
      <c r="CF79" s="1548"/>
      <c r="CG79" s="1548"/>
      <c r="CH79" s="1548"/>
      <c r="CI79" s="1548"/>
      <c r="CJ79" s="1548"/>
      <c r="CK79" s="1548"/>
      <c r="CL79" s="1548"/>
      <c r="CM79" s="1548"/>
      <c r="CN79" s="1548"/>
      <c r="CO79" s="1548"/>
      <c r="CP79" s="1548"/>
      <c r="CQ79" s="1548"/>
      <c r="CR79" s="1548"/>
      <c r="CS79" s="1548"/>
      <c r="CT79" s="1548"/>
      <c r="CU79" s="1548"/>
      <c r="CV79" s="1548"/>
      <c r="CW79" s="1548"/>
      <c r="CX79" s="1548"/>
      <c r="CY79" s="1548"/>
      <c r="CZ79" s="1548"/>
      <c r="DA79" s="1548"/>
      <c r="DB79" s="1548"/>
      <c r="DC79" s="1548"/>
      <c r="DD79" s="1548"/>
      <c r="DE79" s="1548"/>
      <c r="DF79" s="1548"/>
      <c r="DG79" s="1548"/>
      <c r="DH79" s="1548"/>
      <c r="DI79" s="1548"/>
      <c r="DJ79" s="1548"/>
      <c r="DK79" s="1548"/>
      <c r="DL79" s="1548"/>
      <c r="DM79" s="1548"/>
      <c r="DN79" s="1548"/>
      <c r="DO79" s="1548"/>
      <c r="DP79" s="1548"/>
      <c r="DQ79" s="1548"/>
      <c r="DR79" s="1548"/>
      <c r="DS79" s="1548"/>
      <c r="DT79" s="1548"/>
      <c r="DU79" s="1548"/>
      <c r="DV79" s="1548"/>
      <c r="DW79" s="1548"/>
    </row>
    <row r="80" spans="1:127" s="2150" customFormat="1" ht="61.5" customHeight="1">
      <c r="A80" s="3764"/>
      <c r="B80" s="1495" t="str">
        <f t="shared" si="5"/>
        <v>2400001136</v>
      </c>
      <c r="C80" s="1626" t="s">
        <v>6402</v>
      </c>
      <c r="D80" s="2325"/>
      <c r="E80" s="1495"/>
      <c r="F80" s="1493"/>
      <c r="G80" s="1495"/>
      <c r="H80" s="1495"/>
      <c r="I80" s="1495" t="s">
        <v>19</v>
      </c>
      <c r="J80" s="1495" t="s">
        <v>267</v>
      </c>
      <c r="K80" s="1547" t="s">
        <v>6433</v>
      </c>
      <c r="L80" s="2357">
        <v>3065</v>
      </c>
      <c r="M80" s="1790" t="s">
        <v>5961</v>
      </c>
      <c r="N80" s="1859"/>
      <c r="O80" s="2597">
        <v>2</v>
      </c>
      <c r="P80" s="1883" t="s">
        <v>6278</v>
      </c>
      <c r="Q80" s="1548"/>
      <c r="R80" s="1548"/>
      <c r="S80" s="1548"/>
      <c r="T80" s="1548"/>
      <c r="U80" s="1548"/>
      <c r="V80" s="1548"/>
      <c r="W80" s="1548"/>
      <c r="X80" s="1548"/>
      <c r="Y80" s="1548"/>
      <c r="Z80" s="1548"/>
      <c r="AA80" s="1548"/>
      <c r="AB80" s="1548"/>
      <c r="AC80" s="1548"/>
      <c r="AD80" s="1548"/>
      <c r="AE80" s="1548"/>
      <c r="AF80" s="1548"/>
      <c r="AG80" s="1548"/>
      <c r="AH80" s="1548"/>
      <c r="AI80" s="1548"/>
      <c r="AJ80" s="1548"/>
      <c r="AK80" s="1548"/>
      <c r="AL80" s="1548"/>
      <c r="AM80" s="1548"/>
      <c r="AN80" s="1548"/>
      <c r="AO80" s="1548"/>
      <c r="AP80" s="1548"/>
      <c r="AQ80" s="1548"/>
      <c r="AR80" s="1548"/>
      <c r="AS80" s="1548"/>
      <c r="AT80" s="1548"/>
      <c r="AU80" s="1548"/>
      <c r="AV80" s="1548"/>
      <c r="AW80" s="1548"/>
      <c r="AX80" s="1548"/>
      <c r="AY80" s="1548"/>
      <c r="AZ80" s="1548"/>
      <c r="BA80" s="1548"/>
      <c r="BB80" s="1548"/>
      <c r="BC80" s="1548"/>
      <c r="BD80" s="1548"/>
      <c r="BE80" s="1548"/>
      <c r="BF80" s="1548"/>
      <c r="BG80" s="1548"/>
      <c r="BH80" s="1548"/>
      <c r="BI80" s="1548"/>
      <c r="BJ80" s="1548"/>
      <c r="BK80" s="1548"/>
      <c r="BL80" s="1548"/>
      <c r="BM80" s="1548"/>
      <c r="BN80" s="1548"/>
      <c r="BO80" s="1548"/>
      <c r="BP80" s="1548"/>
      <c r="BQ80" s="1548"/>
      <c r="BR80" s="1548"/>
      <c r="BS80" s="1548"/>
      <c r="BT80" s="1548"/>
      <c r="BU80" s="1548"/>
      <c r="BV80" s="1548"/>
      <c r="BW80" s="1548"/>
      <c r="BX80" s="1548"/>
      <c r="BY80" s="1548"/>
      <c r="BZ80" s="1548"/>
      <c r="CA80" s="1548"/>
      <c r="CB80" s="1548"/>
      <c r="CC80" s="1548"/>
      <c r="CD80" s="1548"/>
      <c r="CE80" s="1548"/>
      <c r="CF80" s="1548"/>
      <c r="CG80" s="1548"/>
      <c r="CH80" s="1548"/>
      <c r="CI80" s="1548"/>
      <c r="CJ80" s="1548"/>
      <c r="CK80" s="1548"/>
      <c r="CL80" s="1548"/>
      <c r="CM80" s="1548"/>
      <c r="CN80" s="1548"/>
      <c r="CO80" s="1548"/>
      <c r="CP80" s="1548"/>
      <c r="CQ80" s="1548"/>
      <c r="CR80" s="1548"/>
      <c r="CS80" s="1548"/>
      <c r="CT80" s="1548"/>
      <c r="CU80" s="1548"/>
      <c r="CV80" s="1548"/>
      <c r="CW80" s="1548"/>
      <c r="CX80" s="1548"/>
      <c r="CY80" s="1548"/>
      <c r="CZ80" s="1548"/>
      <c r="DA80" s="1548"/>
      <c r="DB80" s="1548"/>
      <c r="DC80" s="1548"/>
      <c r="DD80" s="1548"/>
      <c r="DE80" s="1548"/>
      <c r="DF80" s="1548"/>
      <c r="DG80" s="1548"/>
      <c r="DH80" s="1548"/>
      <c r="DI80" s="1548"/>
      <c r="DJ80" s="1548"/>
      <c r="DK80" s="1548"/>
      <c r="DL80" s="1548"/>
      <c r="DM80" s="1548"/>
      <c r="DN80" s="1548"/>
      <c r="DO80" s="1548"/>
      <c r="DP80" s="1548"/>
      <c r="DQ80" s="1548"/>
      <c r="DR80" s="1548"/>
      <c r="DS80" s="1548"/>
      <c r="DT80" s="1548"/>
      <c r="DU80" s="1548"/>
      <c r="DV80" s="1548"/>
      <c r="DW80" s="1548"/>
    </row>
    <row r="81" spans="1:127" s="2150" customFormat="1" ht="54" customHeight="1">
      <c r="A81" s="3764"/>
      <c r="B81" s="1495" t="str">
        <f t="shared" si="5"/>
        <v>2400001137</v>
      </c>
      <c r="C81" s="1626" t="s">
        <v>6402</v>
      </c>
      <c r="D81" s="2325"/>
      <c r="E81" s="1495"/>
      <c r="F81" s="1493"/>
      <c r="G81" s="1495"/>
      <c r="H81" s="1495"/>
      <c r="I81" s="1495" t="s">
        <v>19</v>
      </c>
      <c r="J81" s="1495" t="s">
        <v>267</v>
      </c>
      <c r="K81" s="1547" t="s">
        <v>6434</v>
      </c>
      <c r="L81" s="2357">
        <v>4526</v>
      </c>
      <c r="M81" s="1748" t="s">
        <v>6432</v>
      </c>
      <c r="N81" s="1859"/>
      <c r="O81" s="2597">
        <v>2</v>
      </c>
      <c r="P81" s="1883" t="s">
        <v>6278</v>
      </c>
      <c r="Q81" s="1548"/>
      <c r="R81" s="1548"/>
      <c r="S81" s="1548"/>
      <c r="T81" s="1548"/>
      <c r="U81" s="1548"/>
      <c r="V81" s="1548"/>
      <c r="W81" s="1548"/>
      <c r="X81" s="1548"/>
      <c r="Y81" s="1548"/>
      <c r="Z81" s="1548"/>
      <c r="AA81" s="1548"/>
      <c r="AB81" s="1548"/>
      <c r="AC81" s="1548"/>
      <c r="AD81" s="1548"/>
      <c r="AE81" s="1548"/>
      <c r="AF81" s="1548"/>
      <c r="AG81" s="1548"/>
      <c r="AH81" s="1548"/>
      <c r="AI81" s="1548"/>
      <c r="AJ81" s="1548"/>
      <c r="AK81" s="1548"/>
      <c r="AL81" s="1548"/>
      <c r="AM81" s="1548"/>
      <c r="AN81" s="1548"/>
      <c r="AO81" s="1548"/>
      <c r="AP81" s="1548"/>
      <c r="AQ81" s="1548"/>
      <c r="AR81" s="1548"/>
      <c r="AS81" s="1548"/>
      <c r="AT81" s="1548"/>
      <c r="AU81" s="1548"/>
      <c r="AV81" s="1548"/>
      <c r="AW81" s="1548"/>
      <c r="AX81" s="1548"/>
      <c r="AY81" s="1548"/>
      <c r="AZ81" s="1548"/>
      <c r="BA81" s="1548"/>
      <c r="BB81" s="1548"/>
      <c r="BC81" s="1548"/>
      <c r="BD81" s="1548"/>
      <c r="BE81" s="1548"/>
      <c r="BF81" s="1548"/>
      <c r="BG81" s="1548"/>
      <c r="BH81" s="1548"/>
      <c r="BI81" s="1548"/>
      <c r="BJ81" s="1548"/>
      <c r="BK81" s="1548"/>
      <c r="BL81" s="1548"/>
      <c r="BM81" s="1548"/>
      <c r="BN81" s="1548"/>
      <c r="BO81" s="1548"/>
      <c r="BP81" s="1548"/>
      <c r="BQ81" s="1548"/>
      <c r="BR81" s="1548"/>
      <c r="BS81" s="1548"/>
      <c r="BT81" s="1548"/>
      <c r="BU81" s="1548"/>
      <c r="BV81" s="1548"/>
      <c r="BW81" s="1548"/>
      <c r="BX81" s="1548"/>
      <c r="BY81" s="1548"/>
      <c r="BZ81" s="1548"/>
      <c r="CA81" s="1548"/>
      <c r="CB81" s="1548"/>
      <c r="CC81" s="1548"/>
      <c r="CD81" s="1548"/>
      <c r="CE81" s="1548"/>
      <c r="CF81" s="1548"/>
      <c r="CG81" s="1548"/>
      <c r="CH81" s="1548"/>
      <c r="CI81" s="1548"/>
      <c r="CJ81" s="1548"/>
      <c r="CK81" s="1548"/>
      <c r="CL81" s="1548"/>
      <c r="CM81" s="1548"/>
      <c r="CN81" s="1548"/>
      <c r="CO81" s="1548"/>
      <c r="CP81" s="1548"/>
      <c r="CQ81" s="1548"/>
      <c r="CR81" s="1548"/>
      <c r="CS81" s="1548"/>
      <c r="CT81" s="1548"/>
      <c r="CU81" s="1548"/>
      <c r="CV81" s="1548"/>
      <c r="CW81" s="1548"/>
      <c r="CX81" s="1548"/>
      <c r="CY81" s="1548"/>
      <c r="CZ81" s="1548"/>
      <c r="DA81" s="1548"/>
      <c r="DB81" s="1548"/>
      <c r="DC81" s="1548"/>
      <c r="DD81" s="1548"/>
      <c r="DE81" s="1548"/>
      <c r="DF81" s="1548"/>
      <c r="DG81" s="1548"/>
      <c r="DH81" s="1548"/>
      <c r="DI81" s="1548"/>
      <c r="DJ81" s="1548"/>
      <c r="DK81" s="1548"/>
      <c r="DL81" s="1548"/>
      <c r="DM81" s="1548"/>
      <c r="DN81" s="1548"/>
      <c r="DO81" s="1548"/>
      <c r="DP81" s="1548"/>
      <c r="DQ81" s="1548"/>
      <c r="DR81" s="1548"/>
      <c r="DS81" s="1548"/>
      <c r="DT81" s="1548"/>
      <c r="DU81" s="1548"/>
      <c r="DV81" s="1548"/>
      <c r="DW81" s="1548"/>
    </row>
    <row r="82" spans="1:127" s="2150" customFormat="1" ht="54" customHeight="1">
      <c r="A82" s="3764"/>
      <c r="B82" s="1495" t="str">
        <f t="shared" si="5"/>
        <v>2400001126</v>
      </c>
      <c r="C82" s="1626" t="s">
        <v>6402</v>
      </c>
      <c r="D82" s="2325"/>
      <c r="E82" s="1495"/>
      <c r="F82" s="1493"/>
      <c r="G82" s="1495"/>
      <c r="H82" s="1495"/>
      <c r="I82" s="1495" t="s">
        <v>19</v>
      </c>
      <c r="J82" s="1495" t="s">
        <v>267</v>
      </c>
      <c r="K82" s="1547" t="s">
        <v>6435</v>
      </c>
      <c r="L82" s="2357">
        <v>150</v>
      </c>
      <c r="M82" s="1790" t="s">
        <v>6436</v>
      </c>
      <c r="N82" s="1859"/>
      <c r="O82" s="2597">
        <v>2</v>
      </c>
      <c r="P82" s="1883" t="s">
        <v>6278</v>
      </c>
      <c r="Q82" s="1548"/>
      <c r="R82" s="1548"/>
      <c r="S82" s="1548"/>
      <c r="T82" s="1548"/>
      <c r="U82" s="1548"/>
      <c r="V82" s="1548"/>
      <c r="W82" s="1548"/>
      <c r="X82" s="1548"/>
      <c r="Y82" s="1548"/>
      <c r="Z82" s="1548"/>
      <c r="AA82" s="1548"/>
      <c r="AB82" s="1548"/>
      <c r="AC82" s="1548"/>
      <c r="AD82" s="1548"/>
      <c r="AE82" s="1548"/>
      <c r="AF82" s="1548"/>
      <c r="AG82" s="1548"/>
      <c r="AH82" s="1548"/>
      <c r="AI82" s="1548"/>
      <c r="AJ82" s="1548"/>
      <c r="AK82" s="1548"/>
      <c r="AL82" s="1548"/>
      <c r="AM82" s="1548"/>
      <c r="AN82" s="1548"/>
      <c r="AO82" s="1548"/>
      <c r="AP82" s="1548"/>
      <c r="AQ82" s="1548"/>
      <c r="AR82" s="1548"/>
      <c r="AS82" s="1548"/>
      <c r="AT82" s="1548"/>
      <c r="AU82" s="1548"/>
      <c r="AV82" s="1548"/>
      <c r="AW82" s="1548"/>
      <c r="AX82" s="1548"/>
      <c r="AY82" s="1548"/>
      <c r="AZ82" s="1548"/>
      <c r="BA82" s="1548"/>
      <c r="BB82" s="1548"/>
      <c r="BC82" s="1548"/>
      <c r="BD82" s="1548"/>
      <c r="BE82" s="1548"/>
      <c r="BF82" s="1548"/>
      <c r="BG82" s="1548"/>
      <c r="BH82" s="1548"/>
      <c r="BI82" s="1548"/>
      <c r="BJ82" s="1548"/>
      <c r="BK82" s="1548"/>
      <c r="BL82" s="1548"/>
      <c r="BM82" s="1548"/>
      <c r="BN82" s="1548"/>
      <c r="BO82" s="1548"/>
      <c r="BP82" s="1548"/>
      <c r="BQ82" s="1548"/>
      <c r="BR82" s="1548"/>
      <c r="BS82" s="1548"/>
      <c r="BT82" s="1548"/>
      <c r="BU82" s="1548"/>
      <c r="BV82" s="1548"/>
      <c r="BW82" s="1548"/>
      <c r="BX82" s="1548"/>
      <c r="BY82" s="1548"/>
      <c r="BZ82" s="1548"/>
      <c r="CA82" s="1548"/>
      <c r="CB82" s="1548"/>
      <c r="CC82" s="1548"/>
      <c r="CD82" s="1548"/>
      <c r="CE82" s="1548"/>
      <c r="CF82" s="1548"/>
      <c r="CG82" s="1548"/>
      <c r="CH82" s="1548"/>
      <c r="CI82" s="1548"/>
      <c r="CJ82" s="1548"/>
      <c r="CK82" s="1548"/>
      <c r="CL82" s="1548"/>
      <c r="CM82" s="1548"/>
      <c r="CN82" s="1548"/>
      <c r="CO82" s="1548"/>
      <c r="CP82" s="1548"/>
      <c r="CQ82" s="1548"/>
      <c r="CR82" s="1548"/>
      <c r="CS82" s="1548"/>
      <c r="CT82" s="1548"/>
      <c r="CU82" s="1548"/>
      <c r="CV82" s="1548"/>
      <c r="CW82" s="1548"/>
      <c r="CX82" s="1548"/>
      <c r="CY82" s="1548"/>
      <c r="CZ82" s="1548"/>
      <c r="DA82" s="1548"/>
      <c r="DB82" s="1548"/>
      <c r="DC82" s="1548"/>
      <c r="DD82" s="1548"/>
      <c r="DE82" s="1548"/>
      <c r="DF82" s="1548"/>
      <c r="DG82" s="1548"/>
      <c r="DH82" s="1548"/>
      <c r="DI82" s="1548"/>
      <c r="DJ82" s="1548"/>
      <c r="DK82" s="1548"/>
      <c r="DL82" s="1548"/>
      <c r="DM82" s="1548"/>
      <c r="DN82" s="1548"/>
      <c r="DO82" s="1548"/>
      <c r="DP82" s="1548"/>
      <c r="DQ82" s="1548"/>
      <c r="DR82" s="1548"/>
      <c r="DS82" s="1548"/>
      <c r="DT82" s="1548"/>
      <c r="DU82" s="1548"/>
      <c r="DV82" s="1548"/>
      <c r="DW82" s="1548"/>
    </row>
    <row r="83" spans="1:127" s="2150" customFormat="1" ht="54" customHeight="1">
      <c r="A83" s="3764"/>
      <c r="B83" s="1495" t="str">
        <f t="shared" si="5"/>
        <v>2400001127</v>
      </c>
      <c r="C83" s="1626" t="s">
        <v>6402</v>
      </c>
      <c r="D83" s="2325"/>
      <c r="E83" s="1495"/>
      <c r="F83" s="1493"/>
      <c r="G83" s="1495"/>
      <c r="H83" s="1495"/>
      <c r="I83" s="1495" t="s">
        <v>19</v>
      </c>
      <c r="J83" s="1495" t="s">
        <v>267</v>
      </c>
      <c r="K83" s="1547" t="s">
        <v>6437</v>
      </c>
      <c r="L83" s="2357">
        <v>250</v>
      </c>
      <c r="M83" s="1748" t="s">
        <v>6438</v>
      </c>
      <c r="N83" s="1859"/>
      <c r="O83" s="2597">
        <v>2</v>
      </c>
      <c r="P83" s="1883" t="s">
        <v>6278</v>
      </c>
      <c r="Q83" s="1548"/>
      <c r="R83" s="1548"/>
      <c r="S83" s="1548"/>
      <c r="T83" s="1548"/>
      <c r="U83" s="1548"/>
      <c r="V83" s="1548"/>
      <c r="W83" s="1548"/>
      <c r="X83" s="1548"/>
      <c r="Y83" s="1548"/>
      <c r="Z83" s="1548"/>
      <c r="AA83" s="1548"/>
      <c r="AB83" s="1548"/>
      <c r="AC83" s="1548"/>
      <c r="AD83" s="1548"/>
      <c r="AE83" s="1548"/>
      <c r="AF83" s="1548"/>
      <c r="AG83" s="1548"/>
      <c r="AH83" s="1548"/>
      <c r="AI83" s="1548"/>
      <c r="AJ83" s="1548"/>
      <c r="AK83" s="1548"/>
      <c r="AL83" s="1548"/>
      <c r="AM83" s="1548"/>
      <c r="AN83" s="1548"/>
      <c r="AO83" s="1548"/>
      <c r="AP83" s="1548"/>
      <c r="AQ83" s="1548"/>
      <c r="AR83" s="1548"/>
      <c r="AS83" s="1548"/>
      <c r="AT83" s="1548"/>
      <c r="AU83" s="1548"/>
      <c r="AV83" s="1548"/>
      <c r="AW83" s="1548"/>
      <c r="AX83" s="1548"/>
      <c r="AY83" s="1548"/>
      <c r="AZ83" s="1548"/>
      <c r="BA83" s="1548"/>
      <c r="BB83" s="1548"/>
      <c r="BC83" s="1548"/>
      <c r="BD83" s="1548"/>
      <c r="BE83" s="1548"/>
      <c r="BF83" s="1548"/>
      <c r="BG83" s="1548"/>
      <c r="BH83" s="1548"/>
      <c r="BI83" s="1548"/>
      <c r="BJ83" s="1548"/>
      <c r="BK83" s="1548"/>
      <c r="BL83" s="1548"/>
      <c r="BM83" s="1548"/>
      <c r="BN83" s="1548"/>
      <c r="BO83" s="1548"/>
      <c r="BP83" s="1548"/>
      <c r="BQ83" s="1548"/>
      <c r="BR83" s="1548"/>
      <c r="BS83" s="1548"/>
      <c r="BT83" s="1548"/>
      <c r="BU83" s="1548"/>
      <c r="BV83" s="1548"/>
      <c r="BW83" s="1548"/>
      <c r="BX83" s="1548"/>
      <c r="BY83" s="1548"/>
      <c r="BZ83" s="1548"/>
      <c r="CA83" s="1548"/>
      <c r="CB83" s="1548"/>
      <c r="CC83" s="1548"/>
      <c r="CD83" s="1548"/>
      <c r="CE83" s="1548"/>
      <c r="CF83" s="1548"/>
      <c r="CG83" s="1548"/>
      <c r="CH83" s="1548"/>
      <c r="CI83" s="1548"/>
      <c r="CJ83" s="1548"/>
      <c r="CK83" s="1548"/>
      <c r="CL83" s="1548"/>
      <c r="CM83" s="1548"/>
      <c r="CN83" s="1548"/>
      <c r="CO83" s="1548"/>
      <c r="CP83" s="1548"/>
      <c r="CQ83" s="1548"/>
      <c r="CR83" s="1548"/>
      <c r="CS83" s="1548"/>
      <c r="CT83" s="1548"/>
      <c r="CU83" s="1548"/>
      <c r="CV83" s="1548"/>
      <c r="CW83" s="1548"/>
      <c r="CX83" s="1548"/>
      <c r="CY83" s="1548"/>
      <c r="CZ83" s="1548"/>
      <c r="DA83" s="1548"/>
      <c r="DB83" s="1548"/>
      <c r="DC83" s="1548"/>
      <c r="DD83" s="1548"/>
      <c r="DE83" s="1548"/>
      <c r="DF83" s="1548"/>
      <c r="DG83" s="1548"/>
      <c r="DH83" s="1548"/>
      <c r="DI83" s="1548"/>
      <c r="DJ83" s="1548"/>
      <c r="DK83" s="1548"/>
      <c r="DL83" s="1548"/>
      <c r="DM83" s="1548"/>
      <c r="DN83" s="1548"/>
      <c r="DO83" s="1548"/>
      <c r="DP83" s="1548"/>
      <c r="DQ83" s="1548"/>
      <c r="DR83" s="1548"/>
      <c r="DS83" s="1548"/>
      <c r="DT83" s="1548"/>
      <c r="DU83" s="1548"/>
      <c r="DV83" s="1548"/>
      <c r="DW83" s="1548"/>
    </row>
    <row r="84" spans="1:127" s="2150" customFormat="1" ht="54" customHeight="1">
      <c r="A84" s="3765"/>
      <c r="B84" s="1495" t="str">
        <f t="shared" si="5"/>
        <v>2400001140</v>
      </c>
      <c r="C84" s="1626" t="s">
        <v>6402</v>
      </c>
      <c r="D84" s="2325"/>
      <c r="E84" s="1543"/>
      <c r="F84" s="1545"/>
      <c r="G84" s="1543"/>
      <c r="H84" s="1543"/>
      <c r="I84" s="1495" t="s">
        <v>19</v>
      </c>
      <c r="J84" s="1495" t="s">
        <v>267</v>
      </c>
      <c r="K84" s="1547" t="s">
        <v>6439</v>
      </c>
      <c r="L84" s="2357"/>
      <c r="M84" s="1493" t="s">
        <v>6440</v>
      </c>
      <c r="N84" s="1859"/>
      <c r="O84" s="2597">
        <v>2</v>
      </c>
      <c r="P84" s="1883" t="s">
        <v>6278</v>
      </c>
      <c r="Q84" s="1548"/>
      <c r="R84" s="1548"/>
      <c r="S84" s="1548"/>
      <c r="T84" s="1548"/>
      <c r="U84" s="1548"/>
      <c r="V84" s="1548"/>
      <c r="W84" s="1548"/>
      <c r="X84" s="1548"/>
      <c r="Y84" s="1548"/>
      <c r="Z84" s="1548"/>
      <c r="AA84" s="1548"/>
      <c r="AB84" s="1548"/>
      <c r="AC84" s="1548"/>
      <c r="AD84" s="1548"/>
      <c r="AE84" s="1548"/>
      <c r="AF84" s="1548"/>
      <c r="AG84" s="1548"/>
      <c r="AH84" s="1548"/>
      <c r="AI84" s="1548"/>
      <c r="AJ84" s="1548"/>
      <c r="AK84" s="1548"/>
      <c r="AL84" s="1548"/>
      <c r="AM84" s="1548"/>
      <c r="AN84" s="1548"/>
      <c r="AO84" s="1548"/>
      <c r="AP84" s="1548"/>
      <c r="AQ84" s="1548"/>
      <c r="AR84" s="1548"/>
      <c r="AS84" s="1548"/>
      <c r="AT84" s="1548"/>
      <c r="AU84" s="1548"/>
      <c r="AV84" s="1548"/>
      <c r="AW84" s="1548"/>
      <c r="AX84" s="1548"/>
      <c r="AY84" s="1548"/>
      <c r="AZ84" s="1548"/>
      <c r="BA84" s="1548"/>
      <c r="BB84" s="1548"/>
      <c r="BC84" s="1548"/>
      <c r="BD84" s="1548"/>
      <c r="BE84" s="1548"/>
      <c r="BF84" s="1548"/>
      <c r="BG84" s="1548"/>
      <c r="BH84" s="1548"/>
      <c r="BI84" s="1548"/>
      <c r="BJ84" s="1548"/>
      <c r="BK84" s="1548"/>
      <c r="BL84" s="1548"/>
      <c r="BM84" s="1548"/>
      <c r="BN84" s="1548"/>
      <c r="BO84" s="1548"/>
      <c r="BP84" s="1548"/>
      <c r="BQ84" s="1548"/>
      <c r="BR84" s="1548"/>
      <c r="BS84" s="1548"/>
      <c r="BT84" s="1548"/>
      <c r="BU84" s="1548"/>
      <c r="BV84" s="1548"/>
      <c r="BW84" s="1548"/>
      <c r="BX84" s="1548"/>
      <c r="BY84" s="1548"/>
      <c r="BZ84" s="1548"/>
      <c r="CA84" s="1548"/>
      <c r="CB84" s="1548"/>
      <c r="CC84" s="1548"/>
      <c r="CD84" s="1548"/>
      <c r="CE84" s="1548"/>
      <c r="CF84" s="1548"/>
      <c r="CG84" s="1548"/>
      <c r="CH84" s="1548"/>
      <c r="CI84" s="1548"/>
      <c r="CJ84" s="1548"/>
      <c r="CK84" s="1548"/>
      <c r="CL84" s="1548"/>
      <c r="CM84" s="1548"/>
      <c r="CN84" s="1548"/>
      <c r="CO84" s="1548"/>
      <c r="CP84" s="1548"/>
      <c r="CQ84" s="1548"/>
      <c r="CR84" s="1548"/>
      <c r="CS84" s="1548"/>
      <c r="CT84" s="1548"/>
      <c r="CU84" s="1548"/>
      <c r="CV84" s="1548"/>
      <c r="CW84" s="1548"/>
      <c r="CX84" s="1548"/>
      <c r="CY84" s="1548"/>
      <c r="CZ84" s="1548"/>
      <c r="DA84" s="1548"/>
      <c r="DB84" s="1548"/>
      <c r="DC84" s="1548"/>
      <c r="DD84" s="1548"/>
      <c r="DE84" s="1548"/>
      <c r="DF84" s="1548"/>
      <c r="DG84" s="1548"/>
      <c r="DH84" s="1548"/>
      <c r="DI84" s="1548"/>
      <c r="DJ84" s="1548"/>
      <c r="DK84" s="1548"/>
      <c r="DL84" s="1548"/>
      <c r="DM84" s="1548"/>
      <c r="DN84" s="1548"/>
      <c r="DO84" s="1548"/>
      <c r="DP84" s="1548"/>
      <c r="DQ84" s="1548"/>
      <c r="DR84" s="1548"/>
      <c r="DS84" s="1548"/>
      <c r="DT84" s="1548"/>
      <c r="DU84" s="1548"/>
      <c r="DV84" s="1548"/>
      <c r="DW84" s="1548"/>
    </row>
    <row r="85" spans="1:127" s="2150" customFormat="1" ht="61.5" customHeight="1">
      <c r="A85" s="3749">
        <v>16</v>
      </c>
      <c r="B85" s="2279" t="str">
        <f t="shared" si="5"/>
        <v>2200001928</v>
      </c>
      <c r="C85" s="2323" t="s">
        <v>6268</v>
      </c>
      <c r="D85" s="2599">
        <v>1670</v>
      </c>
      <c r="E85" s="1921" t="s">
        <v>6441</v>
      </c>
      <c r="F85" s="1921" t="s">
        <v>89</v>
      </c>
      <c r="G85" s="1921"/>
      <c r="H85" s="1921" t="s">
        <v>1599</v>
      </c>
      <c r="I85" s="2419" t="s">
        <v>19</v>
      </c>
      <c r="J85" s="1921" t="s">
        <v>234</v>
      </c>
      <c r="K85" s="2161" t="s">
        <v>6442</v>
      </c>
      <c r="L85" s="2508">
        <v>1670</v>
      </c>
      <c r="M85" s="2448" t="s">
        <v>6443</v>
      </c>
      <c r="N85" s="1862"/>
      <c r="O85" s="2595">
        <v>2</v>
      </c>
      <c r="Q85" s="1902"/>
      <c r="R85" s="1902"/>
      <c r="S85" s="1902"/>
    </row>
    <row r="86" spans="1:127" s="2150" customFormat="1" ht="61.5" customHeight="1">
      <c r="A86" s="3751"/>
      <c r="B86" s="2279" t="str">
        <f t="shared" si="5"/>
        <v>2200001939</v>
      </c>
      <c r="C86" s="2323" t="s">
        <v>6268</v>
      </c>
      <c r="D86" s="2599">
        <v>190</v>
      </c>
      <c r="E86" s="2187" t="s">
        <v>6441</v>
      </c>
      <c r="F86" s="2187" t="s">
        <v>89</v>
      </c>
      <c r="G86" s="2187"/>
      <c r="H86" s="2187" t="s">
        <v>1599</v>
      </c>
      <c r="I86" s="2419" t="s">
        <v>19</v>
      </c>
      <c r="J86" s="1921" t="s">
        <v>234</v>
      </c>
      <c r="K86" s="2161" t="s">
        <v>6444</v>
      </c>
      <c r="L86" s="2508">
        <v>190</v>
      </c>
      <c r="M86" s="2448" t="s">
        <v>5454</v>
      </c>
      <c r="N86" s="1862" t="s">
        <v>6445</v>
      </c>
      <c r="O86" s="2595">
        <v>2</v>
      </c>
      <c r="Q86" s="1902"/>
      <c r="R86" s="1902"/>
      <c r="S86" s="1902"/>
    </row>
    <row r="87" spans="1:127" s="2150" customFormat="1" ht="61.5" customHeight="1">
      <c r="A87" s="3751"/>
      <c r="B87" s="2279" t="str">
        <f t="shared" si="5"/>
        <v>2200001934</v>
      </c>
      <c r="C87" s="2323" t="s">
        <v>6268</v>
      </c>
      <c r="D87" s="2222">
        <v>2780</v>
      </c>
      <c r="E87" s="1921" t="s">
        <v>6446</v>
      </c>
      <c r="F87" s="1921" t="s">
        <v>89</v>
      </c>
      <c r="G87" s="1921"/>
      <c r="H87" s="2187" t="s">
        <v>1599</v>
      </c>
      <c r="I87" s="2419" t="s">
        <v>19</v>
      </c>
      <c r="J87" s="1921" t="s">
        <v>234</v>
      </c>
      <c r="K87" s="2161" t="s">
        <v>6447</v>
      </c>
      <c r="L87" s="2508">
        <v>2780</v>
      </c>
      <c r="M87" s="2448" t="s">
        <v>5937</v>
      </c>
      <c r="N87" s="1862" t="s">
        <v>6389</v>
      </c>
      <c r="O87" s="1745">
        <v>2</v>
      </c>
      <c r="Q87" s="1902">
        <v>2780</v>
      </c>
      <c r="R87" s="1902"/>
      <c r="S87" s="1493">
        <f>Q87-R87</f>
        <v>2780</v>
      </c>
    </row>
    <row r="88" spans="1:127" s="1548" customFormat="1" ht="65.25" customHeight="1">
      <c r="A88" s="3751"/>
      <c r="B88" s="1921" t="str">
        <f t="shared" si="5"/>
        <v>2000002755</v>
      </c>
      <c r="C88" s="2323" t="s">
        <v>6268</v>
      </c>
      <c r="D88" s="2488">
        <v>1000</v>
      </c>
      <c r="E88" s="1921" t="s">
        <v>6448</v>
      </c>
      <c r="F88" s="1921" t="s">
        <v>89</v>
      </c>
      <c r="G88" s="1921"/>
      <c r="H88" s="2187" t="s">
        <v>1599</v>
      </c>
      <c r="I88" s="2279" t="s">
        <v>19</v>
      </c>
      <c r="J88" s="1921" t="s">
        <v>234</v>
      </c>
      <c r="K88" s="1845" t="s">
        <v>6449</v>
      </c>
      <c r="L88" s="2583">
        <v>1000</v>
      </c>
      <c r="M88" s="2196" t="s">
        <v>5961</v>
      </c>
      <c r="N88" s="1859"/>
      <c r="O88" s="2590">
        <v>2</v>
      </c>
    </row>
    <row r="89" spans="1:127" s="2150" customFormat="1" ht="62.25" customHeight="1">
      <c r="A89" s="3751"/>
      <c r="B89" s="1921" t="str">
        <f t="shared" si="5"/>
        <v>2000002745</v>
      </c>
      <c r="C89" s="2323" t="s">
        <v>6268</v>
      </c>
      <c r="D89" s="2619">
        <v>1000</v>
      </c>
      <c r="E89" s="2118" t="s">
        <v>6450</v>
      </c>
      <c r="F89" s="2118" t="s">
        <v>89</v>
      </c>
      <c r="G89" s="2118"/>
      <c r="H89" s="2187" t="s">
        <v>1599</v>
      </c>
      <c r="I89" s="2279" t="s">
        <v>19</v>
      </c>
      <c r="J89" s="1921" t="s">
        <v>234</v>
      </c>
      <c r="K89" s="1911" t="s">
        <v>6451</v>
      </c>
      <c r="L89" s="2583">
        <v>1000</v>
      </c>
      <c r="M89" s="2584" t="s">
        <v>5961</v>
      </c>
      <c r="N89" s="1775"/>
      <c r="O89" s="1745">
        <v>2</v>
      </c>
    </row>
    <row r="90" spans="1:127" s="2150" customFormat="1" ht="62.25" customHeight="1">
      <c r="A90" s="3751"/>
      <c r="B90" s="1921" t="str">
        <f t="shared" si="5"/>
        <v>2000002770</v>
      </c>
      <c r="C90" s="2323" t="s">
        <v>6268</v>
      </c>
      <c r="D90" s="2619">
        <v>1500</v>
      </c>
      <c r="E90" s="2118" t="s">
        <v>6452</v>
      </c>
      <c r="F90" s="2118" t="s">
        <v>89</v>
      </c>
      <c r="G90" s="2298"/>
      <c r="H90" s="1921"/>
      <c r="I90" s="2279" t="s">
        <v>19</v>
      </c>
      <c r="J90" s="1921" t="s">
        <v>234</v>
      </c>
      <c r="K90" s="1911" t="s">
        <v>6453</v>
      </c>
      <c r="L90" s="2583">
        <v>1500</v>
      </c>
      <c r="M90" s="2584" t="s">
        <v>5937</v>
      </c>
      <c r="N90" s="1775"/>
      <c r="O90" s="1745"/>
    </row>
    <row r="91" spans="1:127" s="2150" customFormat="1" ht="62.25" customHeight="1">
      <c r="A91" s="3751"/>
      <c r="B91" s="1921" t="str">
        <f t="shared" si="5"/>
        <v>2000002780</v>
      </c>
      <c r="C91" s="2323" t="s">
        <v>6268</v>
      </c>
      <c r="D91" s="2619">
        <v>1500</v>
      </c>
      <c r="E91" s="2118" t="s">
        <v>6454</v>
      </c>
      <c r="F91" s="2118" t="s">
        <v>89</v>
      </c>
      <c r="G91" s="2298"/>
      <c r="H91" s="1921"/>
      <c r="I91" s="2279" t="s">
        <v>19</v>
      </c>
      <c r="J91" s="1921" t="s">
        <v>234</v>
      </c>
      <c r="K91" s="1911" t="s">
        <v>6455</v>
      </c>
      <c r="L91" s="2583">
        <v>1500</v>
      </c>
      <c r="M91" s="2584" t="s">
        <v>5937</v>
      </c>
      <c r="N91" s="1775"/>
      <c r="O91" s="1745"/>
    </row>
    <row r="92" spans="1:127" s="2150" customFormat="1" ht="62.25" customHeight="1">
      <c r="A92" s="3751"/>
      <c r="B92" s="1921" t="str">
        <f t="shared" si="5"/>
        <v>2200001946</v>
      </c>
      <c r="C92" s="2323" t="s">
        <v>6268</v>
      </c>
      <c r="D92" s="2619">
        <v>4250</v>
      </c>
      <c r="E92" s="2118" t="s">
        <v>6456</v>
      </c>
      <c r="F92" s="2118" t="s">
        <v>89</v>
      </c>
      <c r="G92" s="2159"/>
      <c r="H92" s="2118"/>
      <c r="I92" s="2279" t="s">
        <v>19</v>
      </c>
      <c r="J92" s="1921" t="s">
        <v>234</v>
      </c>
      <c r="K92" s="1845" t="s">
        <v>6457</v>
      </c>
      <c r="L92" s="2583">
        <v>114</v>
      </c>
      <c r="M92" s="2584" t="s">
        <v>5961</v>
      </c>
      <c r="N92" s="1775"/>
      <c r="O92" s="1745">
        <v>3</v>
      </c>
    </row>
    <row r="93" spans="1:127" s="2150" customFormat="1" ht="76.5" customHeight="1">
      <c r="A93" s="2436">
        <v>17</v>
      </c>
      <c r="B93" s="2279" t="str">
        <f t="shared" si="5"/>
        <v>2000002829</v>
      </c>
      <c r="C93" s="2370" t="s">
        <v>42</v>
      </c>
      <c r="D93" s="2488">
        <v>5960</v>
      </c>
      <c r="E93" s="2118" t="s">
        <v>6458</v>
      </c>
      <c r="F93" s="2391" t="s">
        <v>3401</v>
      </c>
      <c r="G93" s="2159" t="s">
        <v>6459</v>
      </c>
      <c r="H93" s="1632" t="s">
        <v>6460</v>
      </c>
      <c r="I93" s="2187" t="s">
        <v>19</v>
      </c>
      <c r="J93" s="1921" t="s">
        <v>4348</v>
      </c>
      <c r="K93" s="1845" t="s">
        <v>6461</v>
      </c>
      <c r="L93" s="2357">
        <v>6000</v>
      </c>
      <c r="M93" s="2196" t="s">
        <v>5961</v>
      </c>
      <c r="N93" s="1775"/>
      <c r="O93" s="2590">
        <v>2</v>
      </c>
    </row>
    <row r="94" spans="1:127" s="2150" customFormat="1" ht="77.25" customHeight="1">
      <c r="A94" s="2414">
        <v>18</v>
      </c>
      <c r="B94" s="1921" t="str">
        <f t="shared" si="5"/>
        <v>2000002790</v>
      </c>
      <c r="C94" s="1561" t="s">
        <v>3399</v>
      </c>
      <c r="D94" s="2222">
        <v>8800</v>
      </c>
      <c r="E94" s="1921" t="s">
        <v>6462</v>
      </c>
      <c r="F94" s="1902" t="s">
        <v>3401</v>
      </c>
      <c r="G94" s="2279" t="s">
        <v>6463</v>
      </c>
      <c r="H94" s="1921"/>
      <c r="I94" s="1921" t="s">
        <v>19</v>
      </c>
      <c r="J94" s="1921" t="s">
        <v>253</v>
      </c>
      <c r="K94" s="2194" t="s">
        <v>6464</v>
      </c>
      <c r="L94" s="2583">
        <v>8800</v>
      </c>
      <c r="M94" s="2448" t="s">
        <v>5937</v>
      </c>
      <c r="N94" s="1862" t="s">
        <v>6465</v>
      </c>
      <c r="O94" s="1745">
        <v>2</v>
      </c>
      <c r="Q94" s="1493">
        <v>9606</v>
      </c>
      <c r="R94" s="1493">
        <v>7929</v>
      </c>
      <c r="S94" s="1493">
        <f>Q94-R94</f>
        <v>1677</v>
      </c>
    </row>
    <row r="95" spans="1:127" s="2150" customFormat="1" ht="77.25" customHeight="1">
      <c r="A95" s="2436">
        <v>19</v>
      </c>
      <c r="B95" s="1921" t="str">
        <f t="shared" si="5"/>
        <v>2200001920</v>
      </c>
      <c r="C95" s="1902" t="s">
        <v>6466</v>
      </c>
      <c r="D95" s="2585">
        <v>4300</v>
      </c>
      <c r="E95" s="2118" t="s">
        <v>6467</v>
      </c>
      <c r="F95" s="2391" t="s">
        <v>89</v>
      </c>
      <c r="G95" s="1921" t="s">
        <v>6468</v>
      </c>
      <c r="H95" s="1921"/>
      <c r="I95" s="1921" t="s">
        <v>19</v>
      </c>
      <c r="J95" s="1921" t="s">
        <v>1138</v>
      </c>
      <c r="K95" s="1911" t="s">
        <v>6469</v>
      </c>
      <c r="L95" s="2583">
        <v>4250</v>
      </c>
      <c r="M95" s="2196" t="s">
        <v>5937</v>
      </c>
      <c r="N95" s="1862" t="s">
        <v>1000</v>
      </c>
      <c r="O95" s="1745">
        <v>2</v>
      </c>
      <c r="Q95" s="1493">
        <v>27642</v>
      </c>
      <c r="R95" s="1493">
        <v>13395</v>
      </c>
      <c r="S95" s="1493">
        <f>Q95-R95</f>
        <v>14247</v>
      </c>
    </row>
    <row r="96" spans="1:127" s="2150" customFormat="1" ht="62.25" customHeight="1">
      <c r="A96" s="3735">
        <v>20</v>
      </c>
      <c r="B96" s="1921" t="str">
        <f t="shared" si="5"/>
        <v>2400001142</v>
      </c>
      <c r="C96" s="1902" t="s">
        <v>6470</v>
      </c>
      <c r="D96" s="2488">
        <v>6493</v>
      </c>
      <c r="E96" s="1921" t="s">
        <v>6471</v>
      </c>
      <c r="F96" s="1902" t="s">
        <v>3095</v>
      </c>
      <c r="G96" s="1921" t="s">
        <v>6472</v>
      </c>
      <c r="H96" s="1921" t="s">
        <v>6405</v>
      </c>
      <c r="I96" s="1921" t="s">
        <v>19</v>
      </c>
      <c r="J96" s="1921" t="s">
        <v>6369</v>
      </c>
      <c r="K96" s="1845" t="s">
        <v>6473</v>
      </c>
      <c r="L96" s="2583">
        <f>D96</f>
        <v>6493</v>
      </c>
      <c r="M96" s="2448" t="s">
        <v>5937</v>
      </c>
      <c r="N96" s="1843" t="s">
        <v>6389</v>
      </c>
      <c r="O96" s="2598">
        <v>2</v>
      </c>
      <c r="P96" s="2122" t="s">
        <v>6278</v>
      </c>
      <c r="Q96" s="1902">
        <v>3159</v>
      </c>
      <c r="R96" s="1902"/>
      <c r="S96" s="1902">
        <f>Q96-R96</f>
        <v>3159</v>
      </c>
    </row>
    <row r="97" spans="1:127" s="2150" customFormat="1" ht="56.25" customHeight="1">
      <c r="A97" s="3736"/>
      <c r="B97" s="1495" t="str">
        <f t="shared" si="5"/>
        <v>2400001145</v>
      </c>
      <c r="C97" s="1493" t="s">
        <v>6470</v>
      </c>
      <c r="D97" s="2325"/>
      <c r="E97" s="1495"/>
      <c r="F97" s="1493"/>
      <c r="G97" s="1495"/>
      <c r="H97" s="1495"/>
      <c r="I97" s="1495" t="s">
        <v>19</v>
      </c>
      <c r="J97" s="1495" t="s">
        <v>6369</v>
      </c>
      <c r="K97" s="1600" t="s">
        <v>6474</v>
      </c>
      <c r="L97" s="2357"/>
      <c r="M97" s="2584" t="s">
        <v>6432</v>
      </c>
      <c r="N97" s="1859"/>
      <c r="O97" s="2597">
        <v>2</v>
      </c>
      <c r="P97" s="1883" t="s">
        <v>6278</v>
      </c>
      <c r="Q97" s="1548"/>
      <c r="R97" s="1548"/>
      <c r="S97" s="1548"/>
      <c r="T97" s="1548"/>
      <c r="U97" s="1548"/>
      <c r="V97" s="1548"/>
      <c r="W97" s="1548"/>
      <c r="X97" s="1548"/>
      <c r="Y97" s="1548"/>
      <c r="Z97" s="1548"/>
      <c r="AA97" s="1548"/>
      <c r="AB97" s="1548"/>
      <c r="AC97" s="1548"/>
      <c r="AD97" s="1548"/>
      <c r="AE97" s="1548"/>
      <c r="AF97" s="1548"/>
      <c r="AG97" s="1548"/>
      <c r="AH97" s="1548"/>
      <c r="AI97" s="1548"/>
      <c r="AJ97" s="1548"/>
      <c r="AK97" s="1548"/>
      <c r="AL97" s="1548"/>
      <c r="AM97" s="1548"/>
      <c r="AN97" s="1548"/>
      <c r="AO97" s="1548"/>
      <c r="AP97" s="1548"/>
      <c r="AQ97" s="1548"/>
      <c r="AR97" s="1548"/>
      <c r="AS97" s="1548"/>
      <c r="AT97" s="1548"/>
      <c r="AU97" s="1548"/>
      <c r="AV97" s="1548"/>
      <c r="AW97" s="1548"/>
      <c r="AX97" s="1548"/>
      <c r="AY97" s="1548"/>
      <c r="AZ97" s="1548"/>
      <c r="BA97" s="1548"/>
      <c r="BB97" s="1548"/>
      <c r="BC97" s="1548"/>
      <c r="BD97" s="1548"/>
      <c r="BE97" s="1548"/>
      <c r="BF97" s="1548"/>
      <c r="BG97" s="1548"/>
      <c r="BH97" s="1548"/>
      <c r="BI97" s="1548"/>
      <c r="BJ97" s="1548"/>
      <c r="BK97" s="1548"/>
      <c r="BL97" s="1548"/>
      <c r="BM97" s="1548"/>
      <c r="BN97" s="1548"/>
      <c r="BO97" s="1548"/>
      <c r="BP97" s="1548"/>
      <c r="BQ97" s="1548"/>
      <c r="BR97" s="1548"/>
      <c r="BS97" s="1548"/>
      <c r="BT97" s="1548"/>
      <c r="BU97" s="1548"/>
      <c r="BV97" s="1548"/>
      <c r="BW97" s="1548"/>
      <c r="BX97" s="1548"/>
      <c r="BY97" s="1548"/>
      <c r="BZ97" s="1548"/>
      <c r="CA97" s="1548"/>
      <c r="CB97" s="1548"/>
      <c r="CC97" s="1548"/>
      <c r="CD97" s="1548"/>
      <c r="CE97" s="1548"/>
      <c r="CF97" s="1548"/>
      <c r="CG97" s="1548"/>
      <c r="CH97" s="1548"/>
      <c r="CI97" s="1548"/>
      <c r="CJ97" s="1548"/>
      <c r="CK97" s="1548"/>
      <c r="CL97" s="1548"/>
      <c r="CM97" s="1548"/>
      <c r="CN97" s="1548"/>
      <c r="CO97" s="1548"/>
      <c r="CP97" s="1548"/>
      <c r="CQ97" s="1548"/>
      <c r="CR97" s="1548"/>
      <c r="CS97" s="1548"/>
      <c r="CT97" s="1548"/>
      <c r="CU97" s="1548"/>
      <c r="CV97" s="1548"/>
      <c r="CW97" s="1548"/>
      <c r="CX97" s="1548"/>
      <c r="CY97" s="1548"/>
      <c r="CZ97" s="1548"/>
      <c r="DA97" s="1548"/>
      <c r="DB97" s="1548"/>
      <c r="DC97" s="1548"/>
      <c r="DD97" s="1548"/>
      <c r="DE97" s="1548"/>
      <c r="DF97" s="1548"/>
      <c r="DG97" s="1548"/>
      <c r="DH97" s="1548"/>
      <c r="DI97" s="1548"/>
      <c r="DJ97" s="1548"/>
      <c r="DK97" s="1548"/>
      <c r="DL97" s="1548"/>
      <c r="DM97" s="1548"/>
      <c r="DN97" s="1548"/>
      <c r="DO97" s="1548"/>
      <c r="DP97" s="1548"/>
      <c r="DQ97" s="1548"/>
      <c r="DR97" s="1548"/>
      <c r="DS97" s="1548"/>
      <c r="DT97" s="1548"/>
      <c r="DU97" s="1548"/>
      <c r="DV97" s="1548"/>
      <c r="DW97" s="1548"/>
    </row>
    <row r="98" spans="1:127" s="2150" customFormat="1" ht="56.25" customHeight="1">
      <c r="A98" s="3736"/>
      <c r="B98" s="1495" t="str">
        <f t="shared" si="5"/>
        <v>2400001148</v>
      </c>
      <c r="C98" s="1493" t="s">
        <v>6470</v>
      </c>
      <c r="D98" s="2325"/>
      <c r="E98" s="1495"/>
      <c r="F98" s="1493"/>
      <c r="G98" s="1495"/>
      <c r="H98" s="1495"/>
      <c r="I98" s="1495" t="s">
        <v>19</v>
      </c>
      <c r="J98" s="1495" t="s">
        <v>6369</v>
      </c>
      <c r="K98" s="1600" t="s">
        <v>6475</v>
      </c>
      <c r="L98" s="2357"/>
      <c r="M98" s="2448" t="s">
        <v>5937</v>
      </c>
      <c r="N98" s="1843" t="s">
        <v>6389</v>
      </c>
      <c r="O98" s="2597">
        <v>2</v>
      </c>
      <c r="P98" s="1883" t="s">
        <v>6278</v>
      </c>
      <c r="Q98" s="1493">
        <v>2163</v>
      </c>
      <c r="R98" s="1493"/>
      <c r="S98" s="1493">
        <f>Q98-R98</f>
        <v>2163</v>
      </c>
      <c r="T98" s="1548"/>
      <c r="U98" s="1548"/>
      <c r="V98" s="1548"/>
      <c r="W98" s="1548"/>
      <c r="X98" s="1548"/>
      <c r="Y98" s="1548"/>
      <c r="Z98" s="1548"/>
      <c r="AA98" s="1548"/>
      <c r="AB98" s="1548"/>
      <c r="AC98" s="1548"/>
      <c r="AD98" s="1548"/>
      <c r="AE98" s="1548"/>
      <c r="AF98" s="1548"/>
      <c r="AG98" s="1548"/>
      <c r="AH98" s="1548"/>
      <c r="AI98" s="1548"/>
      <c r="AJ98" s="1548"/>
      <c r="AK98" s="1548"/>
      <c r="AL98" s="1548"/>
      <c r="AM98" s="1548"/>
      <c r="AN98" s="1548"/>
      <c r="AO98" s="1548"/>
      <c r="AP98" s="1548"/>
      <c r="AQ98" s="1548"/>
      <c r="AR98" s="1548"/>
      <c r="AS98" s="1548"/>
      <c r="AT98" s="1548"/>
      <c r="AU98" s="1548"/>
      <c r="AV98" s="1548"/>
      <c r="AW98" s="1548"/>
      <c r="AX98" s="1548"/>
      <c r="AY98" s="1548"/>
      <c r="AZ98" s="1548"/>
      <c r="BA98" s="1548"/>
      <c r="BB98" s="1548"/>
      <c r="BC98" s="1548"/>
      <c r="BD98" s="1548"/>
      <c r="BE98" s="1548"/>
      <c r="BF98" s="1548"/>
      <c r="BG98" s="1548"/>
      <c r="BH98" s="1548"/>
      <c r="BI98" s="1548"/>
      <c r="BJ98" s="1548"/>
      <c r="BK98" s="1548"/>
      <c r="BL98" s="1548"/>
      <c r="BM98" s="1548"/>
      <c r="BN98" s="1548"/>
      <c r="BO98" s="1548"/>
      <c r="BP98" s="1548"/>
      <c r="BQ98" s="1548"/>
      <c r="BR98" s="1548"/>
      <c r="BS98" s="1548"/>
      <c r="BT98" s="1548"/>
      <c r="BU98" s="1548"/>
      <c r="BV98" s="1548"/>
      <c r="BW98" s="1548"/>
      <c r="BX98" s="1548"/>
      <c r="BY98" s="1548"/>
      <c r="BZ98" s="1548"/>
      <c r="CA98" s="1548"/>
      <c r="CB98" s="1548"/>
      <c r="CC98" s="1548"/>
      <c r="CD98" s="1548"/>
      <c r="CE98" s="1548"/>
      <c r="CF98" s="1548"/>
      <c r="CG98" s="1548"/>
      <c r="CH98" s="1548"/>
      <c r="CI98" s="1548"/>
      <c r="CJ98" s="1548"/>
      <c r="CK98" s="1548"/>
      <c r="CL98" s="1548"/>
      <c r="CM98" s="1548"/>
      <c r="CN98" s="1548"/>
      <c r="CO98" s="1548"/>
      <c r="CP98" s="1548"/>
      <c r="CQ98" s="1548"/>
      <c r="CR98" s="1548"/>
      <c r="CS98" s="1548"/>
      <c r="CT98" s="1548"/>
      <c r="CU98" s="1548"/>
      <c r="CV98" s="1548"/>
      <c r="CW98" s="1548"/>
      <c r="CX98" s="1548"/>
      <c r="CY98" s="1548"/>
      <c r="CZ98" s="1548"/>
      <c r="DA98" s="1548"/>
      <c r="DB98" s="1548"/>
      <c r="DC98" s="1548"/>
      <c r="DD98" s="1548"/>
      <c r="DE98" s="1548"/>
      <c r="DF98" s="1548"/>
      <c r="DG98" s="1548"/>
      <c r="DH98" s="1548"/>
      <c r="DI98" s="1548"/>
      <c r="DJ98" s="1548"/>
      <c r="DK98" s="1548"/>
      <c r="DL98" s="1548"/>
      <c r="DM98" s="1548"/>
      <c r="DN98" s="1548"/>
      <c r="DO98" s="1548"/>
      <c r="DP98" s="1548"/>
      <c r="DQ98" s="1548"/>
      <c r="DR98" s="1548"/>
      <c r="DS98" s="1548"/>
      <c r="DT98" s="1548"/>
      <c r="DU98" s="1548"/>
      <c r="DV98" s="1548"/>
      <c r="DW98" s="1548"/>
    </row>
    <row r="99" spans="1:127" s="2150" customFormat="1" ht="56.25" customHeight="1">
      <c r="A99" s="3736"/>
      <c r="B99" s="1495" t="str">
        <f t="shared" si="5"/>
        <v>2400001147</v>
      </c>
      <c r="C99" s="1493" t="s">
        <v>6470</v>
      </c>
      <c r="D99" s="2325"/>
      <c r="E99" s="1495"/>
      <c r="F99" s="1493"/>
      <c r="G99" s="1495"/>
      <c r="H99" s="1495"/>
      <c r="I99" s="1495" t="s">
        <v>19</v>
      </c>
      <c r="J99" s="1495" t="s">
        <v>6369</v>
      </c>
      <c r="K99" s="1600" t="s">
        <v>6476</v>
      </c>
      <c r="L99" s="2357"/>
      <c r="M99" s="2584" t="s">
        <v>5961</v>
      </c>
      <c r="N99" s="1859"/>
      <c r="O99" s="2597">
        <v>2</v>
      </c>
      <c r="P99" s="1883" t="s">
        <v>6278</v>
      </c>
      <c r="Q99" s="1548"/>
      <c r="R99" s="1548"/>
      <c r="S99" s="1548"/>
      <c r="T99" s="1548"/>
      <c r="U99" s="1548"/>
      <c r="V99" s="1548"/>
      <c r="W99" s="1548"/>
      <c r="X99" s="1548"/>
      <c r="Y99" s="1548"/>
      <c r="Z99" s="1548"/>
      <c r="AA99" s="1548"/>
      <c r="AB99" s="1548"/>
      <c r="AC99" s="1548"/>
      <c r="AD99" s="1548"/>
      <c r="AE99" s="1548"/>
      <c r="AF99" s="1548"/>
      <c r="AG99" s="1548"/>
      <c r="AH99" s="1548"/>
      <c r="AI99" s="1548"/>
      <c r="AJ99" s="1548"/>
      <c r="AK99" s="1548"/>
      <c r="AL99" s="1548"/>
      <c r="AM99" s="1548"/>
      <c r="AN99" s="1548"/>
      <c r="AO99" s="1548"/>
      <c r="AP99" s="1548"/>
      <c r="AQ99" s="1548"/>
      <c r="AR99" s="1548"/>
      <c r="AS99" s="1548"/>
      <c r="AT99" s="1548"/>
      <c r="AU99" s="1548"/>
      <c r="AV99" s="1548"/>
      <c r="AW99" s="1548"/>
      <c r="AX99" s="1548"/>
      <c r="AY99" s="1548"/>
      <c r="AZ99" s="1548"/>
      <c r="BA99" s="1548"/>
      <c r="BB99" s="1548"/>
      <c r="BC99" s="1548"/>
      <c r="BD99" s="1548"/>
      <c r="BE99" s="1548"/>
      <c r="BF99" s="1548"/>
      <c r="BG99" s="1548"/>
      <c r="BH99" s="1548"/>
      <c r="BI99" s="1548"/>
      <c r="BJ99" s="1548"/>
      <c r="BK99" s="1548"/>
      <c r="BL99" s="1548"/>
      <c r="BM99" s="1548"/>
      <c r="BN99" s="1548"/>
      <c r="BO99" s="1548"/>
      <c r="BP99" s="1548"/>
      <c r="BQ99" s="1548"/>
      <c r="BR99" s="1548"/>
      <c r="BS99" s="1548"/>
      <c r="BT99" s="1548"/>
      <c r="BU99" s="1548"/>
      <c r="BV99" s="1548"/>
      <c r="BW99" s="1548"/>
      <c r="BX99" s="1548"/>
      <c r="BY99" s="1548"/>
      <c r="BZ99" s="1548"/>
      <c r="CA99" s="1548"/>
      <c r="CB99" s="1548"/>
      <c r="CC99" s="1548"/>
      <c r="CD99" s="1548"/>
      <c r="CE99" s="1548"/>
      <c r="CF99" s="1548"/>
      <c r="CG99" s="1548"/>
      <c r="CH99" s="1548"/>
      <c r="CI99" s="1548"/>
      <c r="CJ99" s="1548"/>
      <c r="CK99" s="1548"/>
      <c r="CL99" s="1548"/>
      <c r="CM99" s="1548"/>
      <c r="CN99" s="1548"/>
      <c r="CO99" s="1548"/>
      <c r="CP99" s="1548"/>
      <c r="CQ99" s="1548"/>
      <c r="CR99" s="1548"/>
      <c r="CS99" s="1548"/>
      <c r="CT99" s="1548"/>
      <c r="CU99" s="1548"/>
      <c r="CV99" s="1548"/>
      <c r="CW99" s="1548"/>
      <c r="CX99" s="1548"/>
      <c r="CY99" s="1548"/>
      <c r="CZ99" s="1548"/>
      <c r="DA99" s="1548"/>
      <c r="DB99" s="1548"/>
      <c r="DC99" s="1548"/>
      <c r="DD99" s="1548"/>
      <c r="DE99" s="1548"/>
      <c r="DF99" s="1548"/>
      <c r="DG99" s="1548"/>
      <c r="DH99" s="1548"/>
      <c r="DI99" s="1548"/>
      <c r="DJ99" s="1548"/>
      <c r="DK99" s="1548"/>
      <c r="DL99" s="1548"/>
      <c r="DM99" s="1548"/>
      <c r="DN99" s="1548"/>
      <c r="DO99" s="1548"/>
      <c r="DP99" s="1548"/>
      <c r="DQ99" s="1548"/>
      <c r="DR99" s="1548"/>
      <c r="DS99" s="1548"/>
      <c r="DT99" s="1548"/>
      <c r="DU99" s="1548"/>
      <c r="DV99" s="1548"/>
      <c r="DW99" s="1548"/>
    </row>
    <row r="100" spans="1:127" s="2150" customFormat="1" ht="56.25" customHeight="1">
      <c r="A100" s="3736"/>
      <c r="B100" s="1495" t="str">
        <f t="shared" si="5"/>
        <v>2400001150</v>
      </c>
      <c r="C100" s="1493" t="s">
        <v>6470</v>
      </c>
      <c r="D100" s="2325"/>
      <c r="E100" s="1495"/>
      <c r="F100" s="1493"/>
      <c r="G100" s="1495"/>
      <c r="H100" s="1495"/>
      <c r="I100" s="1495" t="s">
        <v>19</v>
      </c>
      <c r="J100" s="1495" t="s">
        <v>6369</v>
      </c>
      <c r="K100" s="1547" t="s">
        <v>6477</v>
      </c>
      <c r="L100" s="2357"/>
      <c r="M100" s="2448" t="s">
        <v>5937</v>
      </c>
      <c r="N100" s="1843" t="s">
        <v>6389</v>
      </c>
      <c r="O100" s="2597">
        <v>2</v>
      </c>
      <c r="P100" s="1883" t="s">
        <v>6278</v>
      </c>
      <c r="Q100" s="1493">
        <v>324</v>
      </c>
      <c r="R100" s="1493"/>
      <c r="S100" s="1493">
        <f>Q100-R100</f>
        <v>324</v>
      </c>
      <c r="T100" s="1548"/>
      <c r="U100" s="1548"/>
      <c r="V100" s="1548"/>
      <c r="W100" s="1548"/>
      <c r="X100" s="1548"/>
      <c r="Y100" s="1548"/>
      <c r="Z100" s="1548"/>
      <c r="AA100" s="1548"/>
      <c r="AB100" s="1548"/>
      <c r="AC100" s="1548"/>
      <c r="AD100" s="1548"/>
      <c r="AE100" s="1548"/>
      <c r="AF100" s="1548"/>
      <c r="AG100" s="1548"/>
      <c r="AH100" s="1548"/>
      <c r="AI100" s="1548"/>
      <c r="AJ100" s="1548"/>
      <c r="AK100" s="1548"/>
      <c r="AL100" s="1548"/>
      <c r="AM100" s="1548"/>
      <c r="AN100" s="1548"/>
      <c r="AO100" s="1548"/>
      <c r="AP100" s="1548"/>
      <c r="AQ100" s="1548"/>
      <c r="AR100" s="1548"/>
      <c r="AS100" s="1548"/>
      <c r="AT100" s="1548"/>
      <c r="AU100" s="1548"/>
      <c r="AV100" s="1548"/>
      <c r="AW100" s="1548"/>
      <c r="AX100" s="1548"/>
      <c r="AY100" s="1548"/>
      <c r="AZ100" s="1548"/>
      <c r="BA100" s="1548"/>
      <c r="BB100" s="1548"/>
      <c r="BC100" s="1548"/>
      <c r="BD100" s="1548"/>
      <c r="BE100" s="1548"/>
      <c r="BF100" s="1548"/>
      <c r="BG100" s="1548"/>
      <c r="BH100" s="1548"/>
      <c r="BI100" s="1548"/>
      <c r="BJ100" s="1548"/>
      <c r="BK100" s="1548"/>
      <c r="BL100" s="1548"/>
      <c r="BM100" s="1548"/>
      <c r="BN100" s="1548"/>
      <c r="BO100" s="1548"/>
      <c r="BP100" s="1548"/>
      <c r="BQ100" s="1548"/>
      <c r="BR100" s="1548"/>
      <c r="BS100" s="1548"/>
      <c r="BT100" s="1548"/>
      <c r="BU100" s="1548"/>
      <c r="BV100" s="1548"/>
      <c r="BW100" s="1548"/>
      <c r="BX100" s="1548"/>
      <c r="BY100" s="1548"/>
      <c r="BZ100" s="1548"/>
      <c r="CA100" s="1548"/>
      <c r="CB100" s="1548"/>
      <c r="CC100" s="1548"/>
      <c r="CD100" s="1548"/>
      <c r="CE100" s="1548"/>
      <c r="CF100" s="1548"/>
      <c r="CG100" s="1548"/>
      <c r="CH100" s="1548"/>
      <c r="CI100" s="1548"/>
      <c r="CJ100" s="1548"/>
      <c r="CK100" s="1548"/>
      <c r="CL100" s="1548"/>
      <c r="CM100" s="1548"/>
      <c r="CN100" s="1548"/>
      <c r="CO100" s="1548"/>
      <c r="CP100" s="1548"/>
      <c r="CQ100" s="1548"/>
      <c r="CR100" s="1548"/>
      <c r="CS100" s="1548"/>
      <c r="CT100" s="1548"/>
      <c r="CU100" s="1548"/>
      <c r="CV100" s="1548"/>
      <c r="CW100" s="1548"/>
      <c r="CX100" s="1548"/>
      <c r="CY100" s="1548"/>
      <c r="CZ100" s="1548"/>
      <c r="DA100" s="1548"/>
      <c r="DB100" s="1548"/>
      <c r="DC100" s="1548"/>
      <c r="DD100" s="1548"/>
      <c r="DE100" s="1548"/>
      <c r="DF100" s="1548"/>
      <c r="DG100" s="1548"/>
      <c r="DH100" s="1548"/>
      <c r="DI100" s="1548"/>
      <c r="DJ100" s="1548"/>
      <c r="DK100" s="1548"/>
      <c r="DL100" s="1548"/>
      <c r="DM100" s="1548"/>
      <c r="DN100" s="1548"/>
      <c r="DO100" s="1548"/>
      <c r="DP100" s="1548"/>
      <c r="DQ100" s="1548"/>
      <c r="DR100" s="1548"/>
      <c r="DS100" s="1548"/>
      <c r="DT100" s="1548"/>
      <c r="DU100" s="1548"/>
      <c r="DV100" s="1548"/>
      <c r="DW100" s="1548"/>
    </row>
    <row r="101" spans="1:127" s="2150" customFormat="1" ht="56.25" customHeight="1">
      <c r="A101" s="3737"/>
      <c r="B101" s="1495" t="str">
        <f t="shared" si="5"/>
        <v>2400001139</v>
      </c>
      <c r="C101" s="1493" t="s">
        <v>6470</v>
      </c>
      <c r="D101" s="2325"/>
      <c r="E101" s="1495"/>
      <c r="F101" s="1493"/>
      <c r="G101" s="1495"/>
      <c r="H101" s="1495"/>
      <c r="I101" s="1495" t="s">
        <v>19</v>
      </c>
      <c r="J101" s="1495" t="s">
        <v>6369</v>
      </c>
      <c r="K101" s="1547" t="s">
        <v>6478</v>
      </c>
      <c r="L101" s="2357"/>
      <c r="M101" s="2506" t="s">
        <v>6479</v>
      </c>
      <c r="N101" s="1859"/>
      <c r="O101" s="2597">
        <v>2</v>
      </c>
      <c r="P101" s="1883" t="s">
        <v>6278</v>
      </c>
      <c r="Q101" s="1548"/>
      <c r="R101" s="1548"/>
      <c r="S101" s="1548"/>
      <c r="T101" s="1548"/>
      <c r="U101" s="1548"/>
      <c r="V101" s="1548"/>
      <c r="W101" s="1548"/>
      <c r="X101" s="1548"/>
      <c r="Y101" s="1548"/>
      <c r="Z101" s="1548"/>
      <c r="AA101" s="1548"/>
      <c r="AB101" s="1548"/>
      <c r="AC101" s="1548"/>
      <c r="AD101" s="1548"/>
      <c r="AE101" s="1548"/>
      <c r="AF101" s="1548"/>
      <c r="AG101" s="1548"/>
      <c r="AH101" s="1548"/>
      <c r="AI101" s="1548"/>
      <c r="AJ101" s="1548"/>
      <c r="AK101" s="1548"/>
      <c r="AL101" s="1548"/>
      <c r="AM101" s="1548"/>
      <c r="AN101" s="1548"/>
      <c r="AO101" s="1548"/>
      <c r="AP101" s="1548"/>
      <c r="AQ101" s="1548"/>
      <c r="AR101" s="1548"/>
      <c r="AS101" s="1548"/>
      <c r="AT101" s="1548"/>
      <c r="AU101" s="1548"/>
      <c r="AV101" s="1548"/>
      <c r="AW101" s="1548"/>
      <c r="AX101" s="1548"/>
      <c r="AY101" s="1548"/>
      <c r="AZ101" s="1548"/>
      <c r="BA101" s="1548"/>
      <c r="BB101" s="1548"/>
      <c r="BC101" s="1548"/>
      <c r="BD101" s="1548"/>
      <c r="BE101" s="1548"/>
      <c r="BF101" s="1548"/>
      <c r="BG101" s="1548"/>
      <c r="BH101" s="1548"/>
      <c r="BI101" s="1548"/>
      <c r="BJ101" s="1548"/>
      <c r="BK101" s="1548"/>
      <c r="BL101" s="1548"/>
      <c r="BM101" s="1548"/>
      <c r="BN101" s="1548"/>
      <c r="BO101" s="1548"/>
      <c r="BP101" s="1548"/>
      <c r="BQ101" s="1548"/>
      <c r="BR101" s="1548"/>
      <c r="BS101" s="1548"/>
      <c r="BT101" s="1548"/>
      <c r="BU101" s="1548"/>
      <c r="BV101" s="1548"/>
      <c r="BW101" s="1548"/>
      <c r="BX101" s="1548"/>
      <c r="BY101" s="1548"/>
      <c r="BZ101" s="1548"/>
      <c r="CA101" s="1548"/>
      <c r="CB101" s="1548"/>
      <c r="CC101" s="1548"/>
      <c r="CD101" s="1548"/>
      <c r="CE101" s="1548"/>
      <c r="CF101" s="1548"/>
      <c r="CG101" s="1548"/>
      <c r="CH101" s="1548"/>
      <c r="CI101" s="1548"/>
      <c r="CJ101" s="1548"/>
      <c r="CK101" s="1548"/>
      <c r="CL101" s="1548"/>
      <c r="CM101" s="1548"/>
      <c r="CN101" s="1548"/>
      <c r="CO101" s="1548"/>
      <c r="CP101" s="1548"/>
      <c r="CQ101" s="1548"/>
      <c r="CR101" s="1548"/>
      <c r="CS101" s="1548"/>
      <c r="CT101" s="1548"/>
      <c r="CU101" s="1548"/>
      <c r="CV101" s="1548"/>
      <c r="CW101" s="1548"/>
      <c r="CX101" s="1548"/>
      <c r="CY101" s="1548"/>
      <c r="CZ101" s="1548"/>
      <c r="DA101" s="1548"/>
      <c r="DB101" s="1548"/>
      <c r="DC101" s="1548"/>
      <c r="DD101" s="1548"/>
      <c r="DE101" s="1548"/>
      <c r="DF101" s="1548"/>
      <c r="DG101" s="1548"/>
      <c r="DH101" s="1548"/>
      <c r="DI101" s="1548"/>
      <c r="DJ101" s="1548"/>
      <c r="DK101" s="1548"/>
      <c r="DL101" s="1548"/>
      <c r="DM101" s="1548"/>
      <c r="DN101" s="1548"/>
      <c r="DO101" s="1548"/>
      <c r="DP101" s="1548"/>
      <c r="DQ101" s="1548"/>
      <c r="DR101" s="1548"/>
      <c r="DS101" s="1548"/>
      <c r="DT101" s="1548"/>
      <c r="DU101" s="1548"/>
      <c r="DV101" s="1548"/>
      <c r="DW101" s="1548"/>
    </row>
    <row r="102" spans="1:127" s="2150" customFormat="1" ht="72" customHeight="1">
      <c r="A102" s="3749">
        <v>21</v>
      </c>
      <c r="B102" s="1495" t="str">
        <f t="shared" si="5"/>
        <v>2000002757</v>
      </c>
      <c r="C102" s="2391" t="s">
        <v>193</v>
      </c>
      <c r="D102" s="2602">
        <v>9500</v>
      </c>
      <c r="E102" s="1921" t="s">
        <v>6480</v>
      </c>
      <c r="F102" s="2563" t="s">
        <v>3401</v>
      </c>
      <c r="G102" s="2118" t="s">
        <v>6481</v>
      </c>
      <c r="H102" s="2118"/>
      <c r="I102" s="2118" t="s">
        <v>19</v>
      </c>
      <c r="J102" s="2118" t="s">
        <v>4348</v>
      </c>
      <c r="K102" s="2402" t="s">
        <v>6482</v>
      </c>
      <c r="L102" s="2583">
        <v>5270</v>
      </c>
      <c r="M102" s="2448" t="s">
        <v>5937</v>
      </c>
      <c r="N102" s="1962" t="s">
        <v>6389</v>
      </c>
      <c r="O102" s="2603">
        <v>2</v>
      </c>
      <c r="P102" s="1883"/>
      <c r="Q102" s="1630">
        <v>5567</v>
      </c>
      <c r="R102" s="1630">
        <v>0</v>
      </c>
      <c r="S102" s="1493">
        <f>Q102-R102</f>
        <v>5567</v>
      </c>
      <c r="T102" s="2122"/>
      <c r="U102" s="2122"/>
      <c r="V102" s="2122"/>
      <c r="W102" s="2122"/>
      <c r="X102" s="2122"/>
      <c r="Y102" s="2122"/>
      <c r="Z102" s="2122"/>
      <c r="AA102" s="2122"/>
      <c r="AB102" s="2122"/>
      <c r="AC102" s="2122"/>
      <c r="AD102" s="2122"/>
      <c r="AE102" s="2122"/>
      <c r="AF102" s="2122"/>
      <c r="AG102" s="2122"/>
      <c r="AH102" s="2122"/>
      <c r="AI102" s="2122"/>
      <c r="AJ102" s="2122"/>
      <c r="AK102" s="2122"/>
      <c r="AL102" s="2122"/>
      <c r="AM102" s="2122"/>
      <c r="AN102" s="2122"/>
      <c r="AO102" s="2122"/>
      <c r="AP102" s="2122"/>
      <c r="AQ102" s="2122"/>
      <c r="AR102" s="2122"/>
      <c r="AS102" s="2122"/>
      <c r="AT102" s="2122"/>
      <c r="AU102" s="2122"/>
      <c r="AV102" s="2122"/>
      <c r="AW102" s="2122"/>
      <c r="AX102" s="2122"/>
      <c r="AY102" s="2122"/>
      <c r="AZ102" s="2122"/>
      <c r="BA102" s="2122"/>
      <c r="BB102" s="2122"/>
      <c r="BC102" s="2122"/>
      <c r="BD102" s="2122"/>
      <c r="BE102" s="2122"/>
      <c r="BF102" s="2122"/>
      <c r="BG102" s="2122"/>
      <c r="BH102" s="2122"/>
      <c r="BI102" s="2122"/>
      <c r="BJ102" s="2122"/>
      <c r="BK102" s="2122"/>
      <c r="BL102" s="2122"/>
      <c r="BM102" s="2122"/>
      <c r="BN102" s="2122"/>
      <c r="BO102" s="2122"/>
      <c r="BP102" s="2122"/>
      <c r="BQ102" s="2122"/>
      <c r="BR102" s="2122"/>
      <c r="BS102" s="2122"/>
      <c r="BT102" s="2122"/>
      <c r="BU102" s="2122"/>
      <c r="BV102" s="2122"/>
      <c r="BW102" s="2122"/>
      <c r="BX102" s="2122"/>
      <c r="BY102" s="2122"/>
      <c r="BZ102" s="2122"/>
      <c r="CA102" s="2122"/>
      <c r="CB102" s="2122"/>
      <c r="CC102" s="2122"/>
      <c r="CD102" s="2122"/>
      <c r="CE102" s="2122"/>
      <c r="CF102" s="2122"/>
      <c r="CG102" s="2122"/>
      <c r="CH102" s="2122"/>
      <c r="CI102" s="2122"/>
      <c r="CJ102" s="2122"/>
      <c r="CK102" s="2122"/>
      <c r="CL102" s="2122"/>
      <c r="CM102" s="2122"/>
      <c r="CN102" s="2122"/>
      <c r="CO102" s="2122"/>
      <c r="CP102" s="2122"/>
      <c r="CQ102" s="2122"/>
      <c r="CR102" s="2122"/>
      <c r="CS102" s="2122"/>
      <c r="CT102" s="2122"/>
      <c r="CU102" s="2122"/>
      <c r="CV102" s="2122"/>
      <c r="CW102" s="2122"/>
      <c r="CX102" s="2122"/>
      <c r="CY102" s="2122"/>
      <c r="CZ102" s="2122"/>
      <c r="DA102" s="2122"/>
      <c r="DB102" s="2122"/>
      <c r="DC102" s="2122"/>
      <c r="DD102" s="2122"/>
      <c r="DE102" s="2122"/>
      <c r="DF102" s="2122"/>
      <c r="DG102" s="2122"/>
      <c r="DH102" s="2122"/>
      <c r="DI102" s="2122"/>
      <c r="DJ102" s="2122"/>
      <c r="DK102" s="2122"/>
      <c r="DL102" s="2122"/>
      <c r="DM102" s="2122"/>
      <c r="DN102" s="2122"/>
      <c r="DO102" s="2122"/>
      <c r="DP102" s="2122"/>
      <c r="DQ102" s="2122"/>
      <c r="DR102" s="2122"/>
      <c r="DS102" s="2122"/>
      <c r="DT102" s="2122"/>
      <c r="DU102" s="2122"/>
      <c r="DV102" s="2122"/>
      <c r="DW102" s="2122"/>
    </row>
    <row r="103" spans="1:127" s="2150" customFormat="1" ht="64.5" customHeight="1">
      <c r="A103" s="3751"/>
      <c r="B103" s="1495" t="str">
        <f t="shared" si="5"/>
        <v>2000002758</v>
      </c>
      <c r="C103" s="1630" t="s">
        <v>193</v>
      </c>
      <c r="D103" s="2575"/>
      <c r="E103" s="1851"/>
      <c r="F103" s="1493" t="s">
        <v>3401</v>
      </c>
      <c r="G103" s="1495"/>
      <c r="H103" s="1495"/>
      <c r="I103" s="1495" t="s">
        <v>19</v>
      </c>
      <c r="J103" s="1851" t="s">
        <v>4348</v>
      </c>
      <c r="K103" s="1600" t="s">
        <v>6483</v>
      </c>
      <c r="L103" s="2357">
        <v>730</v>
      </c>
      <c r="M103" s="2506" t="s">
        <v>6432</v>
      </c>
      <c r="N103" s="1843"/>
      <c r="O103" s="2590">
        <v>2</v>
      </c>
      <c r="P103" s="1883"/>
      <c r="Q103" s="1548"/>
      <c r="R103" s="1548"/>
      <c r="S103" s="1548"/>
      <c r="T103" s="1548"/>
      <c r="U103" s="1548"/>
      <c r="V103" s="1548"/>
      <c r="W103" s="1548"/>
      <c r="X103" s="1548"/>
      <c r="Y103" s="1548"/>
      <c r="Z103" s="1548"/>
      <c r="AA103" s="1548"/>
      <c r="AB103" s="1548"/>
      <c r="AC103" s="1548"/>
      <c r="AD103" s="1548"/>
      <c r="AE103" s="1548"/>
      <c r="AF103" s="1548"/>
      <c r="AG103" s="1548"/>
      <c r="AH103" s="1548"/>
      <c r="AI103" s="1548"/>
      <c r="AJ103" s="1548"/>
      <c r="AK103" s="1548"/>
      <c r="AL103" s="1548"/>
      <c r="AM103" s="1548"/>
      <c r="AN103" s="1548"/>
      <c r="AO103" s="1548"/>
      <c r="AP103" s="1548"/>
      <c r="AQ103" s="1548"/>
      <c r="AR103" s="1548"/>
      <c r="AS103" s="1548"/>
      <c r="AT103" s="1548"/>
      <c r="AU103" s="1548"/>
      <c r="AV103" s="1548"/>
      <c r="AW103" s="1548"/>
      <c r="AX103" s="1548"/>
      <c r="AY103" s="1548"/>
      <c r="AZ103" s="1548"/>
      <c r="BA103" s="1548"/>
      <c r="BB103" s="1548"/>
      <c r="BC103" s="1548"/>
      <c r="BD103" s="1548"/>
      <c r="BE103" s="1548"/>
      <c r="BF103" s="1548"/>
      <c r="BG103" s="1548"/>
      <c r="BH103" s="1548"/>
      <c r="BI103" s="1548"/>
      <c r="BJ103" s="1548"/>
      <c r="BK103" s="1548"/>
      <c r="BL103" s="1548"/>
      <c r="BM103" s="1548"/>
      <c r="BN103" s="1548"/>
      <c r="BO103" s="1548"/>
      <c r="BP103" s="1548"/>
      <c r="BQ103" s="1548"/>
      <c r="BR103" s="1548"/>
      <c r="BS103" s="1548"/>
      <c r="BT103" s="1548"/>
      <c r="BU103" s="1548"/>
      <c r="BV103" s="1548"/>
      <c r="BW103" s="1548"/>
      <c r="BX103" s="1548"/>
      <c r="BY103" s="1548"/>
      <c r="BZ103" s="1548"/>
      <c r="CA103" s="1548"/>
      <c r="CB103" s="1548"/>
      <c r="CC103" s="1548"/>
      <c r="CD103" s="1548"/>
      <c r="CE103" s="1548"/>
      <c r="CF103" s="1548"/>
      <c r="CG103" s="1548"/>
      <c r="CH103" s="1548"/>
      <c r="CI103" s="1548"/>
      <c r="CJ103" s="1548"/>
      <c r="CK103" s="1548"/>
      <c r="CL103" s="1548"/>
      <c r="CM103" s="1548"/>
      <c r="CN103" s="1548"/>
      <c r="CO103" s="1548"/>
      <c r="CP103" s="1548"/>
      <c r="CQ103" s="1548"/>
      <c r="CR103" s="1548"/>
      <c r="CS103" s="1548"/>
      <c r="CT103" s="1548"/>
      <c r="CU103" s="1548"/>
      <c r="CV103" s="1548"/>
      <c r="CW103" s="1548"/>
      <c r="CX103" s="1548"/>
      <c r="CY103" s="1548"/>
      <c r="CZ103" s="1548"/>
      <c r="DA103" s="1548"/>
      <c r="DB103" s="1548"/>
      <c r="DC103" s="1548"/>
      <c r="DD103" s="1548"/>
      <c r="DE103" s="1548"/>
      <c r="DF103" s="1548"/>
      <c r="DG103" s="1548"/>
      <c r="DH103" s="1548"/>
      <c r="DI103" s="1548"/>
      <c r="DJ103" s="1548"/>
      <c r="DK103" s="1548"/>
      <c r="DL103" s="1548"/>
      <c r="DM103" s="1548"/>
      <c r="DN103" s="1548"/>
      <c r="DO103" s="1548"/>
      <c r="DP103" s="1548"/>
      <c r="DQ103" s="1548"/>
      <c r="DR103" s="1548"/>
      <c r="DS103" s="1548"/>
      <c r="DT103" s="1548"/>
      <c r="DU103" s="1548"/>
      <c r="DV103" s="1548"/>
      <c r="DW103" s="1548"/>
    </row>
    <row r="104" spans="1:127" s="2150" customFormat="1" ht="64.5" customHeight="1">
      <c r="A104" s="3751"/>
      <c r="B104" s="1495" t="str">
        <f t="shared" si="5"/>
        <v>2000002667</v>
      </c>
      <c r="C104" s="1630" t="s">
        <v>193</v>
      </c>
      <c r="D104" s="2325"/>
      <c r="E104" s="1495"/>
      <c r="F104" s="1493" t="s">
        <v>3401</v>
      </c>
      <c r="G104" s="1495"/>
      <c r="H104" s="1495"/>
      <c r="I104" s="1495" t="s">
        <v>19</v>
      </c>
      <c r="J104" s="1495" t="s">
        <v>123</v>
      </c>
      <c r="K104" s="1600" t="s">
        <v>6484</v>
      </c>
      <c r="L104" s="2357">
        <v>2865</v>
      </c>
      <c r="M104" s="1748" t="s">
        <v>6485</v>
      </c>
      <c r="N104" s="1843"/>
      <c r="O104" s="2590">
        <v>2</v>
      </c>
      <c r="P104" s="1548"/>
      <c r="Q104" s="1548"/>
      <c r="R104" s="1548"/>
      <c r="S104" s="1548"/>
      <c r="T104" s="1548"/>
      <c r="U104" s="1548"/>
      <c r="V104" s="1548"/>
      <c r="W104" s="1548"/>
      <c r="X104" s="1548"/>
      <c r="Y104" s="1548"/>
      <c r="Z104" s="1548"/>
      <c r="AA104" s="1548"/>
      <c r="AB104" s="1548"/>
      <c r="AC104" s="1548"/>
      <c r="AD104" s="1548"/>
      <c r="AE104" s="1548"/>
      <c r="AF104" s="1548"/>
      <c r="AG104" s="1548"/>
      <c r="AH104" s="1548"/>
      <c r="AI104" s="1548"/>
      <c r="AJ104" s="1548"/>
      <c r="AK104" s="1548"/>
      <c r="AL104" s="1548"/>
      <c r="AM104" s="1548"/>
      <c r="AN104" s="1548"/>
      <c r="AO104" s="1548"/>
      <c r="AP104" s="1548"/>
      <c r="AQ104" s="1548"/>
      <c r="AR104" s="1548"/>
      <c r="AS104" s="1548"/>
      <c r="AT104" s="1548"/>
      <c r="AU104" s="1548"/>
      <c r="AV104" s="1548"/>
      <c r="AW104" s="1548"/>
      <c r="AX104" s="1548"/>
      <c r="AY104" s="1548"/>
      <c r="AZ104" s="1548"/>
      <c r="BA104" s="1548"/>
      <c r="BB104" s="1548"/>
      <c r="BC104" s="1548"/>
      <c r="BD104" s="1548"/>
      <c r="BE104" s="1548"/>
      <c r="BF104" s="1548"/>
      <c r="BG104" s="1548"/>
      <c r="BH104" s="1548"/>
      <c r="BI104" s="1548"/>
      <c r="BJ104" s="1548"/>
      <c r="BK104" s="1548"/>
      <c r="BL104" s="1548"/>
      <c r="BM104" s="1548"/>
      <c r="BN104" s="1548"/>
      <c r="BO104" s="1548"/>
      <c r="BP104" s="1548"/>
      <c r="BQ104" s="1548"/>
      <c r="BR104" s="1548"/>
      <c r="BS104" s="1548"/>
      <c r="BT104" s="1548"/>
      <c r="BU104" s="1548"/>
      <c r="BV104" s="1548"/>
      <c r="BW104" s="1548"/>
      <c r="BX104" s="1548"/>
      <c r="BY104" s="1548"/>
      <c r="BZ104" s="1548"/>
      <c r="CA104" s="1548"/>
      <c r="CB104" s="1548"/>
      <c r="CC104" s="1548"/>
      <c r="CD104" s="1548"/>
      <c r="CE104" s="1548"/>
      <c r="CF104" s="1548"/>
      <c r="CG104" s="1548"/>
      <c r="CH104" s="1548"/>
      <c r="CI104" s="1548"/>
      <c r="CJ104" s="1548"/>
      <c r="CK104" s="1548"/>
      <c r="CL104" s="1548"/>
      <c r="CM104" s="1548"/>
      <c r="CN104" s="1548"/>
      <c r="CO104" s="1548"/>
      <c r="CP104" s="1548"/>
      <c r="CQ104" s="1548"/>
      <c r="CR104" s="1548"/>
      <c r="CS104" s="1548"/>
      <c r="CT104" s="1548"/>
      <c r="CU104" s="1548"/>
      <c r="CV104" s="1548"/>
      <c r="CW104" s="1548"/>
      <c r="CX104" s="1548"/>
      <c r="CY104" s="1548"/>
      <c r="CZ104" s="1548"/>
      <c r="DA104" s="1548"/>
      <c r="DB104" s="1548"/>
      <c r="DC104" s="1548"/>
      <c r="DD104" s="1548"/>
      <c r="DE104" s="1548"/>
      <c r="DF104" s="1548"/>
      <c r="DG104" s="1548"/>
      <c r="DH104" s="1548"/>
      <c r="DI104" s="1548"/>
      <c r="DJ104" s="1548"/>
      <c r="DK104" s="1548"/>
      <c r="DL104" s="1548"/>
      <c r="DM104" s="1548"/>
      <c r="DN104" s="1548"/>
      <c r="DO104" s="1548"/>
      <c r="DP104" s="1548"/>
      <c r="DQ104" s="1548"/>
      <c r="DR104" s="1548"/>
      <c r="DS104" s="1548"/>
      <c r="DT104" s="1548"/>
      <c r="DU104" s="1548"/>
      <c r="DV104" s="1548"/>
      <c r="DW104" s="1548"/>
    </row>
    <row r="105" spans="1:127" s="2150" customFormat="1" ht="92.25" customHeight="1">
      <c r="A105" s="3750"/>
      <c r="B105" s="1495" t="str">
        <f t="shared" si="5"/>
        <v>2000002767</v>
      </c>
      <c r="C105" s="1630" t="s">
        <v>193</v>
      </c>
      <c r="D105" s="2325"/>
      <c r="E105" s="1495"/>
      <c r="F105" s="1493" t="s">
        <v>3401</v>
      </c>
      <c r="G105" s="1495"/>
      <c r="H105" s="1495"/>
      <c r="I105" s="1495" t="s">
        <v>19</v>
      </c>
      <c r="J105" s="1495" t="s">
        <v>123</v>
      </c>
      <c r="K105" s="1600" t="s">
        <v>6486</v>
      </c>
      <c r="L105" s="2357">
        <v>650</v>
      </c>
      <c r="M105" s="2448" t="s">
        <v>5937</v>
      </c>
      <c r="N105" s="1859" t="s">
        <v>6389</v>
      </c>
      <c r="O105" s="2590">
        <v>2</v>
      </c>
      <c r="P105" s="1548"/>
      <c r="Q105" s="1493">
        <v>660</v>
      </c>
      <c r="R105" s="1493"/>
      <c r="S105" s="1493">
        <f>Q105-R105</f>
        <v>660</v>
      </c>
      <c r="T105" s="1548"/>
      <c r="U105" s="1548"/>
      <c r="V105" s="1548"/>
      <c r="W105" s="1548"/>
      <c r="X105" s="1548"/>
      <c r="Y105" s="1548"/>
      <c r="Z105" s="1548"/>
      <c r="AA105" s="1548"/>
      <c r="AB105" s="1548"/>
      <c r="AC105" s="1548"/>
      <c r="AD105" s="1548"/>
      <c r="AE105" s="1548"/>
      <c r="AF105" s="1548"/>
      <c r="AG105" s="1548"/>
      <c r="AH105" s="1548"/>
      <c r="AI105" s="1548"/>
      <c r="AJ105" s="1548"/>
      <c r="AK105" s="1548"/>
      <c r="AL105" s="1548"/>
      <c r="AM105" s="1548"/>
      <c r="AN105" s="1548"/>
      <c r="AO105" s="1548"/>
      <c r="AP105" s="1548"/>
      <c r="AQ105" s="1548"/>
      <c r="AR105" s="1548"/>
      <c r="AS105" s="1548"/>
      <c r="AT105" s="1548"/>
      <c r="AU105" s="1548"/>
      <c r="AV105" s="1548"/>
      <c r="AW105" s="1548"/>
      <c r="AX105" s="1548"/>
      <c r="AY105" s="1548"/>
      <c r="AZ105" s="1548"/>
      <c r="BA105" s="1548"/>
      <c r="BB105" s="1548"/>
      <c r="BC105" s="1548"/>
      <c r="BD105" s="1548"/>
      <c r="BE105" s="1548"/>
      <c r="BF105" s="1548"/>
      <c r="BG105" s="1548"/>
      <c r="BH105" s="1548"/>
      <c r="BI105" s="1548"/>
      <c r="BJ105" s="1548"/>
      <c r="BK105" s="1548"/>
      <c r="BL105" s="1548"/>
      <c r="BM105" s="1548"/>
      <c r="BN105" s="1548"/>
      <c r="BO105" s="1548"/>
      <c r="BP105" s="1548"/>
      <c r="BQ105" s="1548"/>
      <c r="BR105" s="1548"/>
      <c r="BS105" s="1548"/>
      <c r="BT105" s="1548"/>
      <c r="BU105" s="1548"/>
      <c r="BV105" s="1548"/>
      <c r="BW105" s="1548"/>
      <c r="BX105" s="1548"/>
      <c r="BY105" s="1548"/>
      <c r="BZ105" s="1548"/>
      <c r="CA105" s="1548"/>
      <c r="CB105" s="1548"/>
      <c r="CC105" s="1548"/>
      <c r="CD105" s="1548"/>
      <c r="CE105" s="1548"/>
      <c r="CF105" s="1548"/>
      <c r="CG105" s="1548"/>
      <c r="CH105" s="1548"/>
      <c r="CI105" s="1548"/>
      <c r="CJ105" s="1548"/>
      <c r="CK105" s="1548"/>
      <c r="CL105" s="1548"/>
      <c r="CM105" s="1548"/>
      <c r="CN105" s="1548"/>
      <c r="CO105" s="1548"/>
      <c r="CP105" s="1548"/>
      <c r="CQ105" s="1548"/>
      <c r="CR105" s="1548"/>
      <c r="CS105" s="1548"/>
      <c r="CT105" s="1548"/>
      <c r="CU105" s="1548"/>
      <c r="CV105" s="1548"/>
      <c r="CW105" s="1548"/>
      <c r="CX105" s="1548"/>
      <c r="CY105" s="1548"/>
      <c r="CZ105" s="1548"/>
      <c r="DA105" s="1548"/>
      <c r="DB105" s="1548"/>
      <c r="DC105" s="1548"/>
      <c r="DD105" s="1548"/>
      <c r="DE105" s="1548"/>
      <c r="DF105" s="1548"/>
      <c r="DG105" s="1548"/>
      <c r="DH105" s="1548"/>
      <c r="DI105" s="1548"/>
      <c r="DJ105" s="1548"/>
      <c r="DK105" s="1548"/>
      <c r="DL105" s="1548"/>
      <c r="DM105" s="1548"/>
      <c r="DN105" s="1548"/>
      <c r="DO105" s="1548"/>
      <c r="DP105" s="1548"/>
      <c r="DQ105" s="1548"/>
      <c r="DR105" s="1548"/>
      <c r="DS105" s="1548"/>
      <c r="DT105" s="1548"/>
      <c r="DU105" s="1548"/>
      <c r="DV105" s="1548"/>
      <c r="DW105" s="1548"/>
    </row>
    <row r="106" spans="1:127" s="1548" customFormat="1" ht="71.25" customHeight="1">
      <c r="A106" s="3749">
        <v>22</v>
      </c>
      <c r="B106" s="2279" t="str">
        <f t="shared" si="5"/>
        <v>2000002787</v>
      </c>
      <c r="C106" s="2279" t="s">
        <v>3414</v>
      </c>
      <c r="D106" s="2569">
        <v>24200</v>
      </c>
      <c r="E106" s="2159" t="s">
        <v>6487</v>
      </c>
      <c r="F106" s="2120" t="s">
        <v>3416</v>
      </c>
      <c r="G106" s="2118" t="s">
        <v>6488</v>
      </c>
      <c r="H106" s="2159"/>
      <c r="I106" s="1921" t="s">
        <v>19</v>
      </c>
      <c r="J106" s="1921" t="s">
        <v>20</v>
      </c>
      <c r="K106" s="2161" t="s">
        <v>6489</v>
      </c>
      <c r="L106" s="2508">
        <v>2430</v>
      </c>
      <c r="M106" s="2448" t="s">
        <v>5937</v>
      </c>
      <c r="N106" s="1862" t="s">
        <v>6465</v>
      </c>
      <c r="O106" s="2596">
        <v>2</v>
      </c>
      <c r="Q106" s="1493">
        <v>6029</v>
      </c>
      <c r="R106" s="1493">
        <v>3494</v>
      </c>
      <c r="S106" s="1493">
        <f>Q106-R106</f>
        <v>2535</v>
      </c>
    </row>
    <row r="107" spans="1:127" s="1548" customFormat="1" ht="58.5" customHeight="1">
      <c r="A107" s="3751"/>
      <c r="B107" s="1568" t="str">
        <f t="shared" si="5"/>
        <v>2000002788</v>
      </c>
      <c r="C107" s="1568" t="s">
        <v>3414</v>
      </c>
      <c r="D107" s="2572"/>
      <c r="E107" s="1947"/>
      <c r="F107" s="1872" t="s">
        <v>3416</v>
      </c>
      <c r="G107" s="1851"/>
      <c r="H107" s="1947"/>
      <c r="I107" s="1495" t="s">
        <v>19</v>
      </c>
      <c r="J107" s="1495" t="s">
        <v>20</v>
      </c>
      <c r="K107" s="1628" t="s">
        <v>6490</v>
      </c>
      <c r="L107" s="2361">
        <v>13797</v>
      </c>
      <c r="M107" s="2448" t="s">
        <v>5937</v>
      </c>
      <c r="N107" s="1843" t="s">
        <v>6491</v>
      </c>
      <c r="O107" s="2596">
        <v>2</v>
      </c>
      <c r="Q107" s="1493">
        <v>13767</v>
      </c>
      <c r="R107" s="1493"/>
      <c r="S107" s="1493">
        <f>Q107-R107</f>
        <v>13767</v>
      </c>
    </row>
    <row r="108" spans="1:127" s="1548" customFormat="1" ht="69" customHeight="1">
      <c r="A108" s="3751"/>
      <c r="B108" s="1495" t="str">
        <f t="shared" ref="B108:B139" si="6">TEXT(LEFT(K108,10),"0000000000")</f>
        <v>2000002766</v>
      </c>
      <c r="C108" s="1568" t="s">
        <v>3414</v>
      </c>
      <c r="D108" s="2325"/>
      <c r="E108" s="1495"/>
      <c r="F108" s="1872" t="s">
        <v>3416</v>
      </c>
      <c r="G108" s="1495"/>
      <c r="H108" s="1495"/>
      <c r="I108" s="1495" t="s">
        <v>19</v>
      </c>
      <c r="J108" s="1495" t="s">
        <v>959</v>
      </c>
      <c r="K108" s="1600" t="s">
        <v>6492</v>
      </c>
      <c r="L108" s="2357">
        <v>5000</v>
      </c>
      <c r="M108" s="2196" t="s">
        <v>6432</v>
      </c>
      <c r="N108" s="1859"/>
      <c r="O108" s="2590">
        <v>2</v>
      </c>
    </row>
    <row r="109" spans="1:127" s="1548" customFormat="1" ht="66" customHeight="1">
      <c r="A109" s="3751"/>
      <c r="B109" s="1495" t="str">
        <f t="shared" si="6"/>
        <v>2000002803</v>
      </c>
      <c r="C109" s="1568" t="s">
        <v>3414</v>
      </c>
      <c r="D109" s="2325"/>
      <c r="E109" s="1495"/>
      <c r="F109" s="1872" t="s">
        <v>3416</v>
      </c>
      <c r="G109" s="1495"/>
      <c r="H109" s="1495"/>
      <c r="I109" s="1495" t="s">
        <v>19</v>
      </c>
      <c r="J109" s="1495" t="s">
        <v>959</v>
      </c>
      <c r="K109" s="1600" t="s">
        <v>6493</v>
      </c>
      <c r="L109" s="2357">
        <v>2000</v>
      </c>
      <c r="M109" s="2196" t="s">
        <v>5937</v>
      </c>
      <c r="N109" s="1843" t="s">
        <v>6494</v>
      </c>
      <c r="O109" s="2590">
        <v>2</v>
      </c>
      <c r="Q109" s="1493">
        <v>417</v>
      </c>
      <c r="R109" s="1493"/>
      <c r="S109" s="1493">
        <f>Q109-R109</f>
        <v>417</v>
      </c>
    </row>
    <row r="110" spans="1:127" s="1548" customFormat="1" ht="58.5" customHeight="1">
      <c r="A110" s="3751"/>
      <c r="B110" s="1495" t="str">
        <f t="shared" si="6"/>
        <v>2200001926</v>
      </c>
      <c r="C110" s="1568" t="s">
        <v>3414</v>
      </c>
      <c r="D110" s="2266"/>
      <c r="E110" s="1947"/>
      <c r="F110" s="1872" t="s">
        <v>3416</v>
      </c>
      <c r="G110" s="1851"/>
      <c r="H110" s="1947"/>
      <c r="I110" s="1495" t="s">
        <v>19</v>
      </c>
      <c r="J110" s="1495" t="s">
        <v>959</v>
      </c>
      <c r="K110" s="1497" t="s">
        <v>6495</v>
      </c>
      <c r="L110" s="2361">
        <v>821</v>
      </c>
      <c r="M110" s="1748" t="s">
        <v>5961</v>
      </c>
      <c r="N110" s="1859"/>
      <c r="O110" s="2596">
        <v>2</v>
      </c>
    </row>
    <row r="111" spans="1:127" s="1548" customFormat="1" ht="58.5" customHeight="1">
      <c r="A111" s="3735">
        <v>23</v>
      </c>
      <c r="B111" s="2279" t="str">
        <f t="shared" si="6"/>
        <v>2000002791</v>
      </c>
      <c r="C111" s="2279" t="s">
        <v>3460</v>
      </c>
      <c r="D111" s="2569">
        <v>3240</v>
      </c>
      <c r="E111" s="2159" t="s">
        <v>6496</v>
      </c>
      <c r="F111" s="2120" t="s">
        <v>61</v>
      </c>
      <c r="G111" s="2118" t="s">
        <v>6497</v>
      </c>
      <c r="H111" s="2159"/>
      <c r="I111" s="1921" t="s">
        <v>19</v>
      </c>
      <c r="J111" s="1921" t="s">
        <v>123</v>
      </c>
      <c r="K111" s="2161" t="s">
        <v>6498</v>
      </c>
      <c r="L111" s="2508">
        <v>2280</v>
      </c>
      <c r="M111" s="2448" t="s">
        <v>5937</v>
      </c>
      <c r="N111" s="1862" t="s">
        <v>6465</v>
      </c>
      <c r="O111" s="2595">
        <v>2</v>
      </c>
      <c r="P111" s="2150"/>
      <c r="Q111" s="1493">
        <v>5398</v>
      </c>
      <c r="R111" s="1493">
        <v>3249</v>
      </c>
      <c r="S111" s="1493">
        <f>Q111-R111</f>
        <v>2149</v>
      </c>
      <c r="T111" s="2150"/>
      <c r="U111" s="2150"/>
      <c r="V111" s="2150"/>
      <c r="W111" s="2150"/>
      <c r="X111" s="2150"/>
      <c r="Y111" s="2150"/>
      <c r="Z111" s="2150"/>
      <c r="AA111" s="2150"/>
      <c r="AB111" s="2150"/>
      <c r="AC111" s="2150"/>
      <c r="AD111" s="2150"/>
      <c r="AE111" s="2150"/>
      <c r="AF111" s="2150"/>
      <c r="AG111" s="2150"/>
      <c r="AH111" s="2150"/>
      <c r="AI111" s="2150"/>
      <c r="AJ111" s="2150"/>
      <c r="AK111" s="2150"/>
      <c r="AL111" s="2150"/>
      <c r="AM111" s="2150"/>
      <c r="AN111" s="2150"/>
      <c r="AO111" s="2150"/>
      <c r="AP111" s="2150"/>
      <c r="AQ111" s="2150"/>
      <c r="AR111" s="2150"/>
      <c r="AS111" s="2150"/>
      <c r="AT111" s="2150"/>
      <c r="AU111" s="2150"/>
      <c r="AV111" s="2150"/>
      <c r="AW111" s="2150"/>
      <c r="AX111" s="2150"/>
      <c r="AY111" s="2150"/>
      <c r="AZ111" s="2150"/>
      <c r="BA111" s="2150"/>
      <c r="BB111" s="2150"/>
      <c r="BC111" s="2150"/>
      <c r="BD111" s="2150"/>
      <c r="BE111" s="2150"/>
      <c r="BF111" s="2150"/>
      <c r="BG111" s="2150"/>
      <c r="BH111" s="2150"/>
      <c r="BI111" s="2150"/>
      <c r="BJ111" s="2150"/>
      <c r="BK111" s="2150"/>
      <c r="BL111" s="2150"/>
      <c r="BM111" s="2150"/>
      <c r="BN111" s="2150"/>
      <c r="BO111" s="2150"/>
      <c r="BP111" s="2150"/>
      <c r="BQ111" s="2150"/>
      <c r="BR111" s="2150"/>
      <c r="BS111" s="2150"/>
      <c r="BT111" s="2150"/>
      <c r="BU111" s="2150"/>
      <c r="BV111" s="2150"/>
      <c r="BW111" s="2150"/>
      <c r="BX111" s="2150"/>
      <c r="BY111" s="2150"/>
      <c r="BZ111" s="2150"/>
      <c r="CA111" s="2150"/>
      <c r="CB111" s="2150"/>
      <c r="CC111" s="2150"/>
      <c r="CD111" s="2150"/>
      <c r="CE111" s="2150"/>
      <c r="CF111" s="2150"/>
      <c r="CG111" s="2150"/>
      <c r="CH111" s="2150"/>
      <c r="CI111" s="2150"/>
      <c r="CJ111" s="2150"/>
      <c r="CK111" s="2150"/>
      <c r="CL111" s="2150"/>
      <c r="CM111" s="2150"/>
      <c r="CN111" s="2150"/>
      <c r="CO111" s="2150"/>
      <c r="CP111" s="2150"/>
      <c r="CQ111" s="2150"/>
      <c r="CR111" s="2150"/>
      <c r="CS111" s="2150"/>
      <c r="CT111" s="2150"/>
      <c r="CU111" s="2150"/>
      <c r="CV111" s="2150"/>
      <c r="CW111" s="2150"/>
      <c r="CX111" s="2150"/>
      <c r="CY111" s="2150"/>
      <c r="CZ111" s="2150"/>
      <c r="DA111" s="2150"/>
      <c r="DB111" s="2150"/>
      <c r="DC111" s="2150"/>
      <c r="DD111" s="2150"/>
      <c r="DE111" s="2150"/>
      <c r="DF111" s="2150"/>
      <c r="DG111" s="2150"/>
      <c r="DH111" s="2150"/>
      <c r="DI111" s="2150"/>
      <c r="DJ111" s="2150"/>
      <c r="DK111" s="2150"/>
      <c r="DL111" s="2150"/>
      <c r="DM111" s="2150"/>
      <c r="DN111" s="2150"/>
      <c r="DO111" s="2150"/>
      <c r="DP111" s="2150"/>
      <c r="DQ111" s="2150"/>
      <c r="DR111" s="2150"/>
      <c r="DS111" s="2150"/>
      <c r="DT111" s="2150"/>
      <c r="DU111" s="2150"/>
      <c r="DV111" s="2150"/>
      <c r="DW111" s="2150"/>
    </row>
    <row r="112" spans="1:127" s="1548" customFormat="1" ht="58.5" customHeight="1">
      <c r="A112" s="3736"/>
      <c r="B112" s="1495" t="str">
        <f t="shared" si="6"/>
        <v>2000002744</v>
      </c>
      <c r="C112" s="1568" t="s">
        <v>3460</v>
      </c>
      <c r="D112" s="1808"/>
      <c r="E112" s="1748" t="s">
        <v>6499</v>
      </c>
      <c r="F112" s="1872" t="s">
        <v>61</v>
      </c>
      <c r="G112" s="1495"/>
      <c r="H112" s="1495"/>
      <c r="I112" s="1495" t="s">
        <v>19</v>
      </c>
      <c r="J112" s="1495" t="s">
        <v>6500</v>
      </c>
      <c r="K112" s="1600" t="s">
        <v>6501</v>
      </c>
      <c r="L112" s="2357">
        <v>500</v>
      </c>
      <c r="M112" s="2196" t="s">
        <v>6502</v>
      </c>
      <c r="N112" s="1859" t="s">
        <v>6389</v>
      </c>
      <c r="O112" s="2590">
        <v>2</v>
      </c>
      <c r="Q112" s="1493"/>
      <c r="R112" s="1493"/>
      <c r="S112" s="1493">
        <v>467</v>
      </c>
    </row>
    <row r="113" spans="1:127" s="1548" customFormat="1" ht="58.5" customHeight="1">
      <c r="A113" s="3737"/>
      <c r="B113" s="1495" t="str">
        <f t="shared" si="6"/>
        <v>2000002708</v>
      </c>
      <c r="C113" s="1568" t="s">
        <v>3460</v>
      </c>
      <c r="D113" s="1808"/>
      <c r="E113" s="1495"/>
      <c r="F113" s="1872" t="s">
        <v>61</v>
      </c>
      <c r="G113" s="1495"/>
      <c r="H113" s="1495"/>
      <c r="I113" s="1495" t="s">
        <v>19</v>
      </c>
      <c r="J113" s="1495" t="s">
        <v>6500</v>
      </c>
      <c r="K113" s="1600" t="s">
        <v>6503</v>
      </c>
      <c r="L113" s="2357">
        <v>500</v>
      </c>
      <c r="M113" s="2196" t="s">
        <v>6504</v>
      </c>
      <c r="N113" s="1859" t="s">
        <v>6389</v>
      </c>
      <c r="O113" s="2590">
        <v>2</v>
      </c>
      <c r="Q113" s="1493"/>
      <c r="R113" s="1493"/>
      <c r="S113" s="1493">
        <v>563</v>
      </c>
    </row>
    <row r="114" spans="1:127" s="1548" customFormat="1" ht="58.5" customHeight="1">
      <c r="A114" s="3735">
        <v>24</v>
      </c>
      <c r="B114" s="1921" t="str">
        <f t="shared" si="6"/>
        <v>2000002830</v>
      </c>
      <c r="C114" s="1902" t="s">
        <v>52</v>
      </c>
      <c r="D114" s="2488">
        <v>3200</v>
      </c>
      <c r="E114" s="1921" t="s">
        <v>6505</v>
      </c>
      <c r="F114" s="2601" t="s">
        <v>16</v>
      </c>
      <c r="G114" s="1921" t="s">
        <v>6506</v>
      </c>
      <c r="H114" s="1921"/>
      <c r="I114" s="1921" t="s">
        <v>19</v>
      </c>
      <c r="J114" s="1921" t="s">
        <v>74</v>
      </c>
      <c r="K114" s="2194" t="s">
        <v>6507</v>
      </c>
      <c r="L114" s="2583">
        <v>2400</v>
      </c>
      <c r="M114" s="2584" t="s">
        <v>5961</v>
      </c>
      <c r="N114" s="1862"/>
      <c r="O114" s="1745">
        <v>2</v>
      </c>
      <c r="P114" s="2150"/>
      <c r="Q114" s="2150"/>
      <c r="R114" s="2150"/>
      <c r="S114" s="2150"/>
      <c r="T114" s="2150"/>
      <c r="U114" s="2150"/>
      <c r="V114" s="2150"/>
      <c r="W114" s="2150"/>
      <c r="X114" s="2150"/>
      <c r="Y114" s="2150"/>
      <c r="Z114" s="2150"/>
      <c r="AA114" s="2150"/>
      <c r="AB114" s="2150"/>
      <c r="AC114" s="2150"/>
      <c r="AD114" s="2150"/>
      <c r="AE114" s="2150"/>
      <c r="AF114" s="2150"/>
      <c r="AG114" s="2150"/>
      <c r="AH114" s="2150"/>
      <c r="AI114" s="2150"/>
      <c r="AJ114" s="2150"/>
      <c r="AK114" s="2150"/>
      <c r="AL114" s="2150"/>
      <c r="AM114" s="2150"/>
      <c r="AN114" s="2150"/>
      <c r="AO114" s="2150"/>
      <c r="AP114" s="2150"/>
      <c r="AQ114" s="2150"/>
      <c r="AR114" s="2150"/>
      <c r="AS114" s="2150"/>
      <c r="AT114" s="2150"/>
      <c r="AU114" s="2150"/>
      <c r="AV114" s="2150"/>
      <c r="AW114" s="2150"/>
      <c r="AX114" s="2150"/>
      <c r="AY114" s="2150"/>
      <c r="AZ114" s="2150"/>
      <c r="BA114" s="2150"/>
      <c r="BB114" s="2150"/>
      <c r="BC114" s="2150"/>
      <c r="BD114" s="2150"/>
      <c r="BE114" s="2150"/>
      <c r="BF114" s="2150"/>
      <c r="BG114" s="2150"/>
      <c r="BH114" s="2150"/>
      <c r="BI114" s="2150"/>
      <c r="BJ114" s="2150"/>
      <c r="BK114" s="2150"/>
      <c r="BL114" s="2150"/>
      <c r="BM114" s="2150"/>
      <c r="BN114" s="2150"/>
      <c r="BO114" s="2150"/>
      <c r="BP114" s="2150"/>
      <c r="BQ114" s="2150"/>
      <c r="BR114" s="2150"/>
      <c r="BS114" s="2150"/>
      <c r="BT114" s="2150"/>
      <c r="BU114" s="2150"/>
      <c r="BV114" s="2150"/>
      <c r="BW114" s="2150"/>
      <c r="BX114" s="2150"/>
      <c r="BY114" s="2150"/>
      <c r="BZ114" s="2150"/>
      <c r="CA114" s="2150"/>
      <c r="CB114" s="2150"/>
      <c r="CC114" s="2150"/>
      <c r="CD114" s="2150"/>
      <c r="CE114" s="2150"/>
      <c r="CF114" s="2150"/>
      <c r="CG114" s="2150"/>
      <c r="CH114" s="2150"/>
      <c r="CI114" s="2150"/>
      <c r="CJ114" s="2150"/>
      <c r="CK114" s="2150"/>
      <c r="CL114" s="2150"/>
      <c r="CM114" s="2150"/>
      <c r="CN114" s="2150"/>
      <c r="CO114" s="2150"/>
      <c r="CP114" s="2150"/>
      <c r="CQ114" s="2150"/>
      <c r="CR114" s="2150"/>
      <c r="CS114" s="2150"/>
      <c r="CT114" s="2150"/>
      <c r="CU114" s="2150"/>
      <c r="CV114" s="2150"/>
      <c r="CW114" s="2150"/>
      <c r="CX114" s="2150"/>
      <c r="CY114" s="2150"/>
      <c r="CZ114" s="2150"/>
      <c r="DA114" s="2150"/>
      <c r="DB114" s="2150"/>
      <c r="DC114" s="2150"/>
      <c r="DD114" s="2150"/>
      <c r="DE114" s="2150"/>
      <c r="DF114" s="2150"/>
      <c r="DG114" s="2150"/>
      <c r="DH114" s="2150"/>
      <c r="DI114" s="2150"/>
      <c r="DJ114" s="2150"/>
      <c r="DK114" s="2150"/>
      <c r="DL114" s="2150"/>
      <c r="DM114" s="2150"/>
      <c r="DN114" s="2150"/>
      <c r="DO114" s="2150"/>
      <c r="DP114" s="2150"/>
      <c r="DQ114" s="2150"/>
      <c r="DR114" s="2150"/>
      <c r="DS114" s="2150"/>
      <c r="DT114" s="2150"/>
      <c r="DU114" s="2150"/>
      <c r="DV114" s="2150"/>
      <c r="DW114" s="2150"/>
    </row>
    <row r="115" spans="1:127" s="1548" customFormat="1" ht="58.5" customHeight="1">
      <c r="A115" s="3736"/>
      <c r="B115" s="1495" t="str">
        <f t="shared" si="6"/>
        <v>2200001929</v>
      </c>
      <c r="C115" s="1493" t="s">
        <v>52</v>
      </c>
      <c r="D115" s="2325"/>
      <c r="E115" s="1748" t="s">
        <v>6508</v>
      </c>
      <c r="F115" s="1601" t="s">
        <v>16</v>
      </c>
      <c r="G115" s="1495"/>
      <c r="H115" s="1921"/>
      <c r="I115" s="1495" t="s">
        <v>19</v>
      </c>
      <c r="J115" s="1495" t="s">
        <v>74</v>
      </c>
      <c r="K115" s="1497" t="s">
        <v>6509</v>
      </c>
      <c r="L115" s="2583">
        <v>468</v>
      </c>
      <c r="M115" s="2584" t="s">
        <v>5961</v>
      </c>
      <c r="N115" s="1862"/>
      <c r="O115" s="1745">
        <v>2</v>
      </c>
      <c r="P115" s="2150"/>
      <c r="Q115" s="2150"/>
      <c r="R115" s="2150"/>
      <c r="S115" s="2150"/>
      <c r="T115" s="2150"/>
      <c r="U115" s="2150"/>
      <c r="V115" s="2150"/>
      <c r="W115" s="2150"/>
      <c r="X115" s="2150"/>
      <c r="Y115" s="2150"/>
      <c r="Z115" s="2150"/>
      <c r="AA115" s="2150"/>
      <c r="AB115" s="2150"/>
      <c r="AC115" s="2150"/>
      <c r="AD115" s="2150"/>
      <c r="AE115" s="2150"/>
      <c r="AF115" s="2150"/>
      <c r="AG115" s="2150"/>
      <c r="AH115" s="2150"/>
      <c r="AI115" s="2150"/>
      <c r="AJ115" s="2150"/>
      <c r="AK115" s="2150"/>
      <c r="AL115" s="2150"/>
      <c r="AM115" s="2150"/>
      <c r="AN115" s="2150"/>
      <c r="AO115" s="2150"/>
      <c r="AP115" s="2150"/>
      <c r="AQ115" s="2150"/>
      <c r="AR115" s="2150"/>
      <c r="AS115" s="2150"/>
      <c r="AT115" s="2150"/>
      <c r="AU115" s="2150"/>
      <c r="AV115" s="2150"/>
      <c r="AW115" s="2150"/>
      <c r="AX115" s="2150"/>
      <c r="AY115" s="2150"/>
      <c r="AZ115" s="2150"/>
      <c r="BA115" s="2150"/>
      <c r="BB115" s="2150"/>
      <c r="BC115" s="2150"/>
      <c r="BD115" s="2150"/>
      <c r="BE115" s="2150"/>
      <c r="BF115" s="2150"/>
      <c r="BG115" s="2150"/>
      <c r="BH115" s="2150"/>
      <c r="BI115" s="2150"/>
      <c r="BJ115" s="2150"/>
      <c r="BK115" s="2150"/>
      <c r="BL115" s="2150"/>
      <c r="BM115" s="2150"/>
      <c r="BN115" s="2150"/>
      <c r="BO115" s="2150"/>
      <c r="BP115" s="2150"/>
      <c r="BQ115" s="2150"/>
      <c r="BR115" s="2150"/>
      <c r="BS115" s="2150"/>
      <c r="BT115" s="2150"/>
      <c r="BU115" s="2150"/>
      <c r="BV115" s="2150"/>
      <c r="BW115" s="2150"/>
      <c r="BX115" s="2150"/>
      <c r="BY115" s="2150"/>
      <c r="BZ115" s="2150"/>
      <c r="CA115" s="2150"/>
      <c r="CB115" s="2150"/>
      <c r="CC115" s="2150"/>
      <c r="CD115" s="2150"/>
      <c r="CE115" s="2150"/>
      <c r="CF115" s="2150"/>
      <c r="CG115" s="2150"/>
      <c r="CH115" s="2150"/>
      <c r="CI115" s="2150"/>
      <c r="CJ115" s="2150"/>
      <c r="CK115" s="2150"/>
      <c r="CL115" s="2150"/>
      <c r="CM115" s="2150"/>
      <c r="CN115" s="2150"/>
      <c r="CO115" s="2150"/>
      <c r="CP115" s="2150"/>
      <c r="CQ115" s="2150"/>
      <c r="CR115" s="2150"/>
      <c r="CS115" s="2150"/>
      <c r="CT115" s="2150"/>
      <c r="CU115" s="2150"/>
      <c r="CV115" s="2150"/>
      <c r="CW115" s="2150"/>
      <c r="CX115" s="2150"/>
      <c r="CY115" s="2150"/>
      <c r="CZ115" s="2150"/>
      <c r="DA115" s="2150"/>
      <c r="DB115" s="2150"/>
      <c r="DC115" s="2150"/>
      <c r="DD115" s="2150"/>
      <c r="DE115" s="2150"/>
      <c r="DF115" s="2150"/>
      <c r="DG115" s="2150"/>
      <c r="DH115" s="2150"/>
      <c r="DI115" s="2150"/>
      <c r="DJ115" s="2150"/>
      <c r="DK115" s="2150"/>
      <c r="DL115" s="2150"/>
      <c r="DM115" s="2150"/>
      <c r="DN115" s="2150"/>
      <c r="DO115" s="2150"/>
      <c r="DP115" s="2150"/>
      <c r="DQ115" s="2150"/>
      <c r="DR115" s="2150"/>
      <c r="DS115" s="2150"/>
      <c r="DT115" s="2150"/>
      <c r="DU115" s="2150"/>
      <c r="DV115" s="2150"/>
      <c r="DW115" s="2150"/>
    </row>
    <row r="116" spans="1:127" s="1548" customFormat="1" ht="58.5" customHeight="1">
      <c r="A116" s="3736"/>
      <c r="B116" s="1495" t="str">
        <f t="shared" si="6"/>
        <v>2000002800</v>
      </c>
      <c r="C116" s="1493" t="s">
        <v>52</v>
      </c>
      <c r="D116" s="2325"/>
      <c r="E116" s="1495"/>
      <c r="F116" s="1601" t="s">
        <v>16</v>
      </c>
      <c r="G116" s="1495"/>
      <c r="H116" s="1495"/>
      <c r="I116" s="1495" t="s">
        <v>19</v>
      </c>
      <c r="J116" s="1495" t="s">
        <v>63</v>
      </c>
      <c r="K116" s="1600" t="s">
        <v>6510</v>
      </c>
      <c r="L116" s="2357">
        <v>300</v>
      </c>
      <c r="M116" s="2196" t="s">
        <v>6511</v>
      </c>
      <c r="N116" s="1859"/>
      <c r="O116" s="2590">
        <v>2</v>
      </c>
    </row>
    <row r="117" spans="1:127" s="1548" customFormat="1" ht="58.5" customHeight="1">
      <c r="A117" s="3737"/>
      <c r="B117" s="1495" t="str">
        <f t="shared" si="6"/>
        <v>2200001930</v>
      </c>
      <c r="C117" s="1493" t="s">
        <v>52</v>
      </c>
      <c r="D117" s="2266"/>
      <c r="E117" s="1947"/>
      <c r="F117" s="1601" t="s">
        <v>16</v>
      </c>
      <c r="G117" s="1851"/>
      <c r="H117" s="1947"/>
      <c r="I117" s="1495" t="s">
        <v>19</v>
      </c>
      <c r="J117" s="1495" t="s">
        <v>63</v>
      </c>
      <c r="K117" s="1497" t="s">
        <v>6512</v>
      </c>
      <c r="L117" s="2361">
        <v>48</v>
      </c>
      <c r="M117" s="2584" t="s">
        <v>5961</v>
      </c>
      <c r="N117" s="1859"/>
      <c r="O117" s="2596">
        <v>2</v>
      </c>
    </row>
    <row r="118" spans="1:127" s="1548" customFormat="1" ht="58.5" customHeight="1">
      <c r="A118" s="3735">
        <v>25</v>
      </c>
      <c r="B118" s="1921" t="str">
        <f t="shared" si="6"/>
        <v>2400001099</v>
      </c>
      <c r="C118" s="1902" t="s">
        <v>76</v>
      </c>
      <c r="D118" s="2488">
        <v>10000</v>
      </c>
      <c r="E118" s="1921" t="s">
        <v>6513</v>
      </c>
      <c r="F118" s="1902"/>
      <c r="G118" s="1921" t="s">
        <v>6514</v>
      </c>
      <c r="H118" s="1921" t="s">
        <v>6405</v>
      </c>
      <c r="I118" s="1921" t="s">
        <v>19</v>
      </c>
      <c r="J118" s="1921" t="s">
        <v>4807</v>
      </c>
      <c r="K118" s="1911" t="s">
        <v>6515</v>
      </c>
      <c r="L118" s="2583">
        <f>D118</f>
        <v>10000</v>
      </c>
      <c r="M118" s="2448" t="s">
        <v>5937</v>
      </c>
      <c r="N118" s="1845" t="s">
        <v>6389</v>
      </c>
      <c r="O118" s="2604">
        <v>2</v>
      </c>
      <c r="P118" s="2122" t="s">
        <v>6278</v>
      </c>
      <c r="Q118" s="1493">
        <v>8795</v>
      </c>
      <c r="R118" s="1493"/>
      <c r="S118" s="1493">
        <f>Q118-R118</f>
        <v>8795</v>
      </c>
      <c r="T118" s="1916" t="s">
        <v>6516</v>
      </c>
      <c r="U118" s="2150"/>
      <c r="V118" s="2150"/>
      <c r="W118" s="2150"/>
      <c r="X118" s="2150"/>
      <c r="Y118" s="2150"/>
      <c r="Z118" s="2150"/>
      <c r="AA118" s="2150"/>
      <c r="AB118" s="2150"/>
      <c r="AC118" s="2150"/>
      <c r="AD118" s="2150"/>
      <c r="AE118" s="2150"/>
      <c r="AF118" s="2150"/>
      <c r="AG118" s="2150"/>
      <c r="AH118" s="2150"/>
      <c r="AI118" s="2150"/>
      <c r="AJ118" s="2150"/>
      <c r="AK118" s="2150"/>
      <c r="AL118" s="2150"/>
      <c r="AM118" s="2150"/>
      <c r="AN118" s="2150"/>
      <c r="AO118" s="2150"/>
      <c r="AP118" s="2150"/>
      <c r="AQ118" s="2150"/>
      <c r="AR118" s="2150"/>
      <c r="AS118" s="2150"/>
      <c r="AT118" s="2150"/>
      <c r="AU118" s="2150"/>
      <c r="AV118" s="2150"/>
      <c r="AW118" s="2150"/>
      <c r="AX118" s="2150"/>
      <c r="AY118" s="2150"/>
      <c r="AZ118" s="2150"/>
      <c r="BA118" s="2150"/>
      <c r="BB118" s="2150"/>
      <c r="BC118" s="2150"/>
      <c r="BD118" s="2150"/>
      <c r="BE118" s="2150"/>
      <c r="BF118" s="2150"/>
      <c r="BG118" s="2150"/>
      <c r="BH118" s="2150"/>
      <c r="BI118" s="2150"/>
      <c r="BJ118" s="2150"/>
      <c r="BK118" s="2150"/>
      <c r="BL118" s="2150"/>
      <c r="BM118" s="2150"/>
      <c r="BN118" s="2150"/>
      <c r="BO118" s="2150"/>
      <c r="BP118" s="2150"/>
      <c r="BQ118" s="2150"/>
      <c r="BR118" s="2150"/>
      <c r="BS118" s="2150"/>
      <c r="BT118" s="2150"/>
      <c r="BU118" s="2150"/>
      <c r="BV118" s="2150"/>
      <c r="BW118" s="2150"/>
      <c r="BX118" s="2150"/>
      <c r="BY118" s="2150"/>
      <c r="BZ118" s="2150"/>
      <c r="CA118" s="2150"/>
      <c r="CB118" s="2150"/>
      <c r="CC118" s="2150"/>
      <c r="CD118" s="2150"/>
      <c r="CE118" s="2150"/>
      <c r="CF118" s="2150"/>
      <c r="CG118" s="2150"/>
      <c r="CH118" s="2150"/>
      <c r="CI118" s="2150"/>
      <c r="CJ118" s="2150"/>
      <c r="CK118" s="2150"/>
      <c r="CL118" s="2150"/>
      <c r="CM118" s="2150"/>
      <c r="CN118" s="2150"/>
      <c r="CO118" s="2150"/>
      <c r="CP118" s="2150"/>
      <c r="CQ118" s="2150"/>
      <c r="CR118" s="2150"/>
      <c r="CS118" s="2150"/>
      <c r="CT118" s="2150"/>
      <c r="CU118" s="2150"/>
      <c r="CV118" s="2150"/>
      <c r="CW118" s="2150"/>
      <c r="CX118" s="2150"/>
      <c r="CY118" s="2150"/>
      <c r="CZ118" s="2150"/>
      <c r="DA118" s="2150"/>
      <c r="DB118" s="2150"/>
      <c r="DC118" s="2150"/>
      <c r="DD118" s="2150"/>
      <c r="DE118" s="2150"/>
      <c r="DF118" s="2150"/>
      <c r="DG118" s="2150"/>
      <c r="DH118" s="2150"/>
      <c r="DI118" s="2150"/>
      <c r="DJ118" s="2150"/>
      <c r="DK118" s="2150"/>
      <c r="DL118" s="2150"/>
      <c r="DM118" s="2150"/>
      <c r="DN118" s="2150"/>
      <c r="DO118" s="2150"/>
      <c r="DP118" s="2150"/>
      <c r="DQ118" s="2150"/>
      <c r="DR118" s="2150"/>
      <c r="DS118" s="2150"/>
      <c r="DT118" s="2150"/>
      <c r="DU118" s="2150"/>
      <c r="DV118" s="2150"/>
      <c r="DW118" s="2150"/>
    </row>
    <row r="119" spans="1:127" s="1548" customFormat="1" ht="58.5" customHeight="1">
      <c r="A119" s="3736"/>
      <c r="B119" s="1921" t="str">
        <f t="shared" si="6"/>
        <v>2400001156</v>
      </c>
      <c r="C119" s="1902" t="s">
        <v>76</v>
      </c>
      <c r="D119" s="2488"/>
      <c r="E119" s="1921"/>
      <c r="F119" s="1902"/>
      <c r="G119" s="1921"/>
      <c r="H119" s="1921"/>
      <c r="I119" s="1921" t="s">
        <v>19</v>
      </c>
      <c r="J119" s="1921" t="s">
        <v>4807</v>
      </c>
      <c r="K119" s="1845" t="s">
        <v>6517</v>
      </c>
      <c r="L119" s="2583"/>
      <c r="M119" s="2448" t="s">
        <v>5937</v>
      </c>
      <c r="N119" s="1845" t="s">
        <v>6389</v>
      </c>
      <c r="O119" s="2604">
        <v>2</v>
      </c>
      <c r="P119" s="2122"/>
      <c r="Q119" s="1493">
        <v>931</v>
      </c>
      <c r="R119" s="1493"/>
      <c r="S119" s="1493"/>
      <c r="T119" s="2150"/>
      <c r="U119" s="2150"/>
      <c r="V119" s="2150"/>
      <c r="W119" s="2150"/>
      <c r="X119" s="2150"/>
      <c r="Y119" s="2150"/>
      <c r="Z119" s="2150"/>
      <c r="AA119" s="2150"/>
      <c r="AB119" s="2150"/>
      <c r="AC119" s="2150"/>
      <c r="AD119" s="2150"/>
      <c r="AE119" s="2150"/>
      <c r="AF119" s="2150"/>
      <c r="AG119" s="2150"/>
      <c r="AH119" s="2150"/>
      <c r="AI119" s="2150"/>
      <c r="AJ119" s="2150"/>
      <c r="AK119" s="2150"/>
      <c r="AL119" s="2150"/>
      <c r="AM119" s="2150"/>
      <c r="AN119" s="2150"/>
      <c r="AO119" s="2150"/>
      <c r="AP119" s="2150"/>
      <c r="AQ119" s="2150"/>
      <c r="AR119" s="2150"/>
      <c r="AS119" s="2150"/>
      <c r="AT119" s="2150"/>
      <c r="AU119" s="2150"/>
      <c r="AV119" s="2150"/>
      <c r="AW119" s="2150"/>
      <c r="AX119" s="2150"/>
      <c r="AY119" s="2150"/>
      <c r="AZ119" s="2150"/>
      <c r="BA119" s="2150"/>
      <c r="BB119" s="2150"/>
      <c r="BC119" s="2150"/>
      <c r="BD119" s="2150"/>
      <c r="BE119" s="2150"/>
      <c r="BF119" s="2150"/>
      <c r="BG119" s="2150"/>
      <c r="BH119" s="2150"/>
      <c r="BI119" s="2150"/>
      <c r="BJ119" s="2150"/>
      <c r="BK119" s="2150"/>
      <c r="BL119" s="2150"/>
      <c r="BM119" s="2150"/>
      <c r="BN119" s="2150"/>
      <c r="BO119" s="2150"/>
      <c r="BP119" s="2150"/>
      <c r="BQ119" s="2150"/>
      <c r="BR119" s="2150"/>
      <c r="BS119" s="2150"/>
      <c r="BT119" s="2150"/>
      <c r="BU119" s="2150"/>
      <c r="BV119" s="2150"/>
      <c r="BW119" s="2150"/>
      <c r="BX119" s="2150"/>
      <c r="BY119" s="2150"/>
      <c r="BZ119" s="2150"/>
      <c r="CA119" s="2150"/>
      <c r="CB119" s="2150"/>
      <c r="CC119" s="2150"/>
      <c r="CD119" s="2150"/>
      <c r="CE119" s="2150"/>
      <c r="CF119" s="2150"/>
      <c r="CG119" s="2150"/>
      <c r="CH119" s="2150"/>
      <c r="CI119" s="2150"/>
      <c r="CJ119" s="2150"/>
      <c r="CK119" s="2150"/>
      <c r="CL119" s="2150"/>
      <c r="CM119" s="2150"/>
      <c r="CN119" s="2150"/>
      <c r="CO119" s="2150"/>
      <c r="CP119" s="2150"/>
      <c r="CQ119" s="2150"/>
      <c r="CR119" s="2150"/>
      <c r="CS119" s="2150"/>
      <c r="CT119" s="2150"/>
      <c r="CU119" s="2150"/>
      <c r="CV119" s="2150"/>
      <c r="CW119" s="2150"/>
      <c r="CX119" s="2150"/>
      <c r="CY119" s="2150"/>
      <c r="CZ119" s="2150"/>
      <c r="DA119" s="2150"/>
      <c r="DB119" s="2150"/>
      <c r="DC119" s="2150"/>
      <c r="DD119" s="2150"/>
      <c r="DE119" s="2150"/>
      <c r="DF119" s="2150"/>
      <c r="DG119" s="2150"/>
      <c r="DH119" s="2150"/>
      <c r="DI119" s="2150"/>
      <c r="DJ119" s="2150"/>
      <c r="DK119" s="2150"/>
      <c r="DL119" s="2150"/>
      <c r="DM119" s="2150"/>
      <c r="DN119" s="2150"/>
      <c r="DO119" s="2150"/>
      <c r="DP119" s="2150"/>
      <c r="DQ119" s="2150"/>
      <c r="DR119" s="2150"/>
      <c r="DS119" s="2150"/>
      <c r="DT119" s="2150"/>
      <c r="DU119" s="2150"/>
      <c r="DV119" s="2150"/>
      <c r="DW119" s="2150"/>
    </row>
    <row r="120" spans="1:127" s="1548" customFormat="1" ht="58.5" customHeight="1">
      <c r="A120" s="3736"/>
      <c r="B120" s="1921" t="str">
        <f t="shared" si="6"/>
        <v>2400001100</v>
      </c>
      <c r="C120" s="1902" t="s">
        <v>76</v>
      </c>
      <c r="D120" s="2325"/>
      <c r="E120" s="1495"/>
      <c r="F120" s="1493"/>
      <c r="G120" s="1495"/>
      <c r="H120" s="1495"/>
      <c r="I120" s="1495" t="s">
        <v>19</v>
      </c>
      <c r="J120" s="1495" t="s">
        <v>4807</v>
      </c>
      <c r="K120" s="1547" t="s">
        <v>6518</v>
      </c>
      <c r="L120" s="2357"/>
      <c r="M120" s="2448" t="s">
        <v>5937</v>
      </c>
      <c r="N120" s="1600" t="s">
        <v>6389</v>
      </c>
      <c r="O120" s="2605">
        <v>2</v>
      </c>
      <c r="P120" s="1883" t="s">
        <v>6278</v>
      </c>
      <c r="Q120" s="1493">
        <v>974</v>
      </c>
      <c r="R120" s="1493"/>
      <c r="S120" s="1493">
        <f>Q120-R120</f>
        <v>974</v>
      </c>
    </row>
    <row r="121" spans="1:127" s="1548" customFormat="1" ht="58.5" customHeight="1">
      <c r="A121" s="3737"/>
      <c r="B121" s="1921" t="str">
        <f t="shared" si="6"/>
        <v>2400001155</v>
      </c>
      <c r="C121" s="1902" t="s">
        <v>76</v>
      </c>
      <c r="D121" s="2325"/>
      <c r="E121" s="1495"/>
      <c r="F121" s="1601"/>
      <c r="G121" s="1495"/>
      <c r="H121" s="1495"/>
      <c r="I121" s="1495" t="s">
        <v>19</v>
      </c>
      <c r="J121" s="1495" t="s">
        <v>4807</v>
      </c>
      <c r="K121" s="1547" t="s">
        <v>6519</v>
      </c>
      <c r="L121" s="2357"/>
      <c r="M121" s="2448" t="s">
        <v>5937</v>
      </c>
      <c r="N121" s="1845" t="s">
        <v>6389</v>
      </c>
      <c r="O121" s="2604">
        <v>2</v>
      </c>
      <c r="P121" s="1883"/>
      <c r="Q121" s="1493">
        <v>1205</v>
      </c>
      <c r="R121" s="1493"/>
      <c r="S121" s="1493"/>
    </row>
    <row r="122" spans="1:127" s="1548" customFormat="1" ht="58.5" customHeight="1">
      <c r="A122" s="3749">
        <v>26</v>
      </c>
      <c r="B122" s="2279" t="str">
        <f t="shared" si="6"/>
        <v>2200001933</v>
      </c>
      <c r="C122" s="2279" t="s">
        <v>71</v>
      </c>
      <c r="D122" s="2606">
        <v>3720</v>
      </c>
      <c r="E122" s="2298" t="s">
        <v>6520</v>
      </c>
      <c r="F122" s="1921" t="s">
        <v>84</v>
      </c>
      <c r="G122" s="2159" t="s">
        <v>6521</v>
      </c>
      <c r="H122" s="2159"/>
      <c r="I122" s="1921" t="s">
        <v>19</v>
      </c>
      <c r="J122" s="1921" t="s">
        <v>959</v>
      </c>
      <c r="K122" s="2402" t="s">
        <v>6522</v>
      </c>
      <c r="L122" s="2508">
        <v>3146</v>
      </c>
      <c r="M122" s="2196" t="s">
        <v>5937</v>
      </c>
      <c r="N122" s="1859" t="s">
        <v>6523</v>
      </c>
      <c r="O122" s="2590">
        <v>2</v>
      </c>
      <c r="Q122" s="1493">
        <v>3971</v>
      </c>
    </row>
    <row r="123" spans="1:127" s="1548" customFormat="1" ht="58.5" customHeight="1">
      <c r="A123" s="3750"/>
      <c r="B123" s="1568" t="str">
        <f t="shared" si="6"/>
        <v>2200001936</v>
      </c>
      <c r="C123" s="1568" t="s">
        <v>71</v>
      </c>
      <c r="D123" s="2266"/>
      <c r="E123" s="1947"/>
      <c r="F123" s="1872" t="s">
        <v>84</v>
      </c>
      <c r="G123" s="1851"/>
      <c r="H123" s="1947"/>
      <c r="I123" s="1495" t="s">
        <v>19</v>
      </c>
      <c r="J123" s="1495" t="s">
        <v>959</v>
      </c>
      <c r="K123" s="1497" t="s">
        <v>6524</v>
      </c>
      <c r="L123" s="2361">
        <v>567</v>
      </c>
      <c r="M123" s="2196" t="s">
        <v>5937</v>
      </c>
      <c r="N123" s="1859" t="s">
        <v>6389</v>
      </c>
      <c r="O123" s="2590">
        <v>2</v>
      </c>
      <c r="Q123" s="1493">
        <v>567</v>
      </c>
    </row>
    <row r="124" spans="1:127" s="1548" customFormat="1" ht="58.5" customHeight="1">
      <c r="A124" s="3751">
        <v>27</v>
      </c>
      <c r="B124" s="2279" t="str">
        <f t="shared" si="6"/>
        <v>2000002789</v>
      </c>
      <c r="C124" s="2279" t="s">
        <v>3399</v>
      </c>
      <c r="D124" s="2569">
        <v>7000</v>
      </c>
      <c r="E124" s="2159" t="s">
        <v>6525</v>
      </c>
      <c r="F124" s="2120" t="s">
        <v>3401</v>
      </c>
      <c r="G124" s="2118" t="s">
        <v>6526</v>
      </c>
      <c r="H124" s="2611" t="s">
        <v>6527</v>
      </c>
      <c r="I124" s="1921" t="s">
        <v>19</v>
      </c>
      <c r="J124" s="1921" t="s">
        <v>253</v>
      </c>
      <c r="K124" s="2161" t="s">
        <v>6528</v>
      </c>
      <c r="L124" s="2508">
        <v>6500</v>
      </c>
      <c r="M124" s="2196" t="s">
        <v>5937</v>
      </c>
      <c r="N124" s="1862" t="s">
        <v>6491</v>
      </c>
      <c r="O124" s="2595">
        <v>2</v>
      </c>
      <c r="P124" s="2150"/>
      <c r="Q124" s="1493">
        <v>6394</v>
      </c>
      <c r="R124" s="1493"/>
      <c r="S124" s="1493">
        <f>Q124-R124</f>
        <v>6394</v>
      </c>
      <c r="T124" s="2150"/>
      <c r="U124" s="2150"/>
      <c r="V124" s="2150"/>
      <c r="W124" s="2150"/>
      <c r="X124" s="2150"/>
      <c r="Y124" s="2150"/>
      <c r="Z124" s="2150"/>
      <c r="AA124" s="2150"/>
      <c r="AB124" s="2150"/>
      <c r="AC124" s="2150"/>
      <c r="AD124" s="2150"/>
      <c r="AE124" s="2150"/>
      <c r="AF124" s="2150"/>
      <c r="AG124" s="2150"/>
      <c r="AH124" s="2150"/>
      <c r="AI124" s="2150"/>
      <c r="AJ124" s="2150"/>
      <c r="AK124" s="2150"/>
      <c r="AL124" s="2150"/>
      <c r="AM124" s="2150"/>
      <c r="AN124" s="2150"/>
      <c r="AO124" s="2150"/>
      <c r="AP124" s="2150"/>
      <c r="AQ124" s="2150"/>
      <c r="AR124" s="2150"/>
      <c r="AS124" s="2150"/>
      <c r="AT124" s="2150"/>
      <c r="AU124" s="2150"/>
      <c r="AV124" s="2150"/>
      <c r="AW124" s="2150"/>
      <c r="AX124" s="2150"/>
      <c r="AY124" s="2150"/>
      <c r="AZ124" s="2150"/>
      <c r="BA124" s="2150"/>
      <c r="BB124" s="2150"/>
      <c r="BC124" s="2150"/>
      <c r="BD124" s="2150"/>
      <c r="BE124" s="2150"/>
      <c r="BF124" s="2150"/>
      <c r="BG124" s="2150"/>
      <c r="BH124" s="2150"/>
      <c r="BI124" s="2150"/>
      <c r="BJ124" s="2150"/>
      <c r="BK124" s="2150"/>
      <c r="BL124" s="2150"/>
      <c r="BM124" s="2150"/>
      <c r="BN124" s="2150"/>
      <c r="BO124" s="2150"/>
      <c r="BP124" s="2150"/>
      <c r="BQ124" s="2150"/>
      <c r="BR124" s="2150"/>
      <c r="BS124" s="2150"/>
      <c r="BT124" s="2150"/>
      <c r="BU124" s="2150"/>
      <c r="BV124" s="2150"/>
      <c r="BW124" s="2150"/>
      <c r="BX124" s="2150"/>
      <c r="BY124" s="2150"/>
      <c r="BZ124" s="2150"/>
      <c r="CA124" s="2150"/>
      <c r="CB124" s="2150"/>
      <c r="CC124" s="2150"/>
      <c r="CD124" s="2150"/>
      <c r="CE124" s="2150"/>
      <c r="CF124" s="2150"/>
      <c r="CG124" s="2150"/>
      <c r="CH124" s="2150"/>
      <c r="CI124" s="2150"/>
      <c r="CJ124" s="2150"/>
      <c r="CK124" s="2150"/>
      <c r="CL124" s="2150"/>
      <c r="CM124" s="2150"/>
      <c r="CN124" s="2150"/>
      <c r="CO124" s="2150"/>
      <c r="CP124" s="2150"/>
      <c r="CQ124" s="2150"/>
      <c r="CR124" s="2150"/>
      <c r="CS124" s="2150"/>
      <c r="CT124" s="2150"/>
      <c r="CU124" s="2150"/>
      <c r="CV124" s="2150"/>
      <c r="CW124" s="2150"/>
      <c r="CX124" s="2150"/>
      <c r="CY124" s="2150"/>
      <c r="CZ124" s="2150"/>
      <c r="DA124" s="2150"/>
      <c r="DB124" s="2150"/>
      <c r="DC124" s="2150"/>
      <c r="DD124" s="2150"/>
      <c r="DE124" s="2150"/>
      <c r="DF124" s="2150"/>
      <c r="DG124" s="2150"/>
      <c r="DH124" s="2150"/>
      <c r="DI124" s="2150"/>
      <c r="DJ124" s="2150"/>
      <c r="DK124" s="2150"/>
      <c r="DL124" s="2150"/>
      <c r="DM124" s="2150"/>
      <c r="DN124" s="2150"/>
      <c r="DO124" s="2150"/>
      <c r="DP124" s="2150"/>
      <c r="DQ124" s="2150"/>
      <c r="DR124" s="2150"/>
      <c r="DS124" s="2150"/>
      <c r="DT124" s="2150"/>
      <c r="DU124" s="2150"/>
      <c r="DV124" s="2150"/>
      <c r="DW124" s="2150"/>
    </row>
    <row r="125" spans="1:127" s="1548" customFormat="1" ht="110.25" customHeight="1">
      <c r="A125" s="3750"/>
      <c r="B125" s="1568" t="str">
        <f t="shared" si="6"/>
        <v>2000002790</v>
      </c>
      <c r="C125" s="1568" t="s">
        <v>3399</v>
      </c>
      <c r="D125" s="2107"/>
      <c r="E125" s="1947"/>
      <c r="F125" s="1872" t="s">
        <v>3401</v>
      </c>
      <c r="G125" s="1851"/>
      <c r="H125" s="1947"/>
      <c r="I125" s="1495" t="s">
        <v>19</v>
      </c>
      <c r="J125" s="1495" t="s">
        <v>253</v>
      </c>
      <c r="K125" s="1496" t="s">
        <v>6529</v>
      </c>
      <c r="L125" s="2357">
        <v>700</v>
      </c>
      <c r="M125" s="2196" t="s">
        <v>5937</v>
      </c>
      <c r="N125" s="1843" t="s">
        <v>6389</v>
      </c>
      <c r="O125" s="2596">
        <v>2</v>
      </c>
      <c r="Q125" s="1493">
        <v>9606</v>
      </c>
      <c r="R125" s="1493">
        <v>7929</v>
      </c>
      <c r="S125" s="1493">
        <f>Q125-R125</f>
        <v>1677</v>
      </c>
    </row>
    <row r="126" spans="1:127" s="1548" customFormat="1" ht="58.5" customHeight="1">
      <c r="A126" s="3749">
        <v>28</v>
      </c>
      <c r="B126" s="2279" t="str">
        <f t="shared" si="6"/>
        <v>2200001940</v>
      </c>
      <c r="C126" s="1902" t="s">
        <v>5675</v>
      </c>
      <c r="D126" s="2607">
        <v>4350</v>
      </c>
      <c r="E126" s="1921" t="s">
        <v>6530</v>
      </c>
      <c r="F126" s="1902" t="s">
        <v>84</v>
      </c>
      <c r="G126" s="1921" t="s">
        <v>6531</v>
      </c>
      <c r="H126" s="1921"/>
      <c r="I126" s="1921" t="s">
        <v>19</v>
      </c>
      <c r="J126" s="1921" t="s">
        <v>959</v>
      </c>
      <c r="K126" s="1845" t="s">
        <v>6532</v>
      </c>
      <c r="L126" s="2608">
        <v>857</v>
      </c>
      <c r="M126" s="1790" t="s">
        <v>6533</v>
      </c>
      <c r="N126" s="2609"/>
      <c r="O126" s="2590">
        <v>2</v>
      </c>
    </row>
    <row r="127" spans="1:127" s="1548" customFormat="1" ht="58.5" customHeight="1">
      <c r="A127" s="3751"/>
      <c r="B127" s="1568" t="str">
        <f t="shared" si="6"/>
        <v>2200001941</v>
      </c>
      <c r="C127" s="1493" t="s">
        <v>5675</v>
      </c>
      <c r="D127" s="1808"/>
      <c r="E127" s="1909"/>
      <c r="F127" s="1493" t="s">
        <v>84</v>
      </c>
      <c r="G127" s="1495"/>
      <c r="H127" s="1495"/>
      <c r="I127" s="1495" t="s">
        <v>19</v>
      </c>
      <c r="J127" s="1495" t="s">
        <v>959</v>
      </c>
      <c r="K127" s="1600" t="s">
        <v>6534</v>
      </c>
      <c r="L127" s="2610">
        <v>1200</v>
      </c>
      <c r="M127" s="1790" t="s">
        <v>6533</v>
      </c>
      <c r="N127" s="2609"/>
      <c r="O127" s="2590">
        <v>2</v>
      </c>
    </row>
    <row r="128" spans="1:127" s="1548" customFormat="1" ht="58.5" customHeight="1">
      <c r="A128" s="3751"/>
      <c r="B128" s="1568" t="str">
        <f t="shared" si="6"/>
        <v>2200001943</v>
      </c>
      <c r="C128" s="1493" t="s">
        <v>5675</v>
      </c>
      <c r="D128" s="1808"/>
      <c r="E128" s="1909"/>
      <c r="F128" s="1493" t="s">
        <v>84</v>
      </c>
      <c r="G128" s="1495"/>
      <c r="H128" s="1495"/>
      <c r="I128" s="1495" t="s">
        <v>19</v>
      </c>
      <c r="J128" s="1495" t="s">
        <v>959</v>
      </c>
      <c r="K128" s="1600" t="s">
        <v>6535</v>
      </c>
      <c r="L128" s="2610">
        <v>724</v>
      </c>
      <c r="M128" s="1790" t="s">
        <v>6533</v>
      </c>
      <c r="N128" s="2688" t="s">
        <v>6536</v>
      </c>
      <c r="O128" s="2590">
        <v>2</v>
      </c>
    </row>
    <row r="129" spans="1:127" s="1548" customFormat="1" ht="58.5" customHeight="1">
      <c r="A129" s="3751"/>
      <c r="B129" s="1495" t="str">
        <f t="shared" si="6"/>
        <v>2200001862</v>
      </c>
      <c r="C129" s="1493" t="s">
        <v>5675</v>
      </c>
      <c r="D129" s="1808"/>
      <c r="E129" s="1495"/>
      <c r="F129" s="1493" t="s">
        <v>84</v>
      </c>
      <c r="G129" s="1495"/>
      <c r="H129" s="1495"/>
      <c r="I129" s="1495" t="s">
        <v>19</v>
      </c>
      <c r="J129" s="1495" t="s">
        <v>959</v>
      </c>
      <c r="K129" s="1600" t="s">
        <v>6537</v>
      </c>
      <c r="L129" s="2299">
        <v>300</v>
      </c>
      <c r="M129" s="2196" t="s">
        <v>6538</v>
      </c>
      <c r="N129" s="1859"/>
      <c r="O129" s="2590">
        <v>2</v>
      </c>
      <c r="Q129" s="1493"/>
      <c r="R129" s="1493"/>
      <c r="S129" s="1493"/>
    </row>
    <row r="130" spans="1:127" s="1548" customFormat="1" ht="52.5" customHeight="1">
      <c r="A130" s="3750"/>
      <c r="B130" s="1568" t="str">
        <f t="shared" si="6"/>
        <v>2200001942</v>
      </c>
      <c r="C130" s="1493" t="s">
        <v>5675</v>
      </c>
      <c r="D130" s="1808"/>
      <c r="E130" s="1748"/>
      <c r="F130" s="1493" t="s">
        <v>84</v>
      </c>
      <c r="G130" s="1495"/>
      <c r="H130" s="1495"/>
      <c r="I130" s="1495" t="s">
        <v>19</v>
      </c>
      <c r="J130" s="1495" t="s">
        <v>959</v>
      </c>
      <c r="K130" s="1600" t="s">
        <v>6539</v>
      </c>
      <c r="L130" s="2610">
        <v>1128</v>
      </c>
      <c r="M130" s="1790" t="s">
        <v>6533</v>
      </c>
      <c r="N130" s="2609"/>
      <c r="O130" s="2590">
        <v>2</v>
      </c>
    </row>
    <row r="131" spans="1:127" s="2150" customFormat="1" ht="54" customHeight="1">
      <c r="A131" s="3749">
        <v>29</v>
      </c>
      <c r="B131" s="2279" t="str">
        <f t="shared" si="6"/>
        <v>2200001927</v>
      </c>
      <c r="C131" s="1921" t="s">
        <v>47</v>
      </c>
      <c r="D131" s="2607">
        <v>4250</v>
      </c>
      <c r="E131" s="1921" t="s">
        <v>6540</v>
      </c>
      <c r="F131" s="1902" t="s">
        <v>3401</v>
      </c>
      <c r="G131" s="2118" t="s">
        <v>6541</v>
      </c>
      <c r="H131" s="2611" t="s">
        <v>6542</v>
      </c>
      <c r="I131" s="1921" t="s">
        <v>19</v>
      </c>
      <c r="J131" s="1921" t="s">
        <v>959</v>
      </c>
      <c r="K131" s="2402" t="s">
        <v>6543</v>
      </c>
      <c r="L131" s="2508">
        <v>940</v>
      </c>
      <c r="M131" s="1748" t="s">
        <v>5961</v>
      </c>
      <c r="N131" s="1775"/>
      <c r="O131" s="2595">
        <v>2</v>
      </c>
    </row>
    <row r="132" spans="1:127" s="1548" customFormat="1" ht="45.75" customHeight="1">
      <c r="A132" s="3751"/>
      <c r="B132" s="1568" t="str">
        <f t="shared" si="6"/>
        <v>2200001938</v>
      </c>
      <c r="C132" s="1493" t="s">
        <v>47</v>
      </c>
      <c r="D132" s="2612"/>
      <c r="E132" s="1947"/>
      <c r="F132" s="1493" t="s">
        <v>3401</v>
      </c>
      <c r="G132" s="1851"/>
      <c r="H132" s="1947"/>
      <c r="I132" s="1495" t="s">
        <v>19</v>
      </c>
      <c r="J132" s="1495" t="s">
        <v>959</v>
      </c>
      <c r="K132" s="1497" t="s">
        <v>6544</v>
      </c>
      <c r="L132" s="2361">
        <v>500</v>
      </c>
      <c r="M132" s="1748" t="s">
        <v>5961</v>
      </c>
      <c r="N132" s="1843" t="s">
        <v>6545</v>
      </c>
      <c r="O132" s="2596">
        <v>2</v>
      </c>
    </row>
    <row r="133" spans="1:127" s="2150" customFormat="1" ht="65.25" customHeight="1">
      <c r="A133" s="3751"/>
      <c r="B133" s="1568" t="str">
        <f t="shared" si="6"/>
        <v>2200001932</v>
      </c>
      <c r="C133" s="1493" t="s">
        <v>47</v>
      </c>
      <c r="D133" s="2266"/>
      <c r="E133" s="1947"/>
      <c r="F133" s="1493" t="s">
        <v>3401</v>
      </c>
      <c r="G133" s="2118"/>
      <c r="H133" s="2159"/>
      <c r="I133" s="1495" t="s">
        <v>19</v>
      </c>
      <c r="J133" s="1495" t="s">
        <v>959</v>
      </c>
      <c r="K133" s="1497" t="s">
        <v>6546</v>
      </c>
      <c r="L133" s="2361">
        <v>235</v>
      </c>
      <c r="M133" s="2196" t="s">
        <v>6538</v>
      </c>
      <c r="N133" s="1775"/>
      <c r="O133" s="2595">
        <v>2</v>
      </c>
    </row>
    <row r="134" spans="1:127" s="1548" customFormat="1" ht="63.75" customHeight="1">
      <c r="A134" s="3751"/>
      <c r="B134" s="1568" t="str">
        <f t="shared" si="6"/>
        <v>2200001931</v>
      </c>
      <c r="C134" s="1493" t="s">
        <v>47</v>
      </c>
      <c r="D134" s="2266"/>
      <c r="E134" s="1947"/>
      <c r="F134" s="1493" t="s">
        <v>3401</v>
      </c>
      <c r="G134" s="1851"/>
      <c r="H134" s="1947"/>
      <c r="I134" s="1495" t="s">
        <v>19</v>
      </c>
      <c r="J134" s="1495" t="s">
        <v>959</v>
      </c>
      <c r="K134" s="1497" t="s">
        <v>6547</v>
      </c>
      <c r="L134" s="2361">
        <v>930</v>
      </c>
      <c r="M134" s="2196" t="s">
        <v>5961</v>
      </c>
      <c r="N134" s="1859"/>
      <c r="O134" s="2596">
        <v>2</v>
      </c>
    </row>
    <row r="135" spans="1:127" s="1548" customFormat="1" ht="58.5" customHeight="1">
      <c r="A135" s="3751"/>
      <c r="B135" s="1568" t="str">
        <f t="shared" si="6"/>
        <v>2200001935</v>
      </c>
      <c r="C135" s="1493" t="s">
        <v>47</v>
      </c>
      <c r="D135" s="2266"/>
      <c r="E135" s="1947"/>
      <c r="F135" s="1493" t="s">
        <v>3401</v>
      </c>
      <c r="G135" s="1851"/>
      <c r="H135" s="1947"/>
      <c r="I135" s="1495" t="s">
        <v>19</v>
      </c>
      <c r="J135" s="1495" t="s">
        <v>959</v>
      </c>
      <c r="K135" s="1497" t="s">
        <v>6548</v>
      </c>
      <c r="L135" s="2361">
        <v>830</v>
      </c>
      <c r="M135" s="2196" t="s">
        <v>5937</v>
      </c>
      <c r="N135" s="1859" t="s">
        <v>6389</v>
      </c>
      <c r="O135" s="2590">
        <v>2</v>
      </c>
      <c r="Q135" s="1493">
        <v>877</v>
      </c>
    </row>
    <row r="136" spans="1:127" s="1548" customFormat="1" ht="58.5" customHeight="1">
      <c r="A136" s="3750"/>
      <c r="B136" s="1568" t="str">
        <f t="shared" si="6"/>
        <v>2200001933</v>
      </c>
      <c r="C136" s="1493" t="s">
        <v>47</v>
      </c>
      <c r="D136" s="2266"/>
      <c r="E136" s="1947"/>
      <c r="F136" s="1493" t="s">
        <v>3401</v>
      </c>
      <c r="G136" s="1851"/>
      <c r="H136" s="1947"/>
      <c r="I136" s="1495" t="s">
        <v>19</v>
      </c>
      <c r="J136" s="1495" t="s">
        <v>959</v>
      </c>
      <c r="K136" s="1497" t="s">
        <v>6522</v>
      </c>
      <c r="L136" s="2361">
        <v>821</v>
      </c>
      <c r="M136" s="2196" t="s">
        <v>5937</v>
      </c>
      <c r="N136" s="1859" t="s">
        <v>6523</v>
      </c>
      <c r="O136" s="2590">
        <v>2</v>
      </c>
      <c r="Q136" s="1493">
        <v>4038</v>
      </c>
    </row>
    <row r="137" spans="1:127" s="1548" customFormat="1" ht="58.5" customHeight="1">
      <c r="A137" s="3749">
        <v>30</v>
      </c>
      <c r="B137" s="2279" t="str">
        <f t="shared" si="6"/>
        <v>2200001940</v>
      </c>
      <c r="C137" s="1902" t="s">
        <v>3507</v>
      </c>
      <c r="D137" s="2607">
        <v>4400</v>
      </c>
      <c r="E137" s="1921" t="s">
        <v>6540</v>
      </c>
      <c r="F137" s="1902" t="s">
        <v>61</v>
      </c>
      <c r="G137" s="1921" t="s">
        <v>6549</v>
      </c>
      <c r="H137" s="1909" t="s">
        <v>6550</v>
      </c>
      <c r="I137" s="1921" t="s">
        <v>19</v>
      </c>
      <c r="J137" s="1921" t="s">
        <v>959</v>
      </c>
      <c r="K137" s="1845" t="s">
        <v>6532</v>
      </c>
      <c r="L137" s="2583">
        <v>4400</v>
      </c>
      <c r="M137" s="1790" t="s">
        <v>6533</v>
      </c>
      <c r="N137" s="1862"/>
      <c r="O137" s="1745">
        <v>2</v>
      </c>
      <c r="P137" s="2150"/>
      <c r="Q137" s="2150"/>
      <c r="R137" s="2150"/>
      <c r="S137" s="2150"/>
      <c r="T137" s="2150"/>
      <c r="U137" s="2150"/>
      <c r="V137" s="2150"/>
      <c r="W137" s="2150"/>
      <c r="X137" s="2150"/>
      <c r="Y137" s="2150"/>
      <c r="Z137" s="2150"/>
      <c r="AA137" s="2150"/>
      <c r="AB137" s="2150"/>
      <c r="AC137" s="2150"/>
      <c r="AD137" s="2150"/>
      <c r="AE137" s="2150"/>
      <c r="AF137" s="2150"/>
      <c r="AG137" s="2150"/>
      <c r="AH137" s="2150"/>
      <c r="AI137" s="2150"/>
      <c r="AJ137" s="2150"/>
      <c r="AK137" s="2150"/>
      <c r="AL137" s="2150"/>
      <c r="AM137" s="2150"/>
      <c r="AN137" s="2150"/>
      <c r="AO137" s="2150"/>
      <c r="AP137" s="2150"/>
      <c r="AQ137" s="2150"/>
      <c r="AR137" s="2150"/>
      <c r="AS137" s="2150"/>
      <c r="AT137" s="2150"/>
      <c r="AU137" s="2150"/>
      <c r="AV137" s="2150"/>
      <c r="AW137" s="2150"/>
      <c r="AX137" s="2150"/>
      <c r="AY137" s="2150"/>
      <c r="AZ137" s="2150"/>
      <c r="BA137" s="2150"/>
      <c r="BB137" s="2150"/>
      <c r="BC137" s="2150"/>
      <c r="BD137" s="2150"/>
      <c r="BE137" s="2150"/>
      <c r="BF137" s="2150"/>
      <c r="BG137" s="2150"/>
      <c r="BH137" s="2150"/>
      <c r="BI137" s="2150"/>
      <c r="BJ137" s="2150"/>
      <c r="BK137" s="2150"/>
      <c r="BL137" s="2150"/>
      <c r="BM137" s="2150"/>
      <c r="BN137" s="2150"/>
      <c r="BO137" s="2150"/>
      <c r="BP137" s="2150"/>
      <c r="BQ137" s="2150"/>
      <c r="BR137" s="2150"/>
      <c r="BS137" s="2150"/>
      <c r="BT137" s="2150"/>
      <c r="BU137" s="2150"/>
      <c r="BV137" s="2150"/>
      <c r="BW137" s="2150"/>
      <c r="BX137" s="2150"/>
      <c r="BY137" s="2150"/>
      <c r="BZ137" s="2150"/>
      <c r="CA137" s="2150"/>
      <c r="CB137" s="2150"/>
      <c r="CC137" s="2150"/>
      <c r="CD137" s="2150"/>
      <c r="CE137" s="2150"/>
      <c r="CF137" s="2150"/>
      <c r="CG137" s="2150"/>
      <c r="CH137" s="2150"/>
      <c r="CI137" s="2150"/>
      <c r="CJ137" s="2150"/>
      <c r="CK137" s="2150"/>
      <c r="CL137" s="2150"/>
      <c r="CM137" s="2150"/>
      <c r="CN137" s="2150"/>
      <c r="CO137" s="2150"/>
      <c r="CP137" s="2150"/>
      <c r="CQ137" s="2150"/>
      <c r="CR137" s="2150"/>
      <c r="CS137" s="2150"/>
      <c r="CT137" s="2150"/>
      <c r="CU137" s="2150"/>
      <c r="CV137" s="2150"/>
      <c r="CW137" s="2150"/>
      <c r="CX137" s="2150"/>
      <c r="CY137" s="2150"/>
      <c r="CZ137" s="2150"/>
      <c r="DA137" s="2150"/>
      <c r="DB137" s="2150"/>
      <c r="DC137" s="2150"/>
      <c r="DD137" s="2150"/>
      <c r="DE137" s="2150"/>
      <c r="DF137" s="2150"/>
      <c r="DG137" s="2150"/>
      <c r="DH137" s="2150"/>
      <c r="DI137" s="2150"/>
      <c r="DJ137" s="2150"/>
      <c r="DK137" s="2150"/>
      <c r="DL137" s="2150"/>
      <c r="DM137" s="2150"/>
      <c r="DN137" s="2150"/>
      <c r="DO137" s="2150"/>
      <c r="DP137" s="2150"/>
      <c r="DQ137" s="2150"/>
      <c r="DR137" s="2150"/>
      <c r="DS137" s="2150"/>
      <c r="DT137" s="2150"/>
      <c r="DU137" s="2150"/>
      <c r="DV137" s="2150"/>
      <c r="DW137" s="2150"/>
    </row>
    <row r="138" spans="1:127" s="1548" customFormat="1" ht="58.5" customHeight="1">
      <c r="A138" s="3750"/>
      <c r="B138" s="1568" t="str">
        <f t="shared" si="6"/>
        <v>2200001919</v>
      </c>
      <c r="C138" s="1493" t="s">
        <v>3507</v>
      </c>
      <c r="D138" s="2613"/>
      <c r="E138" s="1493" t="s">
        <v>61</v>
      </c>
      <c r="F138" s="1545"/>
      <c r="G138" s="1543"/>
      <c r="H138" s="2051"/>
      <c r="I138" s="1495" t="s">
        <v>19</v>
      </c>
      <c r="J138" s="1495" t="s">
        <v>959</v>
      </c>
      <c r="K138" s="1605" t="s">
        <v>6551</v>
      </c>
      <c r="L138" s="2543">
        <v>100</v>
      </c>
      <c r="M138" s="1852" t="s">
        <v>6552</v>
      </c>
      <c r="N138" s="1860"/>
      <c r="O138" s="2591">
        <v>2</v>
      </c>
      <c r="P138" s="1559"/>
      <c r="Q138" s="1559"/>
      <c r="R138" s="1559"/>
      <c r="T138" s="1559"/>
      <c r="U138" s="1559"/>
      <c r="V138" s="1559"/>
      <c r="W138" s="1559"/>
      <c r="X138" s="1559"/>
      <c r="Y138" s="1559"/>
      <c r="Z138" s="1559"/>
      <c r="AA138" s="1559"/>
      <c r="AB138" s="1559"/>
      <c r="AC138" s="1559"/>
      <c r="AD138" s="1559"/>
      <c r="AE138" s="1559"/>
      <c r="AF138" s="1559"/>
      <c r="AG138" s="1559"/>
      <c r="AH138" s="1559"/>
      <c r="AI138" s="1559"/>
      <c r="AJ138" s="1559"/>
      <c r="AK138" s="1559"/>
      <c r="AL138" s="1559"/>
      <c r="AM138" s="1559"/>
      <c r="AN138" s="1559"/>
      <c r="AO138" s="1559"/>
      <c r="AP138" s="1559"/>
      <c r="AQ138" s="1559"/>
      <c r="AR138" s="1559"/>
      <c r="AS138" s="1559"/>
      <c r="AT138" s="1559"/>
      <c r="AU138" s="1559"/>
      <c r="AV138" s="1559"/>
      <c r="AW138" s="1559"/>
      <c r="AX138" s="1559"/>
      <c r="AY138" s="1559"/>
      <c r="AZ138" s="1559"/>
      <c r="BA138" s="1559"/>
      <c r="BB138" s="1559"/>
      <c r="BC138" s="1559"/>
      <c r="BD138" s="1559"/>
      <c r="BE138" s="1559"/>
      <c r="BF138" s="1559"/>
      <c r="BG138" s="1559"/>
      <c r="BH138" s="1559"/>
      <c r="BI138" s="1559"/>
      <c r="BJ138" s="1559"/>
      <c r="BK138" s="1559"/>
      <c r="BL138" s="1559"/>
      <c r="BM138" s="1559"/>
      <c r="BN138" s="1559"/>
      <c r="BO138" s="1559"/>
      <c r="BP138" s="1559"/>
      <c r="BQ138" s="1559"/>
      <c r="BR138" s="1559"/>
      <c r="BS138" s="1559"/>
      <c r="BT138" s="1559"/>
      <c r="BU138" s="1559"/>
      <c r="BV138" s="1559"/>
      <c r="BW138" s="1559"/>
      <c r="BX138" s="1559"/>
      <c r="BY138" s="1559"/>
      <c r="BZ138" s="1559"/>
      <c r="CA138" s="1559"/>
      <c r="CB138" s="1559"/>
      <c r="CC138" s="1559"/>
      <c r="CD138" s="1559"/>
      <c r="CE138" s="1559"/>
      <c r="CF138" s="1559"/>
      <c r="CG138" s="1559"/>
      <c r="CH138" s="1559"/>
      <c r="CI138" s="1559"/>
      <c r="CJ138" s="1559"/>
      <c r="CK138" s="1559"/>
      <c r="CL138" s="1559"/>
      <c r="CM138" s="1559"/>
      <c r="CN138" s="1559"/>
      <c r="CO138" s="1559"/>
      <c r="CP138" s="1559"/>
      <c r="CQ138" s="1559"/>
      <c r="CR138" s="1559"/>
      <c r="CS138" s="1559"/>
      <c r="CT138" s="1559"/>
      <c r="CU138" s="1559"/>
      <c r="CV138" s="1559"/>
      <c r="CW138" s="1559"/>
      <c r="CX138" s="1559"/>
      <c r="CY138" s="1559"/>
      <c r="CZ138" s="1559"/>
      <c r="DA138" s="1559"/>
      <c r="DB138" s="1559"/>
      <c r="DC138" s="1559"/>
      <c r="DD138" s="1559"/>
      <c r="DE138" s="1559"/>
      <c r="DF138" s="1559"/>
      <c r="DG138" s="1559"/>
      <c r="DH138" s="1559"/>
      <c r="DI138" s="1559"/>
      <c r="DJ138" s="1559"/>
      <c r="DK138" s="1559"/>
      <c r="DL138" s="1559"/>
      <c r="DM138" s="1559"/>
      <c r="DN138" s="1559"/>
      <c r="DO138" s="1559"/>
      <c r="DP138" s="1559"/>
      <c r="DQ138" s="1559"/>
      <c r="DR138" s="1559"/>
      <c r="DS138" s="1559"/>
      <c r="DT138" s="1559"/>
      <c r="DU138" s="1559"/>
      <c r="DV138" s="1559"/>
      <c r="DW138" s="1559"/>
    </row>
    <row r="139" spans="1:127" s="1548" customFormat="1" ht="58.5" customHeight="1">
      <c r="A139" s="3749">
        <v>31</v>
      </c>
      <c r="B139" s="1921" t="str">
        <f t="shared" si="6"/>
        <v>2000002844</v>
      </c>
      <c r="C139" s="2263" t="s">
        <v>3629</v>
      </c>
      <c r="D139" s="2456">
        <v>24200</v>
      </c>
      <c r="E139" s="2187" t="s">
        <v>6540</v>
      </c>
      <c r="F139" s="2263" t="s">
        <v>3416</v>
      </c>
      <c r="G139" s="2187" t="s">
        <v>6553</v>
      </c>
      <c r="H139" s="2261" t="s">
        <v>6554</v>
      </c>
      <c r="I139" s="1921" t="s">
        <v>19</v>
      </c>
      <c r="J139" s="2187" t="s">
        <v>6555</v>
      </c>
      <c r="K139" s="2617" t="s">
        <v>6556</v>
      </c>
      <c r="L139" s="2564">
        <v>7140</v>
      </c>
      <c r="M139" s="2196" t="s">
        <v>5937</v>
      </c>
      <c r="N139" s="2487"/>
      <c r="O139" s="2593">
        <v>2</v>
      </c>
      <c r="P139" s="2127"/>
      <c r="Q139" s="2263">
        <v>6425</v>
      </c>
      <c r="R139" s="2263">
        <v>2790</v>
      </c>
      <c r="S139" s="1902">
        <f>Q139-R139</f>
        <v>3635</v>
      </c>
      <c r="T139" s="2127"/>
      <c r="U139" s="2127"/>
      <c r="V139" s="2127"/>
      <c r="W139" s="2127"/>
      <c r="X139" s="2127"/>
      <c r="Y139" s="2127"/>
      <c r="Z139" s="2127"/>
      <c r="AA139" s="2127"/>
      <c r="AB139" s="2127"/>
      <c r="AC139" s="2127"/>
      <c r="AD139" s="2127"/>
      <c r="AE139" s="2127"/>
      <c r="AF139" s="2127"/>
      <c r="AG139" s="2127"/>
      <c r="AH139" s="2127"/>
      <c r="AI139" s="2127"/>
      <c r="AJ139" s="2127"/>
      <c r="AK139" s="2127"/>
      <c r="AL139" s="2127"/>
      <c r="AM139" s="2127"/>
      <c r="AN139" s="2127"/>
      <c r="AO139" s="2127"/>
      <c r="AP139" s="2127"/>
      <c r="AQ139" s="2127"/>
      <c r="AR139" s="2127"/>
      <c r="AS139" s="2127"/>
      <c r="AT139" s="2127"/>
      <c r="AU139" s="2127"/>
      <c r="AV139" s="2127"/>
      <c r="AW139" s="2127"/>
      <c r="AX139" s="2127"/>
      <c r="AY139" s="2127"/>
      <c r="AZ139" s="2127"/>
      <c r="BA139" s="2127"/>
      <c r="BB139" s="2127"/>
      <c r="BC139" s="2127"/>
      <c r="BD139" s="2127"/>
      <c r="BE139" s="2127"/>
      <c r="BF139" s="2127"/>
      <c r="BG139" s="2127"/>
      <c r="BH139" s="2127"/>
      <c r="BI139" s="2127"/>
      <c r="BJ139" s="2127"/>
      <c r="BK139" s="2127"/>
      <c r="BL139" s="2127"/>
      <c r="BM139" s="2127"/>
      <c r="BN139" s="2127"/>
      <c r="BO139" s="2127"/>
      <c r="BP139" s="2127"/>
      <c r="BQ139" s="2127"/>
      <c r="BR139" s="2127"/>
      <c r="BS139" s="2127"/>
      <c r="BT139" s="2127"/>
      <c r="BU139" s="2127"/>
      <c r="BV139" s="2127"/>
      <c r="BW139" s="2127"/>
      <c r="BX139" s="2127"/>
      <c r="BY139" s="2127"/>
      <c r="BZ139" s="2127"/>
      <c r="CA139" s="2127"/>
      <c r="CB139" s="2127"/>
      <c r="CC139" s="2127"/>
      <c r="CD139" s="2127"/>
      <c r="CE139" s="2127"/>
      <c r="CF139" s="2127"/>
      <c r="CG139" s="2127"/>
      <c r="CH139" s="2127"/>
      <c r="CI139" s="2127"/>
      <c r="CJ139" s="2127"/>
      <c r="CK139" s="2127"/>
      <c r="CL139" s="2127"/>
      <c r="CM139" s="2127"/>
      <c r="CN139" s="2127"/>
      <c r="CO139" s="2127"/>
      <c r="CP139" s="2127"/>
      <c r="CQ139" s="2127"/>
      <c r="CR139" s="2127"/>
      <c r="CS139" s="2127"/>
      <c r="CT139" s="2127"/>
      <c r="CU139" s="2127"/>
      <c r="CV139" s="2127"/>
      <c r="CW139" s="2127"/>
      <c r="CX139" s="2127"/>
      <c r="CY139" s="2127"/>
      <c r="CZ139" s="2127"/>
      <c r="DA139" s="2127"/>
      <c r="DB139" s="2127"/>
      <c r="DC139" s="2127"/>
      <c r="DD139" s="2127"/>
      <c r="DE139" s="2127"/>
      <c r="DF139" s="2127"/>
      <c r="DG139" s="2127"/>
      <c r="DH139" s="2127"/>
      <c r="DI139" s="2127"/>
      <c r="DJ139" s="2127"/>
      <c r="DK139" s="2127"/>
      <c r="DL139" s="2127"/>
      <c r="DM139" s="2127"/>
      <c r="DN139" s="2127"/>
      <c r="DO139" s="2127"/>
      <c r="DP139" s="2127"/>
      <c r="DQ139" s="2127"/>
      <c r="DR139" s="2127"/>
      <c r="DS139" s="2127"/>
      <c r="DT139" s="2127"/>
      <c r="DU139" s="2127"/>
      <c r="DV139" s="2127"/>
      <c r="DW139" s="2127"/>
    </row>
    <row r="140" spans="1:127" s="1548" customFormat="1" ht="58.5" customHeight="1">
      <c r="A140" s="3751"/>
      <c r="B140" s="1495" t="str">
        <f t="shared" ref="B140:B171" si="7">TEXT(LEFT(K140,10),"0000000000")</f>
        <v>2200001944</v>
      </c>
      <c r="C140" s="1545" t="s">
        <v>3629</v>
      </c>
      <c r="D140" s="1808"/>
      <c r="E140" s="1495"/>
      <c r="F140" s="1545" t="s">
        <v>3416</v>
      </c>
      <c r="G140" s="1495"/>
      <c r="H140" s="1495"/>
      <c r="I140" s="1495" t="s">
        <v>19</v>
      </c>
      <c r="J140" s="1543" t="s">
        <v>6555</v>
      </c>
      <c r="K140" s="1600" t="s">
        <v>6557</v>
      </c>
      <c r="L140" s="2299">
        <v>4231</v>
      </c>
      <c r="M140" s="2196" t="s">
        <v>5937</v>
      </c>
      <c r="N140" s="1859"/>
      <c r="O140" s="2590">
        <v>2</v>
      </c>
      <c r="Q140" s="1493">
        <v>3971</v>
      </c>
      <c r="S140" s="1902">
        <f>Q140-R140</f>
        <v>3971</v>
      </c>
    </row>
    <row r="141" spans="1:127" s="1548" customFormat="1" ht="58.5" customHeight="1">
      <c r="A141" s="3751"/>
      <c r="B141" s="1495" t="str">
        <f t="shared" si="7"/>
        <v>2200001945</v>
      </c>
      <c r="C141" s="1545" t="s">
        <v>3629</v>
      </c>
      <c r="D141" s="1808"/>
      <c r="E141" s="1495"/>
      <c r="F141" s="1545" t="s">
        <v>3416</v>
      </c>
      <c r="G141" s="1495"/>
      <c r="H141" s="1495"/>
      <c r="I141" s="1495" t="s">
        <v>19</v>
      </c>
      <c r="J141" s="1543" t="s">
        <v>6555</v>
      </c>
      <c r="K141" s="1600" t="s">
        <v>6558</v>
      </c>
      <c r="L141" s="2299">
        <v>4000</v>
      </c>
      <c r="M141" s="2196" t="s">
        <v>5937</v>
      </c>
      <c r="N141" s="1859"/>
      <c r="O141" s="2590">
        <v>2</v>
      </c>
      <c r="Q141" s="1493">
        <v>3998</v>
      </c>
      <c r="S141" s="1493">
        <f>Q141-R141</f>
        <v>3998</v>
      </c>
    </row>
    <row r="142" spans="1:127" s="1548" customFormat="1" ht="58.5" customHeight="1">
      <c r="A142" s="3751"/>
      <c r="B142" s="1495" t="str">
        <f t="shared" si="7"/>
        <v>2000002827</v>
      </c>
      <c r="C142" s="1545" t="s">
        <v>3629</v>
      </c>
      <c r="D142" s="1808"/>
      <c r="E142" s="1495"/>
      <c r="F142" s="1545" t="s">
        <v>3416</v>
      </c>
      <c r="G142" s="1495"/>
      <c r="H142" s="1495"/>
      <c r="I142" s="1495" t="s">
        <v>19</v>
      </c>
      <c r="J142" s="1543" t="s">
        <v>6555</v>
      </c>
      <c r="K142" s="1600" t="s">
        <v>6559</v>
      </c>
      <c r="L142" s="2357">
        <v>400</v>
      </c>
      <c r="M142" s="2196" t="s">
        <v>5937</v>
      </c>
      <c r="N142" s="1859"/>
      <c r="O142" s="2590">
        <v>2</v>
      </c>
      <c r="Q142" s="1493">
        <v>366</v>
      </c>
      <c r="R142" s="1493"/>
      <c r="S142" s="1493">
        <f>Q142-R142</f>
        <v>366</v>
      </c>
    </row>
    <row r="143" spans="1:127" s="1548" customFormat="1" ht="58.5" customHeight="1">
      <c r="A143" s="3751"/>
      <c r="B143" s="1495" t="str">
        <f t="shared" si="7"/>
        <v>2000002835</v>
      </c>
      <c r="C143" s="1545" t="s">
        <v>3629</v>
      </c>
      <c r="D143" s="1808"/>
      <c r="E143" s="1495"/>
      <c r="F143" s="1545" t="s">
        <v>3416</v>
      </c>
      <c r="G143" s="1495"/>
      <c r="H143" s="1495"/>
      <c r="I143" s="1495" t="s">
        <v>19</v>
      </c>
      <c r="J143" s="1543" t="s">
        <v>6555</v>
      </c>
      <c r="K143" s="1600" t="s">
        <v>6560</v>
      </c>
      <c r="L143" s="2357">
        <v>5000</v>
      </c>
      <c r="M143" s="1748" t="s">
        <v>6561</v>
      </c>
      <c r="N143" s="1859"/>
      <c r="O143" s="2590">
        <v>3</v>
      </c>
    </row>
    <row r="144" spans="1:127" s="1548" customFormat="1" ht="58.5" customHeight="1">
      <c r="A144" s="3751"/>
      <c r="B144" s="1495" t="str">
        <f t="shared" si="7"/>
        <v>2000002798</v>
      </c>
      <c r="C144" s="1545" t="s">
        <v>3629</v>
      </c>
      <c r="D144" s="2325"/>
      <c r="E144" s="1495"/>
      <c r="F144" s="1545" t="s">
        <v>3416</v>
      </c>
      <c r="G144" s="1495"/>
      <c r="H144" s="1495"/>
      <c r="I144" s="1495" t="s">
        <v>19</v>
      </c>
      <c r="J144" s="1543" t="s">
        <v>6555</v>
      </c>
      <c r="K144" s="1600" t="s">
        <v>6562</v>
      </c>
      <c r="L144" s="2357">
        <v>350</v>
      </c>
      <c r="M144" s="2584" t="s">
        <v>5961</v>
      </c>
      <c r="N144" s="1859"/>
      <c r="O144" s="2590">
        <v>3</v>
      </c>
    </row>
    <row r="145" spans="1:127" s="1548" customFormat="1" ht="58.5" customHeight="1">
      <c r="A145" s="3751"/>
      <c r="B145" s="1495" t="str">
        <f t="shared" si="7"/>
        <v>2200001920</v>
      </c>
      <c r="C145" s="1545" t="s">
        <v>3629</v>
      </c>
      <c r="D145" s="1808"/>
      <c r="E145" s="1495"/>
      <c r="F145" s="1545" t="s">
        <v>3416</v>
      </c>
      <c r="G145" s="1495"/>
      <c r="H145" s="1495"/>
      <c r="I145" s="1495" t="s">
        <v>19</v>
      </c>
      <c r="J145" s="1543" t="s">
        <v>6555</v>
      </c>
      <c r="K145" s="1600" t="s">
        <v>6563</v>
      </c>
      <c r="L145" s="2299">
        <v>3000</v>
      </c>
      <c r="M145" s="2196" t="s">
        <v>5937</v>
      </c>
      <c r="N145" s="1859"/>
      <c r="O145" s="2590">
        <v>2</v>
      </c>
      <c r="Q145" s="1493">
        <v>27642</v>
      </c>
      <c r="R145" s="1493">
        <v>13395</v>
      </c>
      <c r="S145" s="1493">
        <f>Q145-R145</f>
        <v>14247</v>
      </c>
    </row>
    <row r="146" spans="1:127" s="1548" customFormat="1" ht="58.5" customHeight="1">
      <c r="A146" s="3749">
        <v>32</v>
      </c>
      <c r="B146" s="1921" t="str">
        <f t="shared" si="7"/>
        <v>2000002852</v>
      </c>
      <c r="C146" s="1902" t="s">
        <v>217</v>
      </c>
      <c r="D146" s="2607">
        <v>4250</v>
      </c>
      <c r="E146" s="1921" t="s">
        <v>6564</v>
      </c>
      <c r="F146" s="1902" t="s">
        <v>3401</v>
      </c>
      <c r="G146" s="1921" t="s">
        <v>6565</v>
      </c>
      <c r="H146" s="1909" t="s">
        <v>6550</v>
      </c>
      <c r="I146" s="1921" t="s">
        <v>19</v>
      </c>
      <c r="J146" s="1902" t="s">
        <v>123</v>
      </c>
      <c r="K146" s="1916" t="s">
        <v>6566</v>
      </c>
      <c r="L146" s="2179">
        <v>4000</v>
      </c>
      <c r="M146" s="1632" t="s">
        <v>5961</v>
      </c>
      <c r="N146" s="1862" t="s">
        <v>6567</v>
      </c>
      <c r="O146" s="1745">
        <v>2</v>
      </c>
      <c r="P146" s="2150"/>
      <c r="Q146" s="1902"/>
      <c r="R146" s="1902"/>
      <c r="S146" s="1902"/>
      <c r="T146" s="2150"/>
      <c r="U146" s="2150"/>
      <c r="V146" s="2150"/>
      <c r="W146" s="2150"/>
      <c r="X146" s="2150"/>
      <c r="Y146" s="2150"/>
      <c r="Z146" s="2150"/>
      <c r="AA146" s="2150"/>
      <c r="AB146" s="2150"/>
      <c r="AC146" s="2150"/>
      <c r="AD146" s="2150"/>
      <c r="AE146" s="2150"/>
      <c r="AF146" s="2150"/>
      <c r="AG146" s="2150"/>
      <c r="AH146" s="2150"/>
      <c r="AI146" s="2150"/>
      <c r="AJ146" s="2150"/>
      <c r="AK146" s="2150"/>
      <c r="AL146" s="2150"/>
      <c r="AM146" s="2150"/>
      <c r="AN146" s="2150"/>
      <c r="AO146" s="2150"/>
      <c r="AP146" s="2150"/>
      <c r="AQ146" s="2150"/>
      <c r="AR146" s="2150"/>
      <c r="AS146" s="2150"/>
      <c r="AT146" s="2150"/>
      <c r="AU146" s="2150"/>
      <c r="AV146" s="2150"/>
      <c r="AW146" s="2150"/>
      <c r="AX146" s="2150"/>
      <c r="AY146" s="2150"/>
      <c r="AZ146" s="2150"/>
      <c r="BA146" s="2150"/>
      <c r="BB146" s="2150"/>
      <c r="BC146" s="2150"/>
      <c r="BD146" s="2150"/>
      <c r="BE146" s="2150"/>
      <c r="BF146" s="2150"/>
      <c r="BG146" s="2150"/>
      <c r="BH146" s="2150"/>
      <c r="BI146" s="2150"/>
      <c r="BJ146" s="2150"/>
      <c r="BK146" s="2150"/>
      <c r="BL146" s="2150"/>
      <c r="BM146" s="2150"/>
      <c r="BN146" s="2150"/>
      <c r="BO146" s="2150"/>
      <c r="BP146" s="2150"/>
      <c r="BQ146" s="2150"/>
      <c r="BR146" s="2150"/>
      <c r="BS146" s="2150"/>
      <c r="BT146" s="2150"/>
      <c r="BU146" s="2150"/>
      <c r="BV146" s="2150"/>
      <c r="BW146" s="2150"/>
      <c r="BX146" s="2150"/>
      <c r="BY146" s="2150"/>
      <c r="BZ146" s="2150"/>
      <c r="CA146" s="2150"/>
      <c r="CB146" s="2150"/>
      <c r="CC146" s="2150"/>
      <c r="CD146" s="2150"/>
      <c r="CE146" s="2150"/>
      <c r="CF146" s="2150"/>
      <c r="CG146" s="2150"/>
      <c r="CH146" s="2150"/>
      <c r="CI146" s="2150"/>
      <c r="CJ146" s="2150"/>
      <c r="CK146" s="2150"/>
      <c r="CL146" s="2150"/>
      <c r="CM146" s="2150"/>
      <c r="CN146" s="2150"/>
      <c r="CO146" s="2150"/>
      <c r="CP146" s="2150"/>
      <c r="CQ146" s="2150"/>
      <c r="CR146" s="2150"/>
      <c r="CS146" s="2150"/>
      <c r="CT146" s="2150"/>
      <c r="CU146" s="2150"/>
      <c r="CV146" s="2150"/>
      <c r="CW146" s="2150"/>
      <c r="CX146" s="2150"/>
      <c r="CY146" s="2150"/>
      <c r="CZ146" s="2150"/>
      <c r="DA146" s="2150"/>
      <c r="DB146" s="2150"/>
      <c r="DC146" s="2150"/>
      <c r="DD146" s="2150"/>
      <c r="DE146" s="2150"/>
      <c r="DF146" s="2150"/>
      <c r="DG146" s="2150"/>
      <c r="DH146" s="2150"/>
      <c r="DI146" s="2150"/>
      <c r="DJ146" s="2150"/>
      <c r="DK146" s="2150"/>
      <c r="DL146" s="2150"/>
      <c r="DM146" s="2150"/>
      <c r="DN146" s="2150"/>
      <c r="DO146" s="2150"/>
      <c r="DP146" s="2150"/>
      <c r="DQ146" s="2150"/>
      <c r="DR146" s="2150"/>
      <c r="DS146" s="2150"/>
      <c r="DT146" s="2150"/>
      <c r="DU146" s="2150"/>
      <c r="DV146" s="2150"/>
      <c r="DW146" s="2150"/>
    </row>
    <row r="147" spans="1:127" s="1548" customFormat="1" ht="58.5" customHeight="1">
      <c r="A147" s="3750"/>
      <c r="B147" s="1495" t="str">
        <f t="shared" si="7"/>
        <v>2200001870</v>
      </c>
      <c r="C147" s="1493" t="s">
        <v>217</v>
      </c>
      <c r="D147" s="1808"/>
      <c r="E147" s="1495"/>
      <c r="F147" s="1493" t="s">
        <v>3401</v>
      </c>
      <c r="G147" s="1495"/>
      <c r="H147" s="1495"/>
      <c r="I147" s="1495" t="s">
        <v>19</v>
      </c>
      <c r="J147" s="1495" t="s">
        <v>101</v>
      </c>
      <c r="K147" s="1600" t="s">
        <v>6568</v>
      </c>
      <c r="L147" s="2299">
        <v>200</v>
      </c>
      <c r="M147" s="2196" t="s">
        <v>6538</v>
      </c>
      <c r="N147" s="1859"/>
      <c r="O147" s="1745">
        <v>2</v>
      </c>
      <c r="Q147" s="1493"/>
      <c r="R147" s="1493"/>
      <c r="S147" s="1493"/>
    </row>
    <row r="148" spans="1:127" s="1548" customFormat="1" ht="69.75" customHeight="1">
      <c r="A148" s="3749">
        <v>33</v>
      </c>
      <c r="B148" s="1921" t="str">
        <f t="shared" si="7"/>
        <v>2000002814</v>
      </c>
      <c r="C148" s="1902" t="s">
        <v>93</v>
      </c>
      <c r="D148" s="2607">
        <v>3000</v>
      </c>
      <c r="E148" s="1921" t="s">
        <v>6564</v>
      </c>
      <c r="F148" s="1902" t="s">
        <v>84</v>
      </c>
      <c r="G148" s="1921" t="s">
        <v>6569</v>
      </c>
      <c r="H148" s="1909" t="s">
        <v>6570</v>
      </c>
      <c r="I148" s="1921" t="s">
        <v>19</v>
      </c>
      <c r="J148" s="1921" t="s">
        <v>74</v>
      </c>
      <c r="K148" s="1845" t="s">
        <v>6571</v>
      </c>
      <c r="L148" s="2583">
        <v>1000</v>
      </c>
      <c r="M148" s="2196" t="s">
        <v>5937</v>
      </c>
      <c r="N148" s="1859" t="s">
        <v>6389</v>
      </c>
      <c r="O148" s="1745">
        <v>2</v>
      </c>
      <c r="P148" s="2150"/>
      <c r="Q148" s="1902">
        <v>963</v>
      </c>
      <c r="R148" s="1902"/>
      <c r="S148" s="1902">
        <f>Q148-R148</f>
        <v>963</v>
      </c>
      <c r="T148" s="2150"/>
      <c r="U148" s="2150"/>
      <c r="V148" s="2150"/>
      <c r="W148" s="2150"/>
      <c r="X148" s="2150"/>
      <c r="Y148" s="2150"/>
      <c r="Z148" s="2150"/>
      <c r="AA148" s="2150"/>
      <c r="AB148" s="2150"/>
      <c r="AC148" s="2150"/>
      <c r="AD148" s="2150"/>
      <c r="AE148" s="2150"/>
      <c r="AF148" s="2150"/>
      <c r="AG148" s="2150"/>
      <c r="AH148" s="2150"/>
      <c r="AI148" s="2150"/>
      <c r="AJ148" s="2150"/>
      <c r="AK148" s="2150"/>
      <c r="AL148" s="2150"/>
      <c r="AM148" s="2150"/>
      <c r="AN148" s="2150"/>
      <c r="AO148" s="2150"/>
      <c r="AP148" s="2150"/>
      <c r="AQ148" s="2150"/>
      <c r="AR148" s="2150"/>
      <c r="AS148" s="2150"/>
      <c r="AT148" s="2150"/>
      <c r="AU148" s="2150"/>
      <c r="AV148" s="2150"/>
      <c r="AW148" s="2150"/>
      <c r="AX148" s="2150"/>
      <c r="AY148" s="2150"/>
      <c r="AZ148" s="2150"/>
      <c r="BA148" s="2150"/>
      <c r="BB148" s="2150"/>
      <c r="BC148" s="2150"/>
      <c r="BD148" s="2150"/>
      <c r="BE148" s="2150"/>
      <c r="BF148" s="2150"/>
      <c r="BG148" s="2150"/>
      <c r="BH148" s="2150"/>
      <c r="BI148" s="2150"/>
      <c r="BJ148" s="2150"/>
      <c r="BK148" s="2150"/>
      <c r="BL148" s="2150"/>
      <c r="BM148" s="2150"/>
      <c r="BN148" s="2150"/>
      <c r="BO148" s="2150"/>
      <c r="BP148" s="2150"/>
      <c r="BQ148" s="2150"/>
      <c r="BR148" s="2150"/>
      <c r="BS148" s="2150"/>
      <c r="BT148" s="2150"/>
      <c r="BU148" s="2150"/>
      <c r="BV148" s="2150"/>
      <c r="BW148" s="2150"/>
      <c r="BX148" s="2150"/>
      <c r="BY148" s="2150"/>
      <c r="BZ148" s="2150"/>
      <c r="CA148" s="2150"/>
      <c r="CB148" s="2150"/>
      <c r="CC148" s="2150"/>
      <c r="CD148" s="2150"/>
      <c r="CE148" s="2150"/>
      <c r="CF148" s="2150"/>
      <c r="CG148" s="2150"/>
      <c r="CH148" s="2150"/>
      <c r="CI148" s="2150"/>
      <c r="CJ148" s="2150"/>
      <c r="CK148" s="2150"/>
      <c r="CL148" s="2150"/>
      <c r="CM148" s="2150"/>
      <c r="CN148" s="2150"/>
      <c r="CO148" s="2150"/>
      <c r="CP148" s="2150"/>
      <c r="CQ148" s="2150"/>
      <c r="CR148" s="2150"/>
      <c r="CS148" s="2150"/>
      <c r="CT148" s="2150"/>
      <c r="CU148" s="2150"/>
      <c r="CV148" s="2150"/>
      <c r="CW148" s="2150"/>
      <c r="CX148" s="2150"/>
      <c r="CY148" s="2150"/>
      <c r="CZ148" s="2150"/>
      <c r="DA148" s="2150"/>
      <c r="DB148" s="2150"/>
      <c r="DC148" s="2150"/>
      <c r="DD148" s="2150"/>
      <c r="DE148" s="2150"/>
      <c r="DF148" s="2150"/>
      <c r="DG148" s="2150"/>
      <c r="DH148" s="2150"/>
      <c r="DI148" s="2150"/>
      <c r="DJ148" s="2150"/>
      <c r="DK148" s="2150"/>
      <c r="DL148" s="2150"/>
      <c r="DM148" s="2150"/>
      <c r="DN148" s="2150"/>
      <c r="DO148" s="2150"/>
      <c r="DP148" s="2150"/>
      <c r="DQ148" s="2150"/>
      <c r="DR148" s="2150"/>
      <c r="DS148" s="2150"/>
      <c r="DT148" s="2150"/>
      <c r="DU148" s="2150"/>
      <c r="DV148" s="2150"/>
      <c r="DW148" s="2150"/>
    </row>
    <row r="149" spans="1:127" s="1548" customFormat="1" ht="58.5" customHeight="1">
      <c r="A149" s="3751"/>
      <c r="B149" s="1495" t="str">
        <f t="shared" si="7"/>
        <v>2000002833</v>
      </c>
      <c r="C149" s="1493" t="s">
        <v>93</v>
      </c>
      <c r="D149" s="1808"/>
      <c r="E149" s="1495"/>
      <c r="F149" s="1493" t="s">
        <v>84</v>
      </c>
      <c r="G149" s="1495"/>
      <c r="H149" s="1495"/>
      <c r="I149" s="1495" t="s">
        <v>19</v>
      </c>
      <c r="J149" s="1495" t="s">
        <v>74</v>
      </c>
      <c r="K149" s="1600" t="s">
        <v>6572</v>
      </c>
      <c r="L149" s="2357">
        <v>500</v>
      </c>
      <c r="M149" s="2196" t="s">
        <v>5937</v>
      </c>
      <c r="N149" s="1859" t="s">
        <v>6389</v>
      </c>
      <c r="O149" s="1745">
        <v>2</v>
      </c>
      <c r="Q149" s="1493">
        <v>526</v>
      </c>
      <c r="R149" s="1493"/>
      <c r="S149" s="1493">
        <f>Q149-R149</f>
        <v>526</v>
      </c>
    </row>
    <row r="150" spans="1:127" s="1548" customFormat="1" ht="58.5" customHeight="1">
      <c r="A150" s="3750"/>
      <c r="B150" s="1495" t="str">
        <f t="shared" si="7"/>
        <v>2000002786</v>
      </c>
      <c r="C150" s="1493" t="s">
        <v>93</v>
      </c>
      <c r="D150" s="1808"/>
      <c r="E150" s="1495"/>
      <c r="F150" s="1493" t="s">
        <v>84</v>
      </c>
      <c r="G150" s="1495"/>
      <c r="H150" s="1495"/>
      <c r="I150" s="1495" t="s">
        <v>19</v>
      </c>
      <c r="J150" s="1495" t="s">
        <v>74</v>
      </c>
      <c r="K150" s="1600" t="s">
        <v>6573</v>
      </c>
      <c r="L150" s="2357">
        <v>1500</v>
      </c>
      <c r="M150" s="2584" t="s">
        <v>5937</v>
      </c>
      <c r="N150" s="1859" t="s">
        <v>6389</v>
      </c>
      <c r="O150" s="1745">
        <v>2</v>
      </c>
      <c r="Q150" s="1493">
        <v>2319</v>
      </c>
      <c r="R150" s="1493"/>
      <c r="S150" s="1493">
        <f>Q150-R150</f>
        <v>2319</v>
      </c>
    </row>
    <row r="151" spans="1:127" s="2150" customFormat="1" ht="69" customHeight="1">
      <c r="A151" s="3767">
        <v>34</v>
      </c>
      <c r="B151" s="1921" t="str">
        <f t="shared" si="7"/>
        <v>2000002746</v>
      </c>
      <c r="C151" s="1921" t="s">
        <v>3399</v>
      </c>
      <c r="D151" s="2614">
        <v>8500</v>
      </c>
      <c r="E151" s="1921" t="s">
        <v>6574</v>
      </c>
      <c r="F151" s="1921" t="s">
        <v>3401</v>
      </c>
      <c r="G151" s="1921" t="s">
        <v>6575</v>
      </c>
      <c r="H151" s="1909" t="s">
        <v>6576</v>
      </c>
      <c r="I151" s="1921" t="s">
        <v>19</v>
      </c>
      <c r="J151" s="1921" t="s">
        <v>123</v>
      </c>
      <c r="K151" s="1845" t="s">
        <v>6577</v>
      </c>
      <c r="L151" s="2615">
        <v>500</v>
      </c>
      <c r="M151" s="2584" t="s">
        <v>6578</v>
      </c>
      <c r="N151" s="1916"/>
      <c r="O151" s="2590">
        <v>3</v>
      </c>
    </row>
    <row r="152" spans="1:127" s="1548" customFormat="1" ht="73.5" customHeight="1">
      <c r="A152" s="3767"/>
      <c r="B152" s="1921" t="str">
        <f t="shared" si="7"/>
        <v>2000002791</v>
      </c>
      <c r="C152" s="1495" t="s">
        <v>3399</v>
      </c>
      <c r="D152" s="2572"/>
      <c r="E152" s="1947"/>
      <c r="F152" s="1872" t="s">
        <v>3401</v>
      </c>
      <c r="G152" s="2118"/>
      <c r="H152" s="2611"/>
      <c r="I152" s="1921" t="s">
        <v>19</v>
      </c>
      <c r="J152" s="1921" t="s">
        <v>123</v>
      </c>
      <c r="K152" s="2402" t="s">
        <v>6579</v>
      </c>
      <c r="L152" s="2616">
        <v>134</v>
      </c>
      <c r="M152" s="2196" t="s">
        <v>5937</v>
      </c>
      <c r="N152" s="1916"/>
      <c r="O152" s="2590">
        <v>3</v>
      </c>
      <c r="P152" s="2150"/>
      <c r="Q152" s="2150"/>
      <c r="R152" s="2150"/>
      <c r="S152" s="2150"/>
      <c r="T152" s="2150"/>
      <c r="U152" s="2150"/>
      <c r="V152" s="2150"/>
      <c r="W152" s="2150"/>
      <c r="X152" s="2150"/>
      <c r="Y152" s="2150"/>
      <c r="Z152" s="2150"/>
      <c r="AA152" s="2150"/>
      <c r="AB152" s="2150"/>
      <c r="AC152" s="2150"/>
      <c r="AD152" s="2150"/>
      <c r="AE152" s="2150"/>
      <c r="AF152" s="2150"/>
      <c r="AG152" s="2150"/>
      <c r="AH152" s="2150"/>
      <c r="AI152" s="2150"/>
      <c r="AJ152" s="2150"/>
      <c r="AK152" s="2150"/>
      <c r="AL152" s="2150"/>
      <c r="AM152" s="2150"/>
      <c r="AN152" s="2150"/>
      <c r="AO152" s="2150"/>
      <c r="AP152" s="2150"/>
      <c r="AQ152" s="2150"/>
      <c r="AR152" s="2150"/>
      <c r="AS152" s="2150"/>
      <c r="AT152" s="2150"/>
      <c r="AU152" s="2150"/>
      <c r="AV152" s="2150"/>
      <c r="AW152" s="2150"/>
      <c r="AX152" s="2150"/>
      <c r="AY152" s="2150"/>
      <c r="AZ152" s="2150"/>
      <c r="BA152" s="2150"/>
      <c r="BB152" s="2150"/>
      <c r="BC152" s="2150"/>
      <c r="BD152" s="2150"/>
      <c r="BE152" s="2150"/>
      <c r="BF152" s="2150"/>
      <c r="BG152" s="2150"/>
      <c r="BH152" s="2150"/>
      <c r="BI152" s="2150"/>
      <c r="BJ152" s="2150"/>
      <c r="BK152" s="2150"/>
      <c r="BL152" s="2150"/>
      <c r="BM152" s="2150"/>
      <c r="BN152" s="2150"/>
      <c r="BO152" s="2150"/>
      <c r="BP152" s="2150"/>
      <c r="BQ152" s="2150"/>
      <c r="BR152" s="2150"/>
      <c r="BS152" s="2150"/>
      <c r="BT152" s="2150"/>
      <c r="BU152" s="2150"/>
      <c r="BV152" s="2150"/>
      <c r="BW152" s="2150"/>
      <c r="BX152" s="2150"/>
      <c r="BY152" s="2150"/>
      <c r="BZ152" s="2150"/>
      <c r="CA152" s="2150"/>
      <c r="CB152" s="2150"/>
      <c r="CC152" s="2150"/>
      <c r="CD152" s="2150"/>
      <c r="CE152" s="2150"/>
      <c r="CF152" s="2150"/>
      <c r="CG152" s="2150"/>
      <c r="CH152" s="2150"/>
      <c r="CI152" s="2150"/>
      <c r="CJ152" s="2150"/>
      <c r="CK152" s="2150"/>
      <c r="CL152" s="2150"/>
      <c r="CM152" s="2150"/>
      <c r="CN152" s="2150"/>
      <c r="CO152" s="2150"/>
      <c r="CP152" s="2150"/>
      <c r="CQ152" s="2150"/>
      <c r="CR152" s="2150"/>
      <c r="CS152" s="2150"/>
      <c r="CT152" s="2150"/>
      <c r="CU152" s="2150"/>
      <c r="CV152" s="2150"/>
      <c r="CW152" s="2150"/>
      <c r="CX152" s="2150"/>
      <c r="CY152" s="2150"/>
      <c r="CZ152" s="2150"/>
      <c r="DA152" s="2150"/>
      <c r="DB152" s="2150"/>
      <c r="DC152" s="2150"/>
      <c r="DD152" s="2150"/>
      <c r="DE152" s="2150"/>
      <c r="DF152" s="2150"/>
      <c r="DG152" s="2150"/>
      <c r="DH152" s="2150"/>
      <c r="DI152" s="2150"/>
      <c r="DJ152" s="2150"/>
      <c r="DK152" s="2150"/>
      <c r="DL152" s="2150"/>
      <c r="DM152" s="2150"/>
      <c r="DN152" s="2150"/>
      <c r="DO152" s="2150"/>
      <c r="DP152" s="2150"/>
      <c r="DQ152" s="2150"/>
      <c r="DR152" s="2150"/>
      <c r="DS152" s="2150"/>
      <c r="DT152" s="2150"/>
      <c r="DU152" s="2150"/>
      <c r="DV152" s="2150"/>
      <c r="DW152" s="2150"/>
    </row>
    <row r="153" spans="1:127" s="1548" customFormat="1" ht="74.25" customHeight="1">
      <c r="A153" s="3768"/>
      <c r="B153" s="1495" t="str">
        <f t="shared" si="7"/>
        <v>2000002792</v>
      </c>
      <c r="C153" s="1495" t="s">
        <v>3399</v>
      </c>
      <c r="D153" s="2572"/>
      <c r="E153" s="1947"/>
      <c r="F153" s="1872" t="s">
        <v>3401</v>
      </c>
      <c r="G153" s="1851"/>
      <c r="H153" s="1947"/>
      <c r="I153" s="1495" t="s">
        <v>19</v>
      </c>
      <c r="J153" s="1495" t="s">
        <v>123</v>
      </c>
      <c r="K153" s="1628" t="s">
        <v>6580</v>
      </c>
      <c r="L153" s="2361">
        <v>7990</v>
      </c>
      <c r="M153" s="2448" t="s">
        <v>5937</v>
      </c>
      <c r="N153" s="1843" t="s">
        <v>6581</v>
      </c>
      <c r="O153" s="2596">
        <v>3</v>
      </c>
      <c r="Q153" s="1493">
        <v>8927</v>
      </c>
      <c r="R153" s="1493">
        <v>995</v>
      </c>
      <c r="S153" s="1493">
        <f>Q153-R153</f>
        <v>7932</v>
      </c>
    </row>
    <row r="154" spans="1:127" s="2150" customFormat="1" ht="69" customHeight="1">
      <c r="A154" s="3749">
        <v>35</v>
      </c>
      <c r="B154" s="1921" t="str">
        <f t="shared" si="7"/>
        <v>2000002834</v>
      </c>
      <c r="C154" s="1902" t="s">
        <v>211</v>
      </c>
      <c r="D154" s="2607">
        <v>4000</v>
      </c>
      <c r="E154" s="1921" t="s">
        <v>6582</v>
      </c>
      <c r="F154" s="1902" t="s">
        <v>61</v>
      </c>
      <c r="G154" s="1921" t="s">
        <v>6583</v>
      </c>
      <c r="H154" s="1909" t="s">
        <v>6550</v>
      </c>
      <c r="I154" s="1921" t="s">
        <v>19</v>
      </c>
      <c r="J154" s="1921" t="s">
        <v>1138</v>
      </c>
      <c r="K154" s="1845" t="s">
        <v>6584</v>
      </c>
      <c r="L154" s="2583">
        <v>3000</v>
      </c>
      <c r="M154" s="1790" t="s">
        <v>5961</v>
      </c>
      <c r="N154" s="1775"/>
      <c r="O154" s="1745">
        <v>2</v>
      </c>
    </row>
    <row r="155" spans="1:127" s="1548" customFormat="1" ht="58.5" customHeight="1">
      <c r="A155" s="3751"/>
      <c r="B155" s="1568" t="str">
        <f t="shared" si="7"/>
        <v>2200001937</v>
      </c>
      <c r="C155" s="1493" t="s">
        <v>211</v>
      </c>
      <c r="D155" s="1808"/>
      <c r="E155" s="1748"/>
      <c r="F155" s="1902" t="s">
        <v>61</v>
      </c>
      <c r="G155" s="1495"/>
      <c r="H155" s="1495"/>
      <c r="I155" s="1495" t="s">
        <v>19</v>
      </c>
      <c r="J155" s="1495" t="s">
        <v>1138</v>
      </c>
      <c r="K155" s="1600" t="s">
        <v>6585</v>
      </c>
      <c r="L155" s="2357">
        <v>530</v>
      </c>
      <c r="M155" s="1790" t="s">
        <v>5961</v>
      </c>
      <c r="N155" s="1843" t="s">
        <v>6586</v>
      </c>
      <c r="O155" s="2590">
        <v>2</v>
      </c>
    </row>
    <row r="156" spans="1:127" s="1548" customFormat="1" ht="58.5" customHeight="1">
      <c r="A156" s="3750"/>
      <c r="B156" s="1568" t="str">
        <f t="shared" si="7"/>
        <v>2200001940</v>
      </c>
      <c r="C156" s="1493" t="s">
        <v>211</v>
      </c>
      <c r="D156" s="1808"/>
      <c r="E156" s="1748"/>
      <c r="F156" s="1902" t="s">
        <v>61</v>
      </c>
      <c r="G156" s="1495"/>
      <c r="H156" s="1495"/>
      <c r="I156" s="1495" t="s">
        <v>19</v>
      </c>
      <c r="J156" s="1495" t="s">
        <v>1138</v>
      </c>
      <c r="K156" s="1600" t="s">
        <v>6587</v>
      </c>
      <c r="L156" s="2357">
        <v>500</v>
      </c>
      <c r="M156" s="1790" t="s">
        <v>6533</v>
      </c>
      <c r="N156" s="1843"/>
      <c r="O156" s="2590">
        <v>2</v>
      </c>
    </row>
    <row r="157" spans="1:127" s="1548" customFormat="1" ht="58.5" customHeight="1">
      <c r="A157" s="3749">
        <v>36</v>
      </c>
      <c r="B157" s="1568" t="str">
        <f t="shared" si="7"/>
        <v>2200001920</v>
      </c>
      <c r="C157" s="1902" t="s">
        <v>3491</v>
      </c>
      <c r="D157" s="2607">
        <v>4350</v>
      </c>
      <c r="E157" s="1921" t="s">
        <v>6588</v>
      </c>
      <c r="F157" s="1902" t="s">
        <v>3401</v>
      </c>
      <c r="G157" s="1921" t="s">
        <v>6589</v>
      </c>
      <c r="H157" s="1909" t="s">
        <v>6590</v>
      </c>
      <c r="I157" s="1921" t="s">
        <v>19</v>
      </c>
      <c r="J157" s="1921" t="s">
        <v>1138</v>
      </c>
      <c r="K157" s="2617" t="s">
        <v>6591</v>
      </c>
      <c r="L157" s="2337">
        <v>1080</v>
      </c>
      <c r="M157" s="2196" t="s">
        <v>5937</v>
      </c>
      <c r="N157" s="1775"/>
      <c r="O157" s="1745">
        <v>3</v>
      </c>
      <c r="P157" s="2150"/>
      <c r="Q157" s="1902">
        <v>27642</v>
      </c>
      <c r="R157" s="1902">
        <v>13395</v>
      </c>
      <c r="S157" s="1902">
        <f>Q157-R157</f>
        <v>14247</v>
      </c>
      <c r="T157" s="2150"/>
      <c r="U157" s="2150"/>
      <c r="V157" s="2150"/>
      <c r="W157" s="2150"/>
      <c r="X157" s="2150"/>
      <c r="Y157" s="2150"/>
      <c r="Z157" s="2150"/>
      <c r="AA157" s="2150"/>
      <c r="AB157" s="2150"/>
      <c r="AC157" s="2150"/>
      <c r="AD157" s="2150"/>
      <c r="AE157" s="2150"/>
      <c r="AF157" s="2150"/>
      <c r="AG157" s="2150"/>
      <c r="AH157" s="2150"/>
      <c r="AI157" s="2150"/>
      <c r="AJ157" s="2150"/>
      <c r="AK157" s="2150"/>
      <c r="AL157" s="2150"/>
      <c r="AM157" s="2150"/>
      <c r="AN157" s="2150"/>
      <c r="AO157" s="2150"/>
      <c r="AP157" s="2150"/>
      <c r="AQ157" s="2150"/>
      <c r="AR157" s="2150"/>
      <c r="AS157" s="2150"/>
      <c r="AT157" s="2150"/>
      <c r="AU157" s="2150"/>
      <c r="AV157" s="2150"/>
      <c r="AW157" s="2150"/>
      <c r="AX157" s="2150"/>
      <c r="AY157" s="2150"/>
      <c r="AZ157" s="2150"/>
      <c r="BA157" s="2150"/>
      <c r="BB157" s="2150"/>
      <c r="BC157" s="2150"/>
      <c r="BD157" s="2150"/>
      <c r="BE157" s="2150"/>
      <c r="BF157" s="2150"/>
      <c r="BG157" s="2150"/>
      <c r="BH157" s="2150"/>
      <c r="BI157" s="2150"/>
      <c r="BJ157" s="2150"/>
      <c r="BK157" s="2150"/>
      <c r="BL157" s="2150"/>
      <c r="BM157" s="2150"/>
      <c r="BN157" s="2150"/>
      <c r="BO157" s="2150"/>
      <c r="BP157" s="2150"/>
      <c r="BQ157" s="2150"/>
      <c r="BR157" s="2150"/>
      <c r="BS157" s="2150"/>
      <c r="BT157" s="2150"/>
      <c r="BU157" s="2150"/>
      <c r="BV157" s="2150"/>
      <c r="BW157" s="2150"/>
      <c r="BX157" s="2150"/>
      <c r="BY157" s="2150"/>
      <c r="BZ157" s="2150"/>
      <c r="CA157" s="2150"/>
      <c r="CB157" s="2150"/>
      <c r="CC157" s="2150"/>
      <c r="CD157" s="2150"/>
      <c r="CE157" s="2150"/>
      <c r="CF157" s="2150"/>
      <c r="CG157" s="2150"/>
      <c r="CH157" s="2150"/>
      <c r="CI157" s="2150"/>
      <c r="CJ157" s="2150"/>
      <c r="CK157" s="2150"/>
      <c r="CL157" s="2150"/>
      <c r="CM157" s="2150"/>
      <c r="CN157" s="2150"/>
      <c r="CO157" s="2150"/>
      <c r="CP157" s="2150"/>
      <c r="CQ157" s="2150"/>
      <c r="CR157" s="2150"/>
      <c r="CS157" s="2150"/>
      <c r="CT157" s="2150"/>
      <c r="CU157" s="2150"/>
      <c r="CV157" s="2150"/>
      <c r="CW157" s="2150"/>
      <c r="CX157" s="2150"/>
      <c r="CY157" s="2150"/>
      <c r="CZ157" s="2150"/>
      <c r="DA157" s="2150"/>
      <c r="DB157" s="2150"/>
      <c r="DC157" s="2150"/>
      <c r="DD157" s="2150"/>
      <c r="DE157" s="2150"/>
      <c r="DF157" s="2150"/>
      <c r="DG157" s="2150"/>
      <c r="DH157" s="2150"/>
      <c r="DI157" s="2150"/>
      <c r="DJ157" s="2150"/>
      <c r="DK157" s="2150"/>
      <c r="DL157" s="2150"/>
      <c r="DM157" s="2150"/>
      <c r="DN157" s="2150"/>
      <c r="DO157" s="2150"/>
      <c r="DP157" s="2150"/>
      <c r="DQ157" s="2150"/>
      <c r="DR157" s="2150"/>
      <c r="DS157" s="2150"/>
      <c r="DT157" s="2150"/>
      <c r="DU157" s="2150"/>
      <c r="DV157" s="2150"/>
      <c r="DW157" s="2150"/>
    </row>
    <row r="158" spans="1:127" s="1548" customFormat="1" ht="58.5" customHeight="1">
      <c r="A158" s="3750"/>
      <c r="B158" s="1568" t="str">
        <f t="shared" si="7"/>
        <v>2200001948</v>
      </c>
      <c r="C158" s="1493" t="s">
        <v>3491</v>
      </c>
      <c r="D158" s="1494"/>
      <c r="E158" s="1495"/>
      <c r="F158" s="1493" t="s">
        <v>3401</v>
      </c>
      <c r="G158" s="1495"/>
      <c r="H158" s="1748"/>
      <c r="I158" s="1495" t="s">
        <v>19</v>
      </c>
      <c r="J158" s="1495" t="s">
        <v>1138</v>
      </c>
      <c r="K158" s="1770" t="s">
        <v>6592</v>
      </c>
      <c r="L158" s="2183">
        <v>3265</v>
      </c>
      <c r="M158" s="1493" t="s">
        <v>5454</v>
      </c>
      <c r="N158" s="1859"/>
      <c r="O158" s="2590">
        <v>3</v>
      </c>
      <c r="Q158" s="1493"/>
      <c r="R158" s="1493"/>
      <c r="S158" s="1493"/>
    </row>
    <row r="159" spans="1:127" s="1548" customFormat="1" ht="58.5" customHeight="1">
      <c r="A159" s="3749">
        <v>37</v>
      </c>
      <c r="B159" s="1921" t="str">
        <f t="shared" si="7"/>
        <v>2000002839</v>
      </c>
      <c r="C159" s="1902" t="s">
        <v>5319</v>
      </c>
      <c r="D159" s="2607">
        <v>11940</v>
      </c>
      <c r="E159" s="1921" t="s">
        <v>6593</v>
      </c>
      <c r="F159" s="1902" t="s">
        <v>3401</v>
      </c>
      <c r="G159" s="1921" t="s">
        <v>6594</v>
      </c>
      <c r="H159" s="1909" t="s">
        <v>6595</v>
      </c>
      <c r="I159" s="1921" t="s">
        <v>19</v>
      </c>
      <c r="J159" s="1921" t="s">
        <v>63</v>
      </c>
      <c r="K159" s="1845" t="s">
        <v>6596</v>
      </c>
      <c r="L159" s="2583">
        <v>10000</v>
      </c>
      <c r="M159" s="1909" t="s">
        <v>5961</v>
      </c>
      <c r="N159" s="1775"/>
      <c r="O159" s="1745">
        <v>3</v>
      </c>
      <c r="P159" s="2150"/>
      <c r="Q159" s="2150"/>
      <c r="R159" s="2150"/>
      <c r="S159" s="2150"/>
      <c r="T159" s="2150"/>
      <c r="U159" s="2150"/>
      <c r="V159" s="2150"/>
      <c r="W159" s="2150"/>
      <c r="X159" s="2150"/>
      <c r="Y159" s="2150"/>
      <c r="Z159" s="2150"/>
      <c r="AA159" s="2150"/>
      <c r="AB159" s="2150"/>
      <c r="AC159" s="2150"/>
      <c r="AD159" s="2150"/>
      <c r="AE159" s="2150"/>
      <c r="AF159" s="2150"/>
      <c r="AG159" s="2150"/>
      <c r="AH159" s="2150"/>
      <c r="AI159" s="2150"/>
      <c r="AJ159" s="2150"/>
      <c r="AK159" s="2150"/>
      <c r="AL159" s="2150"/>
      <c r="AM159" s="2150"/>
      <c r="AN159" s="2150"/>
      <c r="AO159" s="2150"/>
      <c r="AP159" s="2150"/>
      <c r="AQ159" s="2150"/>
      <c r="AR159" s="2150"/>
      <c r="AS159" s="2150"/>
      <c r="AT159" s="2150"/>
      <c r="AU159" s="2150"/>
      <c r="AV159" s="2150"/>
      <c r="AW159" s="2150"/>
      <c r="AX159" s="2150"/>
      <c r="AY159" s="2150"/>
      <c r="AZ159" s="2150"/>
      <c r="BA159" s="2150"/>
      <c r="BB159" s="2150"/>
      <c r="BC159" s="2150"/>
      <c r="BD159" s="2150"/>
      <c r="BE159" s="2150"/>
      <c r="BF159" s="2150"/>
      <c r="BG159" s="2150"/>
      <c r="BH159" s="2150"/>
      <c r="BI159" s="2150"/>
      <c r="BJ159" s="2150"/>
      <c r="BK159" s="2150"/>
      <c r="BL159" s="2150"/>
      <c r="BM159" s="2150"/>
      <c r="BN159" s="2150"/>
      <c r="BO159" s="2150"/>
      <c r="BP159" s="2150"/>
      <c r="BQ159" s="2150"/>
      <c r="BR159" s="2150"/>
      <c r="BS159" s="2150"/>
      <c r="BT159" s="2150"/>
      <c r="BU159" s="2150"/>
      <c r="BV159" s="2150"/>
      <c r="BW159" s="2150"/>
      <c r="BX159" s="2150"/>
      <c r="BY159" s="2150"/>
      <c r="BZ159" s="2150"/>
      <c r="CA159" s="2150"/>
      <c r="CB159" s="2150"/>
      <c r="CC159" s="2150"/>
      <c r="CD159" s="2150"/>
      <c r="CE159" s="2150"/>
      <c r="CF159" s="2150"/>
      <c r="CG159" s="2150"/>
      <c r="CH159" s="2150"/>
      <c r="CI159" s="2150"/>
      <c r="CJ159" s="2150"/>
      <c r="CK159" s="2150"/>
      <c r="CL159" s="2150"/>
      <c r="CM159" s="2150"/>
      <c r="CN159" s="2150"/>
      <c r="CO159" s="2150"/>
      <c r="CP159" s="2150"/>
      <c r="CQ159" s="2150"/>
      <c r="CR159" s="2150"/>
      <c r="CS159" s="2150"/>
      <c r="CT159" s="2150"/>
      <c r="CU159" s="2150"/>
      <c r="CV159" s="2150"/>
      <c r="CW159" s="2150"/>
      <c r="CX159" s="2150"/>
      <c r="CY159" s="2150"/>
      <c r="CZ159" s="2150"/>
      <c r="DA159" s="2150"/>
      <c r="DB159" s="2150"/>
      <c r="DC159" s="2150"/>
      <c r="DD159" s="2150"/>
      <c r="DE159" s="2150"/>
      <c r="DF159" s="2150"/>
      <c r="DG159" s="2150"/>
      <c r="DH159" s="2150"/>
      <c r="DI159" s="2150"/>
      <c r="DJ159" s="2150"/>
      <c r="DK159" s="2150"/>
      <c r="DL159" s="2150"/>
      <c r="DM159" s="2150"/>
      <c r="DN159" s="2150"/>
      <c r="DO159" s="2150"/>
      <c r="DP159" s="2150"/>
      <c r="DQ159" s="2150"/>
      <c r="DR159" s="2150"/>
      <c r="DS159" s="2150"/>
      <c r="DT159" s="2150"/>
      <c r="DU159" s="2150"/>
      <c r="DV159" s="2150"/>
      <c r="DW159" s="2150"/>
    </row>
    <row r="160" spans="1:127" s="1548" customFormat="1" ht="58.5" customHeight="1">
      <c r="A160" s="3751"/>
      <c r="B160" s="1495" t="str">
        <f t="shared" si="7"/>
        <v>2000002840</v>
      </c>
      <c r="C160" s="1493" t="s">
        <v>5319</v>
      </c>
      <c r="D160" s="1808"/>
      <c r="E160" s="1495"/>
      <c r="F160" s="1493" t="s">
        <v>3401</v>
      </c>
      <c r="G160" s="1495"/>
      <c r="H160" s="1495"/>
      <c r="I160" s="1495" t="s">
        <v>19</v>
      </c>
      <c r="J160" s="1495" t="s">
        <v>63</v>
      </c>
      <c r="K160" s="1600" t="s">
        <v>6597</v>
      </c>
      <c r="L160" s="2357">
        <v>1000</v>
      </c>
      <c r="M160" s="2196" t="s">
        <v>5937</v>
      </c>
      <c r="N160" s="1775" t="s">
        <v>6389</v>
      </c>
      <c r="O160" s="2590">
        <v>3</v>
      </c>
      <c r="Q160" s="1493">
        <v>971</v>
      </c>
      <c r="R160" s="1493"/>
      <c r="S160" s="1493">
        <f>Q160-R160</f>
        <v>971</v>
      </c>
    </row>
    <row r="161" spans="1:127" s="1548" customFormat="1" ht="58.5" customHeight="1">
      <c r="A161" s="3750"/>
      <c r="B161" s="1495" t="str">
        <f t="shared" si="7"/>
        <v>2000002841</v>
      </c>
      <c r="C161" s="1493" t="s">
        <v>5319</v>
      </c>
      <c r="D161" s="1808"/>
      <c r="E161" s="1495"/>
      <c r="F161" s="1493" t="s">
        <v>3401</v>
      </c>
      <c r="G161" s="1495"/>
      <c r="H161" s="1495"/>
      <c r="I161" s="1495" t="s">
        <v>19</v>
      </c>
      <c r="J161" s="1495" t="s">
        <v>63</v>
      </c>
      <c r="K161" s="1600" t="s">
        <v>6598</v>
      </c>
      <c r="L161" s="2357">
        <v>1000</v>
      </c>
      <c r="M161" s="2196" t="s">
        <v>5937</v>
      </c>
      <c r="N161" s="1775" t="s">
        <v>6389</v>
      </c>
      <c r="O161" s="2590">
        <v>3</v>
      </c>
      <c r="Q161" s="1493">
        <v>1014</v>
      </c>
      <c r="R161" s="1493"/>
      <c r="S161" s="1493">
        <f>Q161-R161</f>
        <v>1014</v>
      </c>
    </row>
    <row r="162" spans="1:127" s="1548" customFormat="1" ht="58.5" customHeight="1">
      <c r="A162" s="3751">
        <v>38</v>
      </c>
      <c r="B162" s="1568" t="str">
        <f t="shared" si="7"/>
        <v>2000002832</v>
      </c>
      <c r="C162" s="1902" t="s">
        <v>4786</v>
      </c>
      <c r="D162" s="2488">
        <v>5850</v>
      </c>
      <c r="E162" s="1921" t="s">
        <v>6599</v>
      </c>
      <c r="F162" s="1902" t="s">
        <v>16</v>
      </c>
      <c r="G162" s="1921" t="s">
        <v>6600</v>
      </c>
      <c r="H162" s="1909" t="s">
        <v>6601</v>
      </c>
      <c r="I162" s="1921" t="s">
        <v>19</v>
      </c>
      <c r="J162" s="1921" t="s">
        <v>63</v>
      </c>
      <c r="K162" s="1845" t="s">
        <v>6602</v>
      </c>
      <c r="L162" s="2583">
        <v>500</v>
      </c>
      <c r="M162" s="2196" t="s">
        <v>5937</v>
      </c>
      <c r="N162" s="1859" t="s">
        <v>6389</v>
      </c>
      <c r="O162" s="2590">
        <v>3</v>
      </c>
      <c r="Q162" s="1493">
        <v>512</v>
      </c>
      <c r="R162" s="1493"/>
      <c r="S162" s="1493">
        <f>Q162-R162</f>
        <v>512</v>
      </c>
    </row>
    <row r="163" spans="1:127" s="1548" customFormat="1" ht="58.5" customHeight="1">
      <c r="A163" s="3751"/>
      <c r="B163" s="1568" t="str">
        <f t="shared" si="7"/>
        <v>2000002849</v>
      </c>
      <c r="C163" s="1493" t="s">
        <v>4786</v>
      </c>
      <c r="D163" s="1808"/>
      <c r="E163" s="1495"/>
      <c r="F163" s="1493" t="s">
        <v>16</v>
      </c>
      <c r="G163" s="1495"/>
      <c r="H163" s="1495"/>
      <c r="I163" s="1495" t="s">
        <v>19</v>
      </c>
      <c r="J163" s="1495" t="s">
        <v>63</v>
      </c>
      <c r="K163" s="1600" t="s">
        <v>6603</v>
      </c>
      <c r="L163" s="2357">
        <v>2410</v>
      </c>
      <c r="M163" s="1495" t="s">
        <v>5961</v>
      </c>
      <c r="N163" s="1859"/>
      <c r="O163" s="2590">
        <v>3</v>
      </c>
      <c r="Q163" s="1493"/>
      <c r="R163" s="1493"/>
      <c r="S163" s="1493"/>
    </row>
    <row r="164" spans="1:127" s="1548" customFormat="1" ht="58.5" customHeight="1">
      <c r="A164" s="3751"/>
      <c r="B164" s="1568" t="str">
        <f t="shared" si="7"/>
        <v>2000002851</v>
      </c>
      <c r="C164" s="1493" t="s">
        <v>4786</v>
      </c>
      <c r="D164" s="1808"/>
      <c r="E164" s="1495"/>
      <c r="F164" s="1493" t="s">
        <v>16</v>
      </c>
      <c r="G164" s="1495"/>
      <c r="H164" s="1495"/>
      <c r="I164" s="1495" t="s">
        <v>19</v>
      </c>
      <c r="J164" s="1495" t="s">
        <v>63</v>
      </c>
      <c r="K164" s="1600" t="s">
        <v>6604</v>
      </c>
      <c r="L164" s="2357">
        <v>1500</v>
      </c>
      <c r="M164" s="1495" t="s">
        <v>5961</v>
      </c>
      <c r="N164" s="1859"/>
      <c r="O164" s="2590">
        <v>3</v>
      </c>
      <c r="Q164" s="1493"/>
      <c r="R164" s="1493"/>
      <c r="S164" s="1493"/>
    </row>
    <row r="165" spans="1:127" s="1548" customFormat="1" ht="58.5" customHeight="1">
      <c r="A165" s="3751"/>
      <c r="B165" s="1568" t="str">
        <f t="shared" si="7"/>
        <v>2000002848</v>
      </c>
      <c r="C165" s="1493" t="s">
        <v>4786</v>
      </c>
      <c r="D165" s="1808"/>
      <c r="E165" s="1495"/>
      <c r="F165" s="1493" t="s">
        <v>16</v>
      </c>
      <c r="G165" s="1495"/>
      <c r="H165" s="1495"/>
      <c r="I165" s="1495" t="s">
        <v>19</v>
      </c>
      <c r="J165" s="1495" t="s">
        <v>123</v>
      </c>
      <c r="K165" s="1600" t="s">
        <v>6605</v>
      </c>
      <c r="L165" s="2357">
        <v>1100</v>
      </c>
      <c r="M165" s="1495" t="s">
        <v>5961</v>
      </c>
      <c r="N165" s="1859"/>
      <c r="O165" s="2590">
        <v>3</v>
      </c>
      <c r="Q165" s="1493"/>
      <c r="R165" s="1493"/>
      <c r="S165" s="1493"/>
    </row>
    <row r="166" spans="1:127" s="1548" customFormat="1" ht="75.75" customHeight="1">
      <c r="A166" s="3751"/>
      <c r="B166" s="1568" t="str">
        <f t="shared" si="7"/>
        <v>2000002847</v>
      </c>
      <c r="C166" s="1493" t="s">
        <v>4786</v>
      </c>
      <c r="D166" s="1808"/>
      <c r="E166" s="1495"/>
      <c r="F166" s="1493" t="s">
        <v>16</v>
      </c>
      <c r="G166" s="1495"/>
      <c r="H166" s="1495"/>
      <c r="I166" s="1495" t="s">
        <v>19</v>
      </c>
      <c r="J166" s="1495" t="s">
        <v>123</v>
      </c>
      <c r="K166" s="1600" t="s">
        <v>6606</v>
      </c>
      <c r="L166" s="2357">
        <v>500</v>
      </c>
      <c r="M166" s="1495" t="s">
        <v>5961</v>
      </c>
      <c r="N166" s="1859"/>
      <c r="O166" s="2590">
        <v>3</v>
      </c>
      <c r="Q166" s="1493"/>
      <c r="R166" s="1493"/>
      <c r="S166" s="1493"/>
    </row>
    <row r="167" spans="1:127" s="1548" customFormat="1" ht="75.75" customHeight="1">
      <c r="A167" s="2436">
        <v>39</v>
      </c>
      <c r="B167" s="1568" t="str">
        <f t="shared" si="7"/>
        <v>2200001920</v>
      </c>
      <c r="C167" s="1902" t="s">
        <v>82</v>
      </c>
      <c r="D167" s="2607">
        <v>4250</v>
      </c>
      <c r="E167" s="1921" t="s">
        <v>6607</v>
      </c>
      <c r="F167" s="1902" t="s">
        <v>84</v>
      </c>
      <c r="G167" s="1921" t="s">
        <v>6608</v>
      </c>
      <c r="H167" s="1909" t="s">
        <v>6609</v>
      </c>
      <c r="I167" s="1921" t="s">
        <v>19</v>
      </c>
      <c r="J167" s="1921" t="s">
        <v>1138</v>
      </c>
      <c r="K167" s="1845" t="s">
        <v>6610</v>
      </c>
      <c r="L167" s="2337">
        <v>4250</v>
      </c>
      <c r="M167" s="2196" t="s">
        <v>5937</v>
      </c>
      <c r="N167" s="1862" t="s">
        <v>6611</v>
      </c>
      <c r="O167" s="1745">
        <v>3</v>
      </c>
      <c r="P167" s="2150"/>
      <c r="Q167" s="1902">
        <v>27642</v>
      </c>
      <c r="R167" s="1902">
        <v>13395</v>
      </c>
      <c r="S167" s="1902">
        <f>Q167-R167</f>
        <v>14247</v>
      </c>
      <c r="T167" s="2150"/>
      <c r="U167" s="2150"/>
      <c r="V167" s="2150"/>
      <c r="W167" s="2150"/>
      <c r="X167" s="2150"/>
      <c r="Y167" s="2150"/>
      <c r="Z167" s="2150"/>
      <c r="AA167" s="2150"/>
      <c r="AB167" s="2150"/>
      <c r="AC167" s="2150"/>
      <c r="AD167" s="2150"/>
      <c r="AE167" s="2150"/>
      <c r="AF167" s="2150"/>
      <c r="AG167" s="2150"/>
      <c r="AH167" s="2150"/>
      <c r="AI167" s="2150"/>
      <c r="AJ167" s="2150"/>
      <c r="AK167" s="2150"/>
      <c r="AL167" s="2150"/>
      <c r="AM167" s="2150"/>
      <c r="AN167" s="2150"/>
      <c r="AO167" s="2150"/>
      <c r="AP167" s="2150"/>
      <c r="AQ167" s="2150"/>
      <c r="AR167" s="2150"/>
      <c r="AS167" s="2150"/>
      <c r="AT167" s="2150"/>
      <c r="AU167" s="2150"/>
      <c r="AV167" s="2150"/>
      <c r="AW167" s="2150"/>
      <c r="AX167" s="2150"/>
      <c r="AY167" s="2150"/>
      <c r="AZ167" s="2150"/>
      <c r="BA167" s="2150"/>
      <c r="BB167" s="2150"/>
      <c r="BC167" s="2150"/>
      <c r="BD167" s="2150"/>
      <c r="BE167" s="2150"/>
      <c r="BF167" s="2150"/>
      <c r="BG167" s="2150"/>
      <c r="BH167" s="2150"/>
      <c r="BI167" s="2150"/>
      <c r="BJ167" s="2150"/>
      <c r="BK167" s="2150"/>
      <c r="BL167" s="2150"/>
      <c r="BM167" s="2150"/>
      <c r="BN167" s="2150"/>
      <c r="BO167" s="2150"/>
      <c r="BP167" s="2150"/>
      <c r="BQ167" s="2150"/>
      <c r="BR167" s="2150"/>
      <c r="BS167" s="2150"/>
      <c r="BT167" s="2150"/>
      <c r="BU167" s="2150"/>
      <c r="BV167" s="2150"/>
      <c r="BW167" s="2150"/>
      <c r="BX167" s="2150"/>
      <c r="BY167" s="2150"/>
      <c r="BZ167" s="2150"/>
      <c r="CA167" s="2150"/>
      <c r="CB167" s="2150"/>
      <c r="CC167" s="2150"/>
      <c r="CD167" s="2150"/>
      <c r="CE167" s="2150"/>
      <c r="CF167" s="2150"/>
      <c r="CG167" s="2150"/>
      <c r="CH167" s="2150"/>
      <c r="CI167" s="2150"/>
      <c r="CJ167" s="2150"/>
      <c r="CK167" s="2150"/>
      <c r="CL167" s="2150"/>
      <c r="CM167" s="2150"/>
      <c r="CN167" s="2150"/>
      <c r="CO167" s="2150"/>
      <c r="CP167" s="2150"/>
      <c r="CQ167" s="2150"/>
      <c r="CR167" s="2150"/>
      <c r="CS167" s="2150"/>
      <c r="CT167" s="2150"/>
      <c r="CU167" s="2150"/>
      <c r="CV167" s="2150"/>
      <c r="CW167" s="2150"/>
      <c r="CX167" s="2150"/>
      <c r="CY167" s="2150"/>
      <c r="CZ167" s="2150"/>
      <c r="DA167" s="2150"/>
      <c r="DB167" s="2150"/>
      <c r="DC167" s="2150"/>
      <c r="DD167" s="2150"/>
      <c r="DE167" s="2150"/>
      <c r="DF167" s="2150"/>
      <c r="DG167" s="2150"/>
      <c r="DH167" s="2150"/>
      <c r="DI167" s="2150"/>
      <c r="DJ167" s="2150"/>
      <c r="DK167" s="2150"/>
      <c r="DL167" s="2150"/>
      <c r="DM167" s="2150"/>
      <c r="DN167" s="2150"/>
      <c r="DO167" s="2150"/>
      <c r="DP167" s="2150"/>
      <c r="DQ167" s="2150"/>
      <c r="DR167" s="2150"/>
      <c r="DS167" s="2150"/>
      <c r="DT167" s="2150"/>
      <c r="DU167" s="2150"/>
      <c r="DV167" s="2150"/>
      <c r="DW167" s="2150"/>
    </row>
    <row r="168" spans="1:127" s="1548" customFormat="1" ht="75.75" customHeight="1">
      <c r="A168" s="3744">
        <v>40</v>
      </c>
      <c r="B168" s="2279" t="str">
        <f t="shared" si="7"/>
        <v>2200001953</v>
      </c>
      <c r="C168" s="1902" t="s">
        <v>3924</v>
      </c>
      <c r="D168" s="2607">
        <v>7000</v>
      </c>
      <c r="E168" s="1921" t="s">
        <v>6612</v>
      </c>
      <c r="F168" s="1902" t="s">
        <v>3401</v>
      </c>
      <c r="G168" s="1921" t="s">
        <v>6613</v>
      </c>
      <c r="H168" s="1909" t="s">
        <v>6609</v>
      </c>
      <c r="I168" s="1921" t="s">
        <v>19</v>
      </c>
      <c r="J168" s="1921" t="s">
        <v>1138</v>
      </c>
      <c r="K168" s="2003" t="s">
        <v>6614</v>
      </c>
      <c r="L168" s="2179">
        <v>1000</v>
      </c>
      <c r="M168" s="2196" t="s">
        <v>5937</v>
      </c>
      <c r="N168" s="2290"/>
      <c r="O168" s="2150">
        <v>3</v>
      </c>
      <c r="P168" s="2150"/>
      <c r="Q168" s="1902"/>
      <c r="R168" s="1902"/>
      <c r="S168" s="1902"/>
      <c r="T168" s="2150"/>
      <c r="U168" s="2150"/>
      <c r="V168" s="2150"/>
      <c r="W168" s="2150"/>
      <c r="X168" s="2150"/>
      <c r="Y168" s="2150"/>
      <c r="Z168" s="2150"/>
      <c r="AA168" s="2150"/>
      <c r="AB168" s="2150"/>
      <c r="AC168" s="2150"/>
      <c r="AD168" s="2150"/>
      <c r="AE168" s="2150"/>
      <c r="AF168" s="2150"/>
      <c r="AG168" s="2150"/>
      <c r="AH168" s="2150"/>
      <c r="AI168" s="2150"/>
      <c r="AJ168" s="2150"/>
      <c r="AK168" s="2150"/>
      <c r="AL168" s="2150"/>
      <c r="AM168" s="2150"/>
      <c r="AN168" s="2150"/>
      <c r="AO168" s="2150"/>
      <c r="AP168" s="2150"/>
      <c r="AQ168" s="2150"/>
      <c r="AR168" s="2150"/>
      <c r="AS168" s="2150"/>
      <c r="AT168" s="2150"/>
      <c r="AU168" s="2150"/>
      <c r="AV168" s="2150"/>
      <c r="AW168" s="2150"/>
      <c r="AX168" s="2150"/>
      <c r="AY168" s="2150"/>
      <c r="AZ168" s="2150"/>
      <c r="BA168" s="2150"/>
      <c r="BB168" s="2150"/>
      <c r="BC168" s="2150"/>
      <c r="BD168" s="2150"/>
      <c r="BE168" s="2150"/>
      <c r="BF168" s="2150"/>
      <c r="BG168" s="2150"/>
      <c r="BH168" s="2150"/>
      <c r="BI168" s="2150"/>
      <c r="BJ168" s="2150"/>
      <c r="BK168" s="2150"/>
      <c r="BL168" s="2150"/>
      <c r="BM168" s="2150"/>
      <c r="BN168" s="2150"/>
      <c r="BO168" s="2150"/>
      <c r="BP168" s="2150"/>
      <c r="BQ168" s="2150"/>
      <c r="BR168" s="2150"/>
      <c r="BS168" s="2150"/>
      <c r="BT168" s="2150"/>
      <c r="BU168" s="2150"/>
      <c r="BV168" s="2150"/>
      <c r="BW168" s="2150"/>
      <c r="BX168" s="2150"/>
      <c r="BY168" s="2150"/>
      <c r="BZ168" s="2150"/>
      <c r="CA168" s="2150"/>
      <c r="CB168" s="2150"/>
      <c r="CC168" s="2150"/>
      <c r="CD168" s="2150"/>
      <c r="CE168" s="2150"/>
      <c r="CF168" s="2150"/>
      <c r="CG168" s="2150"/>
      <c r="CH168" s="2150"/>
      <c r="CI168" s="2150"/>
      <c r="CJ168" s="2150"/>
      <c r="CK168" s="2150"/>
      <c r="CL168" s="2150"/>
      <c r="CM168" s="2150"/>
      <c r="CN168" s="2150"/>
      <c r="CO168" s="2150"/>
      <c r="CP168" s="2150"/>
      <c r="CQ168" s="2150"/>
      <c r="CR168" s="2150"/>
      <c r="CS168" s="2150"/>
      <c r="CT168" s="2150"/>
      <c r="CU168" s="2150"/>
      <c r="CV168" s="2150"/>
      <c r="CW168" s="2150"/>
      <c r="CX168" s="2150"/>
      <c r="CY168" s="2150"/>
      <c r="CZ168" s="2150"/>
      <c r="DA168" s="2150"/>
      <c r="DB168" s="2150"/>
      <c r="DC168" s="2150"/>
      <c r="DD168" s="2150"/>
      <c r="DE168" s="2150"/>
      <c r="DF168" s="2150"/>
      <c r="DG168" s="2150"/>
      <c r="DH168" s="2150"/>
      <c r="DI168" s="2150"/>
      <c r="DJ168" s="2150"/>
      <c r="DK168" s="2150"/>
      <c r="DL168" s="2150"/>
      <c r="DM168" s="2150"/>
      <c r="DN168" s="2150"/>
      <c r="DO168" s="2150"/>
      <c r="DP168" s="2150"/>
      <c r="DQ168" s="2150"/>
      <c r="DR168" s="2150"/>
      <c r="DS168" s="2150"/>
      <c r="DT168" s="2150"/>
      <c r="DU168" s="2150"/>
      <c r="DV168" s="2150"/>
      <c r="DW168" s="2150"/>
    </row>
    <row r="169" spans="1:127" s="1548" customFormat="1" ht="53.25" customHeight="1">
      <c r="A169" s="3744"/>
      <c r="B169" s="1568" t="str">
        <f t="shared" si="7"/>
        <v>2200001949</v>
      </c>
      <c r="C169" s="1493" t="s">
        <v>3924</v>
      </c>
      <c r="D169" s="1494"/>
      <c r="E169" s="1495" t="s">
        <v>125</v>
      </c>
      <c r="F169" s="1493" t="s">
        <v>3401</v>
      </c>
      <c r="G169" s="1495"/>
      <c r="H169" s="1909"/>
      <c r="I169" s="1495" t="s">
        <v>19</v>
      </c>
      <c r="J169" s="1773" t="s">
        <v>1138</v>
      </c>
      <c r="K169" s="1770" t="s">
        <v>6615</v>
      </c>
      <c r="L169" s="2622">
        <v>1709</v>
      </c>
      <c r="M169" s="2196" t="s">
        <v>5937</v>
      </c>
      <c r="O169" s="1548">
        <v>3</v>
      </c>
      <c r="Q169" s="1493"/>
      <c r="R169" s="1493"/>
      <c r="S169" s="1493"/>
    </row>
    <row r="170" spans="1:127" s="1548" customFormat="1" ht="58.5" customHeight="1">
      <c r="A170" s="3744"/>
      <c r="B170" s="1568" t="str">
        <f t="shared" si="7"/>
        <v>2200001950</v>
      </c>
      <c r="C170" s="1493" t="s">
        <v>3924</v>
      </c>
      <c r="D170" s="1494"/>
      <c r="E170" s="1495"/>
      <c r="F170" s="1493" t="s">
        <v>3401</v>
      </c>
      <c r="G170" s="1495"/>
      <c r="H170" s="1909"/>
      <c r="I170" s="1495" t="s">
        <v>19</v>
      </c>
      <c r="J170" s="1773" t="s">
        <v>1138</v>
      </c>
      <c r="K170" s="1770" t="s">
        <v>6616</v>
      </c>
      <c r="L170" s="2622">
        <v>3172</v>
      </c>
      <c r="M170" s="2196" t="s">
        <v>5937</v>
      </c>
      <c r="O170" s="1548">
        <v>3</v>
      </c>
      <c r="Q170" s="1493"/>
      <c r="R170" s="1493"/>
      <c r="S170" s="1493"/>
    </row>
    <row r="171" spans="1:127" s="1548" customFormat="1" ht="57" customHeight="1">
      <c r="A171" s="3744"/>
      <c r="B171" s="1568" t="str">
        <f t="shared" si="7"/>
        <v>2200001952</v>
      </c>
      <c r="C171" s="1493" t="s">
        <v>3924</v>
      </c>
      <c r="D171" s="1494"/>
      <c r="E171" s="1495"/>
      <c r="F171" s="1493" t="s">
        <v>3401</v>
      </c>
      <c r="G171" s="1495"/>
      <c r="H171" s="1909"/>
      <c r="I171" s="1495" t="s">
        <v>19</v>
      </c>
      <c r="J171" s="1495" t="s">
        <v>1138</v>
      </c>
      <c r="K171" s="1994" t="s">
        <v>6617</v>
      </c>
      <c r="L171" s="2183">
        <v>916</v>
      </c>
      <c r="M171" s="2196" t="s">
        <v>5937</v>
      </c>
      <c r="O171" s="1548">
        <v>3</v>
      </c>
      <c r="Q171" s="1493"/>
      <c r="R171" s="1493"/>
      <c r="S171" s="1493"/>
    </row>
    <row r="172" spans="1:127" s="1548" customFormat="1" ht="75.75" customHeight="1">
      <c r="A172" s="2582">
        <v>41</v>
      </c>
      <c r="B172" s="1568" t="str">
        <f t="shared" ref="B172:B206" si="8">TEXT(LEFT(K172,10),"0000000000")</f>
        <v>2200001920</v>
      </c>
      <c r="C172" s="1902" t="s">
        <v>2921</v>
      </c>
      <c r="D172" s="2607">
        <v>6080</v>
      </c>
      <c r="E172" s="1921" t="s">
        <v>6618</v>
      </c>
      <c r="F172" s="1902" t="s">
        <v>3401</v>
      </c>
      <c r="G172" s="1921" t="s">
        <v>6619</v>
      </c>
      <c r="H172" s="1909" t="s">
        <v>6609</v>
      </c>
      <c r="I172" s="1921" t="s">
        <v>19</v>
      </c>
      <c r="J172" s="1921" t="s">
        <v>1138</v>
      </c>
      <c r="K172" s="1845" t="s">
        <v>6591</v>
      </c>
      <c r="L172" s="2337">
        <v>6000</v>
      </c>
      <c r="M172" s="2196" t="s">
        <v>5937</v>
      </c>
      <c r="O172" s="1548">
        <v>3</v>
      </c>
      <c r="Q172" s="1902">
        <v>27642</v>
      </c>
      <c r="R172" s="1902">
        <v>13395</v>
      </c>
      <c r="S172" s="1902">
        <f>Q172-R172</f>
        <v>14247</v>
      </c>
    </row>
    <row r="173" spans="1:127" s="2150" customFormat="1" ht="58.5" customHeight="1">
      <c r="A173" s="3749">
        <v>42</v>
      </c>
      <c r="B173" s="1921" t="str">
        <f t="shared" si="8"/>
        <v>2000002842</v>
      </c>
      <c r="C173" s="1902" t="s">
        <v>219</v>
      </c>
      <c r="D173" s="2607">
        <v>3750</v>
      </c>
      <c r="E173" s="1921" t="s">
        <v>6620</v>
      </c>
      <c r="F173" s="1902" t="s">
        <v>61</v>
      </c>
      <c r="G173" s="1921" t="s">
        <v>6621</v>
      </c>
      <c r="H173" s="2261" t="s">
        <v>6622</v>
      </c>
      <c r="I173" s="1921" t="s">
        <v>19</v>
      </c>
      <c r="J173" s="1921" t="s">
        <v>199</v>
      </c>
      <c r="K173" s="1845" t="s">
        <v>6623</v>
      </c>
      <c r="L173" s="2583">
        <v>2000</v>
      </c>
      <c r="M173" s="2196" t="s">
        <v>5937</v>
      </c>
      <c r="N173" s="1862"/>
      <c r="O173" s="1745">
        <v>3</v>
      </c>
      <c r="Q173" s="1902">
        <v>4549</v>
      </c>
      <c r="R173" s="1902"/>
      <c r="S173" s="1902">
        <f>Q173-R173</f>
        <v>4549</v>
      </c>
    </row>
    <row r="174" spans="1:127" s="1559" customFormat="1" ht="73.5" customHeight="1">
      <c r="A174" s="3751"/>
      <c r="B174" s="1543" t="str">
        <f t="shared" si="8"/>
        <v>2000002877</v>
      </c>
      <c r="C174" s="1545" t="s">
        <v>219</v>
      </c>
      <c r="D174" s="2621"/>
      <c r="E174" s="1543"/>
      <c r="F174" s="1545" t="s">
        <v>61</v>
      </c>
      <c r="G174" s="1899"/>
      <c r="H174" s="2051"/>
      <c r="I174" s="1900" t="s">
        <v>19</v>
      </c>
      <c r="J174" s="1543" t="s">
        <v>101</v>
      </c>
      <c r="K174" s="1605" t="s">
        <v>6624</v>
      </c>
      <c r="L174" s="2543">
        <v>1750</v>
      </c>
      <c r="M174" s="2051" t="s">
        <v>6625</v>
      </c>
      <c r="N174" s="2544"/>
      <c r="O174" s="2591">
        <v>3</v>
      </c>
    </row>
    <row r="175" spans="1:127" s="1559" customFormat="1" ht="73.5" customHeight="1">
      <c r="A175" s="3749">
        <v>43</v>
      </c>
      <c r="B175" s="1568" t="str">
        <f t="shared" si="8"/>
        <v>2000002872</v>
      </c>
      <c r="C175" s="1902" t="s">
        <v>4898</v>
      </c>
      <c r="D175" s="2607">
        <v>3600</v>
      </c>
      <c r="E175" s="1921" t="s">
        <v>6626</v>
      </c>
      <c r="F175" s="1902" t="s">
        <v>89</v>
      </c>
      <c r="G175" s="1921" t="s">
        <v>6627</v>
      </c>
      <c r="H175" s="1909" t="s">
        <v>6622</v>
      </c>
      <c r="I175" s="1921" t="s">
        <v>19</v>
      </c>
      <c r="J175" s="1921" t="s">
        <v>74</v>
      </c>
      <c r="K175" s="2194" t="s">
        <v>6628</v>
      </c>
      <c r="L175" s="2583">
        <v>2400</v>
      </c>
      <c r="M175" s="2584" t="s">
        <v>5961</v>
      </c>
      <c r="N175" s="1775"/>
      <c r="O175" s="1745">
        <v>2</v>
      </c>
      <c r="P175" s="2150"/>
      <c r="Q175" s="2150"/>
      <c r="R175" s="2150"/>
      <c r="S175" s="2150"/>
      <c r="T175" s="2150"/>
      <c r="U175" s="2150"/>
      <c r="V175" s="2150"/>
      <c r="W175" s="2150"/>
      <c r="X175" s="2150"/>
      <c r="Y175" s="2150"/>
      <c r="Z175" s="2150"/>
      <c r="AA175" s="2150"/>
      <c r="AB175" s="2150"/>
      <c r="AC175" s="2150"/>
      <c r="AD175" s="2150"/>
      <c r="AE175" s="2150"/>
      <c r="AF175" s="2150"/>
      <c r="AG175" s="2150"/>
      <c r="AH175" s="2150"/>
      <c r="AI175" s="2150"/>
      <c r="AJ175" s="2150"/>
      <c r="AK175" s="2150"/>
      <c r="AL175" s="2150"/>
      <c r="AM175" s="2150"/>
      <c r="AN175" s="2150"/>
      <c r="AO175" s="2150"/>
      <c r="AP175" s="2150"/>
      <c r="AQ175" s="2150"/>
      <c r="AR175" s="2150"/>
      <c r="AS175" s="2150"/>
      <c r="AT175" s="2150"/>
      <c r="AU175" s="2150"/>
      <c r="AV175" s="2150"/>
      <c r="AW175" s="2150"/>
      <c r="AX175" s="2150"/>
      <c r="AY175" s="2150"/>
      <c r="AZ175" s="2150"/>
      <c r="BA175" s="2150"/>
      <c r="BB175" s="2150"/>
      <c r="BC175" s="2150"/>
      <c r="BD175" s="2150"/>
      <c r="BE175" s="2150"/>
      <c r="BF175" s="2150"/>
      <c r="BG175" s="2150"/>
      <c r="BH175" s="2150"/>
      <c r="BI175" s="2150"/>
      <c r="BJ175" s="2150"/>
      <c r="BK175" s="2150"/>
      <c r="BL175" s="2150"/>
      <c r="BM175" s="2150"/>
      <c r="BN175" s="2150"/>
      <c r="BO175" s="2150"/>
      <c r="BP175" s="2150"/>
      <c r="BQ175" s="2150"/>
      <c r="BR175" s="2150"/>
      <c r="BS175" s="2150"/>
      <c r="BT175" s="2150"/>
      <c r="BU175" s="2150"/>
      <c r="BV175" s="2150"/>
      <c r="BW175" s="2150"/>
      <c r="BX175" s="2150"/>
      <c r="BY175" s="2150"/>
      <c r="BZ175" s="2150"/>
      <c r="CA175" s="2150"/>
      <c r="CB175" s="2150"/>
      <c r="CC175" s="2150"/>
      <c r="CD175" s="2150"/>
      <c r="CE175" s="2150"/>
      <c r="CF175" s="2150"/>
      <c r="CG175" s="2150"/>
      <c r="CH175" s="2150"/>
      <c r="CI175" s="2150"/>
      <c r="CJ175" s="2150"/>
      <c r="CK175" s="2150"/>
      <c r="CL175" s="2150"/>
      <c r="CM175" s="2150"/>
      <c r="CN175" s="2150"/>
      <c r="CO175" s="2150"/>
      <c r="CP175" s="2150"/>
      <c r="CQ175" s="2150"/>
      <c r="CR175" s="2150"/>
      <c r="CS175" s="2150"/>
      <c r="CT175" s="2150"/>
      <c r="CU175" s="2150"/>
      <c r="CV175" s="2150"/>
      <c r="CW175" s="2150"/>
      <c r="CX175" s="2150"/>
      <c r="CY175" s="2150"/>
      <c r="CZ175" s="2150"/>
      <c r="DA175" s="2150"/>
      <c r="DB175" s="2150"/>
      <c r="DC175" s="2150"/>
      <c r="DD175" s="2150"/>
      <c r="DE175" s="2150"/>
      <c r="DF175" s="2150"/>
      <c r="DG175" s="2150"/>
      <c r="DH175" s="2150"/>
      <c r="DI175" s="2150"/>
      <c r="DJ175" s="2150"/>
      <c r="DK175" s="2150"/>
      <c r="DL175" s="2150"/>
      <c r="DM175" s="2150"/>
      <c r="DN175" s="2150"/>
      <c r="DO175" s="2150"/>
      <c r="DP175" s="2150"/>
      <c r="DQ175" s="2150"/>
      <c r="DR175" s="2150"/>
      <c r="DS175" s="2150"/>
      <c r="DT175" s="2150"/>
      <c r="DU175" s="2150"/>
      <c r="DV175" s="2150"/>
      <c r="DW175" s="2150"/>
    </row>
    <row r="176" spans="1:127" s="1559" customFormat="1" ht="73.5" customHeight="1">
      <c r="A176" s="3751"/>
      <c r="B176" s="1568" t="str">
        <f t="shared" si="8"/>
        <v>2000002802</v>
      </c>
      <c r="C176" s="1493" t="s">
        <v>4898</v>
      </c>
      <c r="D176" s="2325"/>
      <c r="E176" s="1495"/>
      <c r="F176" s="1493" t="s">
        <v>89</v>
      </c>
      <c r="G176" s="1495"/>
      <c r="H176" s="1495"/>
      <c r="I176" s="1495" t="s">
        <v>19</v>
      </c>
      <c r="J176" s="1495" t="s">
        <v>74</v>
      </c>
      <c r="K176" s="1770" t="s">
        <v>6629</v>
      </c>
      <c r="L176" s="2357">
        <v>400</v>
      </c>
      <c r="M176" s="2196" t="s">
        <v>5937</v>
      </c>
      <c r="N176" s="1859"/>
      <c r="O176" s="2590">
        <v>3</v>
      </c>
      <c r="P176" s="1548"/>
      <c r="Q176" s="1548">
        <v>417</v>
      </c>
      <c r="R176" s="1548"/>
      <c r="S176" s="1493">
        <f>Q176-R176</f>
        <v>417</v>
      </c>
      <c r="T176" s="1548"/>
      <c r="U176" s="1548"/>
      <c r="V176" s="1548"/>
      <c r="W176" s="1548"/>
      <c r="X176" s="1548"/>
      <c r="Y176" s="1548"/>
      <c r="Z176" s="1548"/>
      <c r="AA176" s="1548"/>
      <c r="AB176" s="1548"/>
      <c r="AC176" s="1548"/>
      <c r="AD176" s="1548"/>
      <c r="AE176" s="1548"/>
      <c r="AF176" s="1548"/>
      <c r="AG176" s="1548"/>
      <c r="AH176" s="1548"/>
      <c r="AI176" s="1548"/>
      <c r="AJ176" s="1548"/>
      <c r="AK176" s="1548"/>
      <c r="AL176" s="1548"/>
      <c r="AM176" s="1548"/>
      <c r="AN176" s="1548"/>
      <c r="AO176" s="1548"/>
      <c r="AP176" s="1548"/>
      <c r="AQ176" s="1548"/>
      <c r="AR176" s="1548"/>
      <c r="AS176" s="1548"/>
      <c r="AT176" s="1548"/>
      <c r="AU176" s="1548"/>
      <c r="AV176" s="1548"/>
      <c r="AW176" s="1548"/>
      <c r="AX176" s="1548"/>
      <c r="AY176" s="1548"/>
      <c r="AZ176" s="1548"/>
      <c r="BA176" s="1548"/>
      <c r="BB176" s="1548"/>
      <c r="BC176" s="1548"/>
      <c r="BD176" s="1548"/>
      <c r="BE176" s="1548"/>
      <c r="BF176" s="1548"/>
      <c r="BG176" s="1548"/>
      <c r="BH176" s="1548"/>
      <c r="BI176" s="1548"/>
      <c r="BJ176" s="1548"/>
      <c r="BK176" s="1548"/>
      <c r="BL176" s="1548"/>
      <c r="BM176" s="1548"/>
      <c r="BN176" s="1548"/>
      <c r="BO176" s="1548"/>
      <c r="BP176" s="1548"/>
      <c r="BQ176" s="1548"/>
      <c r="BR176" s="1548"/>
      <c r="BS176" s="1548"/>
      <c r="BT176" s="1548"/>
      <c r="BU176" s="1548"/>
      <c r="BV176" s="1548"/>
      <c r="BW176" s="1548"/>
      <c r="BX176" s="1548"/>
      <c r="BY176" s="1548"/>
      <c r="BZ176" s="1548"/>
      <c r="CA176" s="1548"/>
      <c r="CB176" s="1548"/>
      <c r="CC176" s="1548"/>
      <c r="CD176" s="1548"/>
      <c r="CE176" s="1548"/>
      <c r="CF176" s="1548"/>
      <c r="CG176" s="1548"/>
      <c r="CH176" s="1548"/>
      <c r="CI176" s="1548"/>
      <c r="CJ176" s="1548"/>
      <c r="CK176" s="1548"/>
      <c r="CL176" s="1548"/>
      <c r="CM176" s="1548"/>
      <c r="CN176" s="1548"/>
      <c r="CO176" s="1548"/>
      <c r="CP176" s="1548"/>
      <c r="CQ176" s="1548"/>
      <c r="CR176" s="1548"/>
      <c r="CS176" s="1548"/>
      <c r="CT176" s="1548"/>
      <c r="CU176" s="1548"/>
      <c r="CV176" s="1548"/>
      <c r="CW176" s="1548"/>
      <c r="CX176" s="1548"/>
      <c r="CY176" s="1548"/>
      <c r="CZ176" s="1548"/>
      <c r="DA176" s="1548"/>
      <c r="DB176" s="1548"/>
      <c r="DC176" s="1548"/>
      <c r="DD176" s="1548"/>
      <c r="DE176" s="1548"/>
      <c r="DF176" s="1548"/>
      <c r="DG176" s="1548"/>
      <c r="DH176" s="1548"/>
      <c r="DI176" s="1548"/>
      <c r="DJ176" s="1548"/>
      <c r="DK176" s="1548"/>
      <c r="DL176" s="1548"/>
      <c r="DM176" s="1548"/>
      <c r="DN176" s="1548"/>
      <c r="DO176" s="1548"/>
      <c r="DP176" s="1548"/>
      <c r="DQ176" s="1548"/>
      <c r="DR176" s="1548"/>
      <c r="DS176" s="1548"/>
      <c r="DT176" s="1548"/>
      <c r="DU176" s="1548"/>
      <c r="DV176" s="1548"/>
      <c r="DW176" s="1548"/>
    </row>
    <row r="177" spans="1:127" s="1559" customFormat="1" ht="73.5" customHeight="1">
      <c r="A177" s="3750"/>
      <c r="B177" s="1568" t="str">
        <f t="shared" si="8"/>
        <v>2000002877</v>
      </c>
      <c r="C177" s="1493" t="s">
        <v>4898</v>
      </c>
      <c r="D177" s="1808"/>
      <c r="E177" s="1495"/>
      <c r="F177" s="1493" t="s">
        <v>89</v>
      </c>
      <c r="G177" s="1495"/>
      <c r="H177" s="1495"/>
      <c r="I177" s="1495" t="s">
        <v>19</v>
      </c>
      <c r="J177" s="1495" t="s">
        <v>101</v>
      </c>
      <c r="K177" s="1600" t="s">
        <v>6630</v>
      </c>
      <c r="L177" s="2357">
        <v>750</v>
      </c>
      <c r="M177" s="2051" t="s">
        <v>6625</v>
      </c>
      <c r="N177" s="1859"/>
      <c r="O177" s="2590">
        <v>3</v>
      </c>
      <c r="P177" s="1548"/>
      <c r="Q177" s="1493"/>
      <c r="R177" s="1493"/>
      <c r="S177" s="1493"/>
      <c r="T177" s="1548"/>
      <c r="U177" s="1548"/>
      <c r="V177" s="1548"/>
      <c r="W177" s="1548"/>
      <c r="X177" s="1548"/>
      <c r="Y177" s="1548"/>
      <c r="Z177" s="1548"/>
      <c r="AA177" s="1548"/>
      <c r="AB177" s="1548"/>
      <c r="AC177" s="1548"/>
      <c r="AD177" s="1548"/>
      <c r="AE177" s="1548"/>
      <c r="AF177" s="1548"/>
      <c r="AG177" s="1548"/>
      <c r="AH177" s="1548"/>
      <c r="AI177" s="1548"/>
      <c r="AJ177" s="1548"/>
      <c r="AK177" s="1548"/>
      <c r="AL177" s="1548"/>
      <c r="AM177" s="1548"/>
      <c r="AN177" s="1548"/>
      <c r="AO177" s="1548"/>
      <c r="AP177" s="1548"/>
      <c r="AQ177" s="1548"/>
      <c r="AR177" s="1548"/>
      <c r="AS177" s="1548"/>
      <c r="AT177" s="1548"/>
      <c r="AU177" s="1548"/>
      <c r="AV177" s="1548"/>
      <c r="AW177" s="1548"/>
      <c r="AX177" s="1548"/>
      <c r="AY177" s="1548"/>
      <c r="AZ177" s="1548"/>
      <c r="BA177" s="1548"/>
      <c r="BB177" s="1548"/>
      <c r="BC177" s="1548"/>
      <c r="BD177" s="1548"/>
      <c r="BE177" s="1548"/>
      <c r="BF177" s="1548"/>
      <c r="BG177" s="1548"/>
      <c r="BH177" s="1548"/>
      <c r="BI177" s="1548"/>
      <c r="BJ177" s="1548"/>
      <c r="BK177" s="1548"/>
      <c r="BL177" s="1548"/>
      <c r="BM177" s="1548"/>
      <c r="BN177" s="1548"/>
      <c r="BO177" s="1548"/>
      <c r="BP177" s="1548"/>
      <c r="BQ177" s="1548"/>
      <c r="BR177" s="1548"/>
      <c r="BS177" s="1548"/>
      <c r="BT177" s="1548"/>
      <c r="BU177" s="1548"/>
      <c r="BV177" s="1548"/>
      <c r="BW177" s="1548"/>
      <c r="BX177" s="1548"/>
      <c r="BY177" s="1548"/>
      <c r="BZ177" s="1548"/>
      <c r="CA177" s="1548"/>
      <c r="CB177" s="1548"/>
      <c r="CC177" s="1548"/>
      <c r="CD177" s="1548"/>
      <c r="CE177" s="1548"/>
      <c r="CF177" s="1548"/>
      <c r="CG177" s="1548"/>
      <c r="CH177" s="1548"/>
      <c r="CI177" s="1548"/>
      <c r="CJ177" s="1548"/>
      <c r="CK177" s="1548"/>
      <c r="CL177" s="1548"/>
      <c r="CM177" s="1548"/>
      <c r="CN177" s="1548"/>
      <c r="CO177" s="1548"/>
      <c r="CP177" s="1548"/>
      <c r="CQ177" s="1548"/>
      <c r="CR177" s="1548"/>
      <c r="CS177" s="1548"/>
      <c r="CT177" s="1548"/>
      <c r="CU177" s="1548"/>
      <c r="CV177" s="1548"/>
      <c r="CW177" s="1548"/>
      <c r="CX177" s="1548"/>
      <c r="CY177" s="1548"/>
      <c r="CZ177" s="1548"/>
      <c r="DA177" s="1548"/>
      <c r="DB177" s="1548"/>
      <c r="DC177" s="1548"/>
      <c r="DD177" s="1548"/>
      <c r="DE177" s="1548"/>
      <c r="DF177" s="1548"/>
      <c r="DG177" s="1548"/>
      <c r="DH177" s="1548"/>
      <c r="DI177" s="1548"/>
      <c r="DJ177" s="1548"/>
      <c r="DK177" s="1548"/>
      <c r="DL177" s="1548"/>
      <c r="DM177" s="1548"/>
      <c r="DN177" s="1548"/>
      <c r="DO177" s="1548"/>
      <c r="DP177" s="1548"/>
      <c r="DQ177" s="1548"/>
      <c r="DR177" s="1548"/>
      <c r="DS177" s="1548"/>
      <c r="DT177" s="1548"/>
      <c r="DU177" s="1548"/>
      <c r="DV177" s="1548"/>
      <c r="DW177" s="1548"/>
    </row>
    <row r="178" spans="1:127" s="1559" customFormat="1" ht="73.5" customHeight="1">
      <c r="A178" s="3744" t="s">
        <v>2051</v>
      </c>
      <c r="B178" s="1568" t="str">
        <f t="shared" si="8"/>
        <v>2000002793</v>
      </c>
      <c r="C178" s="1902" t="s">
        <v>193</v>
      </c>
      <c r="D178" s="2607">
        <v>11800</v>
      </c>
      <c r="E178" s="1921" t="s">
        <v>6620</v>
      </c>
      <c r="F178" s="1902" t="s">
        <v>3416</v>
      </c>
      <c r="G178" s="1921" t="s">
        <v>6631</v>
      </c>
      <c r="H178" s="1909" t="s">
        <v>6632</v>
      </c>
      <c r="I178" s="1921" t="s">
        <v>19</v>
      </c>
      <c r="J178" s="1921" t="s">
        <v>1138</v>
      </c>
      <c r="K178" s="1600" t="s">
        <v>6633</v>
      </c>
      <c r="L178" s="2483">
        <v>500</v>
      </c>
      <c r="M178" s="1493" t="s">
        <v>5454</v>
      </c>
      <c r="N178" s="1775"/>
      <c r="O178" s="1745">
        <v>3</v>
      </c>
      <c r="P178" s="2150"/>
      <c r="Q178" s="1902"/>
      <c r="R178" s="1902"/>
      <c r="S178" s="1902"/>
      <c r="T178" s="2150"/>
      <c r="U178" s="2150"/>
      <c r="V178" s="2150"/>
      <c r="W178" s="2150"/>
      <c r="X178" s="2150"/>
      <c r="Y178" s="2150"/>
      <c r="Z178" s="2150"/>
      <c r="AA178" s="2150"/>
      <c r="AB178" s="2150"/>
      <c r="AC178" s="2150"/>
      <c r="AD178" s="2150"/>
      <c r="AE178" s="2150"/>
      <c r="AF178" s="2150"/>
      <c r="AG178" s="2150"/>
      <c r="AH178" s="2150"/>
      <c r="AI178" s="2150"/>
      <c r="AJ178" s="2150"/>
      <c r="AK178" s="2150"/>
      <c r="AL178" s="2150"/>
      <c r="AM178" s="2150"/>
      <c r="AN178" s="2150"/>
      <c r="AO178" s="2150"/>
      <c r="AP178" s="2150"/>
      <c r="AQ178" s="2150"/>
      <c r="AR178" s="2150"/>
      <c r="AS178" s="2150"/>
      <c r="AT178" s="2150"/>
      <c r="AU178" s="2150"/>
      <c r="AV178" s="2150"/>
      <c r="AW178" s="2150"/>
      <c r="AX178" s="2150"/>
      <c r="AY178" s="2150"/>
      <c r="AZ178" s="2150"/>
      <c r="BA178" s="2150"/>
      <c r="BB178" s="2150"/>
      <c r="BC178" s="2150"/>
      <c r="BD178" s="2150"/>
      <c r="BE178" s="2150"/>
      <c r="BF178" s="2150"/>
      <c r="BG178" s="2150"/>
      <c r="BH178" s="2150"/>
      <c r="BI178" s="2150"/>
      <c r="BJ178" s="2150"/>
      <c r="BK178" s="2150"/>
      <c r="BL178" s="2150"/>
      <c r="BM178" s="2150"/>
      <c r="BN178" s="2150"/>
      <c r="BO178" s="2150"/>
      <c r="BP178" s="2150"/>
      <c r="BQ178" s="2150"/>
      <c r="BR178" s="2150"/>
      <c r="BS178" s="2150"/>
      <c r="BT178" s="2150"/>
      <c r="BU178" s="2150"/>
      <c r="BV178" s="2150"/>
      <c r="BW178" s="2150"/>
      <c r="BX178" s="2150"/>
      <c r="BY178" s="2150"/>
      <c r="BZ178" s="2150"/>
      <c r="CA178" s="2150"/>
      <c r="CB178" s="2150"/>
      <c r="CC178" s="2150"/>
      <c r="CD178" s="2150"/>
      <c r="CE178" s="2150"/>
      <c r="CF178" s="2150"/>
      <c r="CG178" s="2150"/>
      <c r="CH178" s="2150"/>
      <c r="CI178" s="2150"/>
      <c r="CJ178" s="2150"/>
      <c r="CK178" s="2150"/>
      <c r="CL178" s="2150"/>
      <c r="CM178" s="2150"/>
      <c r="CN178" s="2150"/>
      <c r="CO178" s="2150"/>
      <c r="CP178" s="2150"/>
      <c r="CQ178" s="2150"/>
      <c r="CR178" s="2150"/>
      <c r="CS178" s="2150"/>
      <c r="CT178" s="2150"/>
      <c r="CU178" s="2150"/>
      <c r="CV178" s="2150"/>
      <c r="CW178" s="2150"/>
      <c r="CX178" s="2150"/>
      <c r="CY178" s="2150"/>
      <c r="CZ178" s="2150"/>
      <c r="DA178" s="2150"/>
      <c r="DB178" s="2150"/>
      <c r="DC178" s="2150"/>
      <c r="DD178" s="2150"/>
      <c r="DE178" s="2150"/>
      <c r="DF178" s="2150"/>
      <c r="DG178" s="2150"/>
      <c r="DH178" s="2150"/>
      <c r="DI178" s="2150"/>
      <c r="DJ178" s="2150"/>
      <c r="DK178" s="2150"/>
      <c r="DL178" s="2150"/>
      <c r="DM178" s="2150"/>
      <c r="DN178" s="2150"/>
      <c r="DO178" s="2150"/>
      <c r="DP178" s="2150"/>
      <c r="DQ178" s="2150"/>
      <c r="DR178" s="2150"/>
      <c r="DS178" s="2150"/>
      <c r="DT178" s="2150"/>
      <c r="DU178" s="2150"/>
      <c r="DV178" s="2150"/>
      <c r="DW178" s="2150"/>
    </row>
    <row r="179" spans="1:127" s="1559" customFormat="1" ht="60.75" customHeight="1">
      <c r="A179" s="3744"/>
      <c r="B179" s="1568" t="str">
        <f t="shared" si="8"/>
        <v>2000002828</v>
      </c>
      <c r="C179" s="1493" t="s">
        <v>193</v>
      </c>
      <c r="D179" s="1494"/>
      <c r="E179" s="1495"/>
      <c r="F179" s="1493" t="s">
        <v>3416</v>
      </c>
      <c r="G179" s="1495"/>
      <c r="H179" s="1748"/>
      <c r="I179" s="1495" t="s">
        <v>19</v>
      </c>
      <c r="J179" s="1495" t="s">
        <v>1138</v>
      </c>
      <c r="K179" s="1600" t="s">
        <v>6634</v>
      </c>
      <c r="L179" s="2483">
        <v>900</v>
      </c>
      <c r="M179" s="1493" t="s">
        <v>5454</v>
      </c>
      <c r="N179" s="1859"/>
      <c r="O179" s="1745">
        <v>3</v>
      </c>
      <c r="P179" s="1548"/>
      <c r="Q179" s="1493"/>
      <c r="R179" s="1493"/>
      <c r="S179" s="1493"/>
      <c r="T179" s="1548"/>
      <c r="U179" s="1548"/>
      <c r="V179" s="1548"/>
      <c r="W179" s="1548"/>
      <c r="X179" s="1548"/>
      <c r="Y179" s="1548"/>
      <c r="Z179" s="1548"/>
      <c r="AA179" s="1548"/>
      <c r="AB179" s="1548"/>
      <c r="AC179" s="1548"/>
      <c r="AD179" s="1548"/>
      <c r="AE179" s="1548"/>
      <c r="AF179" s="1548"/>
      <c r="AG179" s="1548"/>
      <c r="AH179" s="1548"/>
      <c r="AI179" s="1548"/>
      <c r="AJ179" s="1548"/>
      <c r="AK179" s="1548"/>
      <c r="AL179" s="1548"/>
      <c r="AM179" s="1548"/>
      <c r="AN179" s="1548"/>
      <c r="AO179" s="1548"/>
      <c r="AP179" s="1548"/>
      <c r="AQ179" s="1548"/>
      <c r="AR179" s="1548"/>
      <c r="AS179" s="1548"/>
      <c r="AT179" s="1548"/>
      <c r="AU179" s="1548"/>
      <c r="AV179" s="1548"/>
      <c r="AW179" s="1548"/>
      <c r="AX179" s="1548"/>
      <c r="AY179" s="1548"/>
      <c r="AZ179" s="1548"/>
      <c r="BA179" s="1548"/>
      <c r="BB179" s="1548"/>
      <c r="BC179" s="1548"/>
      <c r="BD179" s="1548"/>
      <c r="BE179" s="1548"/>
      <c r="BF179" s="1548"/>
      <c r="BG179" s="1548"/>
      <c r="BH179" s="1548"/>
      <c r="BI179" s="1548"/>
      <c r="BJ179" s="1548"/>
      <c r="BK179" s="1548"/>
      <c r="BL179" s="1548"/>
      <c r="BM179" s="1548"/>
      <c r="BN179" s="1548"/>
      <c r="BO179" s="1548"/>
      <c r="BP179" s="1548"/>
      <c r="BQ179" s="1548"/>
      <c r="BR179" s="1548"/>
      <c r="BS179" s="1548"/>
      <c r="BT179" s="1548"/>
      <c r="BU179" s="1548"/>
      <c r="BV179" s="1548"/>
      <c r="BW179" s="1548"/>
      <c r="BX179" s="1548"/>
      <c r="BY179" s="1548"/>
      <c r="BZ179" s="1548"/>
      <c r="CA179" s="1548"/>
      <c r="CB179" s="1548"/>
      <c r="CC179" s="1548"/>
      <c r="CD179" s="1548"/>
      <c r="CE179" s="1548"/>
      <c r="CF179" s="1548"/>
      <c r="CG179" s="1548"/>
      <c r="CH179" s="1548"/>
      <c r="CI179" s="1548"/>
      <c r="CJ179" s="1548"/>
      <c r="CK179" s="1548"/>
      <c r="CL179" s="1548"/>
      <c r="CM179" s="1548"/>
      <c r="CN179" s="1548"/>
      <c r="CO179" s="1548"/>
      <c r="CP179" s="1548"/>
      <c r="CQ179" s="1548"/>
      <c r="CR179" s="1548"/>
      <c r="CS179" s="1548"/>
      <c r="CT179" s="1548"/>
      <c r="CU179" s="1548"/>
      <c r="CV179" s="1548"/>
      <c r="CW179" s="1548"/>
      <c r="CX179" s="1548"/>
      <c r="CY179" s="1548"/>
      <c r="CZ179" s="1548"/>
      <c r="DA179" s="1548"/>
      <c r="DB179" s="1548"/>
      <c r="DC179" s="1548"/>
      <c r="DD179" s="1548"/>
      <c r="DE179" s="1548"/>
      <c r="DF179" s="1548"/>
      <c r="DG179" s="1548"/>
      <c r="DH179" s="1548"/>
      <c r="DI179" s="1548"/>
      <c r="DJ179" s="1548"/>
      <c r="DK179" s="1548"/>
      <c r="DL179" s="1548"/>
      <c r="DM179" s="1548"/>
      <c r="DN179" s="1548"/>
      <c r="DO179" s="1548"/>
      <c r="DP179" s="1548"/>
      <c r="DQ179" s="1548"/>
      <c r="DR179" s="1548"/>
      <c r="DS179" s="1548"/>
      <c r="DT179" s="1548"/>
      <c r="DU179" s="1548"/>
      <c r="DV179" s="1548"/>
      <c r="DW179" s="1548"/>
    </row>
    <row r="180" spans="1:127" s="1559" customFormat="1" ht="60.75" customHeight="1">
      <c r="A180" s="3744"/>
      <c r="B180" s="1568" t="str">
        <f t="shared" si="8"/>
        <v>2000002835</v>
      </c>
      <c r="C180" s="1493" t="s">
        <v>193</v>
      </c>
      <c r="D180" s="1494"/>
      <c r="E180" s="1495"/>
      <c r="F180" s="1493" t="s">
        <v>3416</v>
      </c>
      <c r="G180" s="1495"/>
      <c r="H180" s="1748"/>
      <c r="I180" s="1495" t="s">
        <v>19</v>
      </c>
      <c r="J180" s="1495" t="s">
        <v>1138</v>
      </c>
      <c r="K180" s="1497" t="s">
        <v>6635</v>
      </c>
      <c r="L180" s="2357">
        <v>7000</v>
      </c>
      <c r="M180" s="1632" t="s">
        <v>5961</v>
      </c>
      <c r="N180" s="1859"/>
      <c r="O180" s="1745">
        <v>3</v>
      </c>
      <c r="P180" s="1548"/>
      <c r="Q180" s="1493"/>
      <c r="R180" s="1493"/>
      <c r="S180" s="1493"/>
      <c r="T180" s="1548"/>
      <c r="U180" s="1548"/>
      <c r="V180" s="1548"/>
      <c r="W180" s="1548"/>
      <c r="X180" s="1548"/>
      <c r="Y180" s="1548"/>
      <c r="Z180" s="1548"/>
      <c r="AA180" s="1548"/>
      <c r="AB180" s="1548"/>
      <c r="AC180" s="1548"/>
      <c r="AD180" s="1548"/>
      <c r="AE180" s="1548"/>
      <c r="AF180" s="1548"/>
      <c r="AG180" s="1548"/>
      <c r="AH180" s="1548"/>
      <c r="AI180" s="1548"/>
      <c r="AJ180" s="1548"/>
      <c r="AK180" s="1548"/>
      <c r="AL180" s="1548"/>
      <c r="AM180" s="1548"/>
      <c r="AN180" s="1548"/>
      <c r="AO180" s="1548"/>
      <c r="AP180" s="1548"/>
      <c r="AQ180" s="1548"/>
      <c r="AR180" s="1548"/>
      <c r="AS180" s="1548"/>
      <c r="AT180" s="1548"/>
      <c r="AU180" s="1548"/>
      <c r="AV180" s="1548"/>
      <c r="AW180" s="1548"/>
      <c r="AX180" s="1548"/>
      <c r="AY180" s="1548"/>
      <c r="AZ180" s="1548"/>
      <c r="BA180" s="1548"/>
      <c r="BB180" s="1548"/>
      <c r="BC180" s="1548"/>
      <c r="BD180" s="1548"/>
      <c r="BE180" s="1548"/>
      <c r="BF180" s="1548"/>
      <c r="BG180" s="1548"/>
      <c r="BH180" s="1548"/>
      <c r="BI180" s="1548"/>
      <c r="BJ180" s="1548"/>
      <c r="BK180" s="1548"/>
      <c r="BL180" s="1548"/>
      <c r="BM180" s="1548"/>
      <c r="BN180" s="1548"/>
      <c r="BO180" s="1548"/>
      <c r="BP180" s="1548"/>
      <c r="BQ180" s="1548"/>
      <c r="BR180" s="1548"/>
      <c r="BS180" s="1548"/>
      <c r="BT180" s="1548"/>
      <c r="BU180" s="1548"/>
      <c r="BV180" s="1548"/>
      <c r="BW180" s="1548"/>
      <c r="BX180" s="1548"/>
      <c r="BY180" s="1548"/>
      <c r="BZ180" s="1548"/>
      <c r="CA180" s="1548"/>
      <c r="CB180" s="1548"/>
      <c r="CC180" s="1548"/>
      <c r="CD180" s="1548"/>
      <c r="CE180" s="1548"/>
      <c r="CF180" s="1548"/>
      <c r="CG180" s="1548"/>
      <c r="CH180" s="1548"/>
      <c r="CI180" s="1548"/>
      <c r="CJ180" s="1548"/>
      <c r="CK180" s="1548"/>
      <c r="CL180" s="1548"/>
      <c r="CM180" s="1548"/>
      <c r="CN180" s="1548"/>
      <c r="CO180" s="1548"/>
      <c r="CP180" s="1548"/>
      <c r="CQ180" s="1548"/>
      <c r="CR180" s="1548"/>
      <c r="CS180" s="1548"/>
      <c r="CT180" s="1548"/>
      <c r="CU180" s="1548"/>
      <c r="CV180" s="1548"/>
      <c r="CW180" s="1548"/>
      <c r="CX180" s="1548"/>
      <c r="CY180" s="1548"/>
      <c r="CZ180" s="1548"/>
      <c r="DA180" s="1548"/>
      <c r="DB180" s="1548"/>
      <c r="DC180" s="1548"/>
      <c r="DD180" s="1548"/>
      <c r="DE180" s="1548"/>
      <c r="DF180" s="1548"/>
      <c r="DG180" s="1548"/>
      <c r="DH180" s="1548"/>
      <c r="DI180" s="1548"/>
      <c r="DJ180" s="1548"/>
      <c r="DK180" s="1548"/>
      <c r="DL180" s="1548"/>
      <c r="DM180" s="1548"/>
      <c r="DN180" s="1548"/>
      <c r="DO180" s="1548"/>
      <c r="DP180" s="1548"/>
      <c r="DQ180" s="1548"/>
      <c r="DR180" s="1548"/>
      <c r="DS180" s="1548"/>
      <c r="DT180" s="1548"/>
      <c r="DU180" s="1548"/>
      <c r="DV180" s="1548"/>
      <c r="DW180" s="1548"/>
    </row>
    <row r="181" spans="1:127" s="1559" customFormat="1" ht="60.75" customHeight="1">
      <c r="A181" s="3744"/>
      <c r="B181" s="1568" t="str">
        <f t="shared" si="8"/>
        <v>2200001920</v>
      </c>
      <c r="C181" s="1493" t="s">
        <v>193</v>
      </c>
      <c r="D181" s="1494"/>
      <c r="E181" s="1495"/>
      <c r="F181" s="1493" t="s">
        <v>3416</v>
      </c>
      <c r="G181" s="1495"/>
      <c r="H181" s="1748"/>
      <c r="I181" s="1495" t="s">
        <v>19</v>
      </c>
      <c r="J181" s="1495" t="s">
        <v>1138</v>
      </c>
      <c r="K181" s="1600" t="s">
        <v>6636</v>
      </c>
      <c r="L181" s="2299">
        <v>600</v>
      </c>
      <c r="M181" s="2196" t="s">
        <v>5937</v>
      </c>
      <c r="N181" s="1859"/>
      <c r="O181" s="2590">
        <v>3</v>
      </c>
      <c r="P181" s="1548"/>
      <c r="Q181" s="1493">
        <v>27642</v>
      </c>
      <c r="R181" s="1493">
        <v>13395</v>
      </c>
      <c r="S181" s="1493">
        <f>Q181-R181</f>
        <v>14247</v>
      </c>
      <c r="T181" s="1548"/>
      <c r="U181" s="1548"/>
      <c r="V181" s="1548"/>
      <c r="W181" s="1548"/>
      <c r="X181" s="1548"/>
      <c r="Y181" s="1548"/>
      <c r="Z181" s="1548"/>
      <c r="AA181" s="1548"/>
      <c r="AB181" s="1548"/>
      <c r="AC181" s="1548"/>
      <c r="AD181" s="1548"/>
      <c r="AE181" s="1548"/>
      <c r="AF181" s="1548"/>
      <c r="AG181" s="1548"/>
      <c r="AH181" s="1548"/>
      <c r="AI181" s="1548"/>
      <c r="AJ181" s="1548"/>
      <c r="AK181" s="1548"/>
      <c r="AL181" s="1548"/>
      <c r="AM181" s="1548"/>
      <c r="AN181" s="1548"/>
      <c r="AO181" s="1548"/>
      <c r="AP181" s="1548"/>
      <c r="AQ181" s="1548"/>
      <c r="AR181" s="1548"/>
      <c r="AS181" s="1548"/>
      <c r="AT181" s="1548"/>
      <c r="AU181" s="1548"/>
      <c r="AV181" s="1548"/>
      <c r="AW181" s="1548"/>
      <c r="AX181" s="1548"/>
      <c r="AY181" s="1548"/>
      <c r="AZ181" s="1548"/>
      <c r="BA181" s="1548"/>
      <c r="BB181" s="1548"/>
      <c r="BC181" s="1548"/>
      <c r="BD181" s="1548"/>
      <c r="BE181" s="1548"/>
      <c r="BF181" s="1548"/>
      <c r="BG181" s="1548"/>
      <c r="BH181" s="1548"/>
      <c r="BI181" s="1548"/>
      <c r="BJ181" s="1548"/>
      <c r="BK181" s="1548"/>
      <c r="BL181" s="1548"/>
      <c r="BM181" s="1548"/>
      <c r="BN181" s="1548"/>
      <c r="BO181" s="1548"/>
      <c r="BP181" s="1548"/>
      <c r="BQ181" s="1548"/>
      <c r="BR181" s="1548"/>
      <c r="BS181" s="1548"/>
      <c r="BT181" s="1548"/>
      <c r="BU181" s="1548"/>
      <c r="BV181" s="1548"/>
      <c r="BW181" s="1548"/>
      <c r="BX181" s="1548"/>
      <c r="BY181" s="1548"/>
      <c r="BZ181" s="1548"/>
      <c r="CA181" s="1548"/>
      <c r="CB181" s="1548"/>
      <c r="CC181" s="1548"/>
      <c r="CD181" s="1548"/>
      <c r="CE181" s="1548"/>
      <c r="CF181" s="1548"/>
      <c r="CG181" s="1548"/>
      <c r="CH181" s="1548"/>
      <c r="CI181" s="1548"/>
      <c r="CJ181" s="1548"/>
      <c r="CK181" s="1548"/>
      <c r="CL181" s="1548"/>
      <c r="CM181" s="1548"/>
      <c r="CN181" s="1548"/>
      <c r="CO181" s="1548"/>
      <c r="CP181" s="1548"/>
      <c r="CQ181" s="1548"/>
      <c r="CR181" s="1548"/>
      <c r="CS181" s="1548"/>
      <c r="CT181" s="1548"/>
      <c r="CU181" s="1548"/>
      <c r="CV181" s="1548"/>
      <c r="CW181" s="1548"/>
      <c r="CX181" s="1548"/>
      <c r="CY181" s="1548"/>
      <c r="CZ181" s="1548"/>
      <c r="DA181" s="1548"/>
      <c r="DB181" s="1548"/>
      <c r="DC181" s="1548"/>
      <c r="DD181" s="1548"/>
      <c r="DE181" s="1548"/>
      <c r="DF181" s="1548"/>
      <c r="DG181" s="1548"/>
      <c r="DH181" s="1548"/>
      <c r="DI181" s="1548"/>
      <c r="DJ181" s="1548"/>
      <c r="DK181" s="1548"/>
      <c r="DL181" s="1548"/>
      <c r="DM181" s="1548"/>
      <c r="DN181" s="1548"/>
      <c r="DO181" s="1548"/>
      <c r="DP181" s="1548"/>
      <c r="DQ181" s="1548"/>
      <c r="DR181" s="1548"/>
      <c r="DS181" s="1548"/>
      <c r="DT181" s="1548"/>
      <c r="DU181" s="1548"/>
      <c r="DV181" s="1548"/>
      <c r="DW181" s="1548"/>
    </row>
    <row r="182" spans="1:127" s="1559" customFormat="1" ht="60.75" customHeight="1">
      <c r="A182" s="3744"/>
      <c r="B182" s="1568" t="str">
        <f t="shared" si="8"/>
        <v>2000002823</v>
      </c>
      <c r="C182" s="1493" t="s">
        <v>193</v>
      </c>
      <c r="D182" s="1808"/>
      <c r="E182" s="1495"/>
      <c r="F182" s="1493" t="s">
        <v>3416</v>
      </c>
      <c r="G182" s="1495"/>
      <c r="H182" s="1495"/>
      <c r="I182" s="1495" t="s">
        <v>19</v>
      </c>
      <c r="J182" s="1495" t="s">
        <v>1138</v>
      </c>
      <c r="K182" s="1600" t="s">
        <v>6637</v>
      </c>
      <c r="L182" s="2463">
        <v>853</v>
      </c>
      <c r="M182" s="1748" t="s">
        <v>6638</v>
      </c>
      <c r="N182" s="1859"/>
      <c r="O182" s="2590">
        <v>3</v>
      </c>
      <c r="P182" s="1548"/>
      <c r="Q182" s="1493"/>
      <c r="R182" s="1493"/>
      <c r="S182" s="1493"/>
      <c r="T182" s="1548"/>
      <c r="U182" s="1548"/>
      <c r="V182" s="1548"/>
      <c r="W182" s="1548"/>
      <c r="X182" s="1548"/>
      <c r="Y182" s="1548"/>
      <c r="Z182" s="1548"/>
      <c r="AA182" s="1548"/>
      <c r="AB182" s="1548"/>
      <c r="AC182" s="1548"/>
      <c r="AD182" s="1548"/>
      <c r="AE182" s="1548"/>
      <c r="AF182" s="1548"/>
      <c r="AG182" s="1548"/>
      <c r="AH182" s="1548"/>
      <c r="AI182" s="1548"/>
      <c r="AJ182" s="1548"/>
      <c r="AK182" s="1548"/>
      <c r="AL182" s="1548"/>
      <c r="AM182" s="1548"/>
      <c r="AN182" s="1548"/>
      <c r="AO182" s="1548"/>
      <c r="AP182" s="1548"/>
      <c r="AQ182" s="1548"/>
      <c r="AR182" s="1548"/>
      <c r="AS182" s="1548"/>
      <c r="AT182" s="1548"/>
      <c r="AU182" s="1548"/>
      <c r="AV182" s="1548"/>
      <c r="AW182" s="1548"/>
      <c r="AX182" s="1548"/>
      <c r="AY182" s="1548"/>
      <c r="AZ182" s="1548"/>
      <c r="BA182" s="1548"/>
      <c r="BB182" s="1548"/>
      <c r="BC182" s="1548"/>
      <c r="BD182" s="1548"/>
      <c r="BE182" s="1548"/>
      <c r="BF182" s="1548"/>
      <c r="BG182" s="1548"/>
      <c r="BH182" s="1548"/>
      <c r="BI182" s="1548"/>
      <c r="BJ182" s="1548"/>
      <c r="BK182" s="1548"/>
      <c r="BL182" s="1548"/>
      <c r="BM182" s="1548"/>
      <c r="BN182" s="1548"/>
      <c r="BO182" s="1548"/>
      <c r="BP182" s="1548"/>
      <c r="BQ182" s="1548"/>
      <c r="BR182" s="1548"/>
      <c r="BS182" s="1548"/>
      <c r="BT182" s="1548"/>
      <c r="BU182" s="1548"/>
      <c r="BV182" s="1548"/>
      <c r="BW182" s="1548"/>
      <c r="BX182" s="1548"/>
      <c r="BY182" s="1548"/>
      <c r="BZ182" s="1548"/>
      <c r="CA182" s="1548"/>
      <c r="CB182" s="1548"/>
      <c r="CC182" s="1548"/>
      <c r="CD182" s="1548"/>
      <c r="CE182" s="1548"/>
      <c r="CF182" s="1548"/>
      <c r="CG182" s="1548"/>
      <c r="CH182" s="1548"/>
      <c r="CI182" s="1548"/>
      <c r="CJ182" s="1548"/>
      <c r="CK182" s="1548"/>
      <c r="CL182" s="1548"/>
      <c r="CM182" s="1548"/>
      <c r="CN182" s="1548"/>
      <c r="CO182" s="1548"/>
      <c r="CP182" s="1548"/>
      <c r="CQ182" s="1548"/>
      <c r="CR182" s="1548"/>
      <c r="CS182" s="1548"/>
      <c r="CT182" s="1548"/>
      <c r="CU182" s="1548"/>
      <c r="CV182" s="1548"/>
      <c r="CW182" s="1548"/>
      <c r="CX182" s="1548"/>
      <c r="CY182" s="1548"/>
      <c r="CZ182" s="1548"/>
      <c r="DA182" s="1548"/>
      <c r="DB182" s="1548"/>
      <c r="DC182" s="1548"/>
      <c r="DD182" s="1548"/>
      <c r="DE182" s="1548"/>
      <c r="DF182" s="1548"/>
      <c r="DG182" s="1548"/>
      <c r="DH182" s="1548"/>
      <c r="DI182" s="1548"/>
      <c r="DJ182" s="1548"/>
      <c r="DK182" s="1548"/>
      <c r="DL182" s="1548"/>
      <c r="DM182" s="1548"/>
      <c r="DN182" s="1548"/>
      <c r="DO182" s="1548"/>
      <c r="DP182" s="1548"/>
      <c r="DQ182" s="1548"/>
      <c r="DR182" s="1548"/>
      <c r="DS182" s="1548"/>
      <c r="DT182" s="1548"/>
      <c r="DU182" s="1548"/>
      <c r="DV182" s="1548"/>
      <c r="DW182" s="1548"/>
    </row>
    <row r="183" spans="1:127" s="1559" customFormat="1" ht="60.75" customHeight="1">
      <c r="A183" s="3744"/>
      <c r="B183" s="1568" t="str">
        <f t="shared" si="8"/>
        <v>2200001953</v>
      </c>
      <c r="C183" s="1493" t="s">
        <v>193</v>
      </c>
      <c r="D183" s="1808"/>
      <c r="E183" s="1495"/>
      <c r="F183" s="1493" t="s">
        <v>3416</v>
      </c>
      <c r="G183" s="1495"/>
      <c r="H183" s="1495"/>
      <c r="I183" s="1495" t="s">
        <v>19</v>
      </c>
      <c r="J183" s="1495" t="s">
        <v>1138</v>
      </c>
      <c r="K183" s="1600" t="s">
        <v>6639</v>
      </c>
      <c r="L183" s="2463">
        <v>1000</v>
      </c>
      <c r="M183" s="2196" t="s">
        <v>5937</v>
      </c>
      <c r="N183" s="1859"/>
      <c r="O183" s="2590"/>
      <c r="P183" s="1548"/>
      <c r="Q183" s="1493"/>
      <c r="R183" s="1493"/>
      <c r="S183" s="1493"/>
      <c r="T183" s="1548"/>
      <c r="U183" s="1548"/>
      <c r="V183" s="1548"/>
      <c r="W183" s="1548"/>
      <c r="X183" s="1548"/>
      <c r="Y183" s="1548"/>
      <c r="Z183" s="1548"/>
      <c r="AA183" s="1548"/>
      <c r="AB183" s="1548"/>
      <c r="AC183" s="1548"/>
      <c r="AD183" s="1548"/>
      <c r="AE183" s="1548"/>
      <c r="AF183" s="1548"/>
      <c r="AG183" s="1548"/>
      <c r="AH183" s="1548"/>
      <c r="AI183" s="1548"/>
      <c r="AJ183" s="1548"/>
      <c r="AK183" s="1548"/>
      <c r="AL183" s="1548"/>
      <c r="AM183" s="1548"/>
      <c r="AN183" s="1548"/>
      <c r="AO183" s="1548"/>
      <c r="AP183" s="1548"/>
      <c r="AQ183" s="1548"/>
      <c r="AR183" s="1548"/>
      <c r="AS183" s="1548"/>
      <c r="AT183" s="1548"/>
      <c r="AU183" s="1548"/>
      <c r="AV183" s="1548"/>
      <c r="AW183" s="1548"/>
      <c r="AX183" s="1548"/>
      <c r="AY183" s="1548"/>
      <c r="AZ183" s="1548"/>
      <c r="BA183" s="1548"/>
      <c r="BB183" s="1548"/>
      <c r="BC183" s="1548"/>
      <c r="BD183" s="1548"/>
      <c r="BE183" s="1548"/>
      <c r="BF183" s="1548"/>
      <c r="BG183" s="1548"/>
      <c r="BH183" s="1548"/>
      <c r="BI183" s="1548"/>
      <c r="BJ183" s="1548"/>
      <c r="BK183" s="1548"/>
      <c r="BL183" s="1548"/>
      <c r="BM183" s="1548"/>
      <c r="BN183" s="1548"/>
      <c r="BO183" s="1548"/>
      <c r="BP183" s="1548"/>
      <c r="BQ183" s="1548"/>
      <c r="BR183" s="1548"/>
      <c r="BS183" s="1548"/>
      <c r="BT183" s="1548"/>
      <c r="BU183" s="1548"/>
      <c r="BV183" s="1548"/>
      <c r="BW183" s="1548"/>
      <c r="BX183" s="1548"/>
      <c r="BY183" s="1548"/>
      <c r="BZ183" s="1548"/>
      <c r="CA183" s="1548"/>
      <c r="CB183" s="1548"/>
      <c r="CC183" s="1548"/>
      <c r="CD183" s="1548"/>
      <c r="CE183" s="1548"/>
      <c r="CF183" s="1548"/>
      <c r="CG183" s="1548"/>
      <c r="CH183" s="1548"/>
      <c r="CI183" s="1548"/>
      <c r="CJ183" s="1548"/>
      <c r="CK183" s="1548"/>
      <c r="CL183" s="1548"/>
      <c r="CM183" s="1548"/>
      <c r="CN183" s="1548"/>
      <c r="CO183" s="1548"/>
      <c r="CP183" s="1548"/>
      <c r="CQ183" s="1548"/>
      <c r="CR183" s="1548"/>
      <c r="CS183" s="1548"/>
      <c r="CT183" s="1548"/>
      <c r="CU183" s="1548"/>
      <c r="CV183" s="1548"/>
      <c r="CW183" s="1548"/>
      <c r="CX183" s="1548"/>
      <c r="CY183" s="1548"/>
      <c r="CZ183" s="1548"/>
      <c r="DA183" s="1548"/>
      <c r="DB183" s="1548"/>
      <c r="DC183" s="1548"/>
      <c r="DD183" s="1548"/>
      <c r="DE183" s="1548"/>
      <c r="DF183" s="1548"/>
      <c r="DG183" s="1548"/>
      <c r="DH183" s="1548"/>
      <c r="DI183" s="1548"/>
      <c r="DJ183" s="1548"/>
      <c r="DK183" s="1548"/>
      <c r="DL183" s="1548"/>
      <c r="DM183" s="1548"/>
      <c r="DN183" s="1548"/>
      <c r="DO183" s="1548"/>
      <c r="DP183" s="1548"/>
      <c r="DQ183" s="1548"/>
      <c r="DR183" s="1548"/>
      <c r="DS183" s="1548"/>
      <c r="DT183" s="1548"/>
      <c r="DU183" s="1548"/>
      <c r="DV183" s="1548"/>
      <c r="DW183" s="1548"/>
    </row>
    <row r="184" spans="1:127" s="1559" customFormat="1" ht="73.5" customHeight="1">
      <c r="A184" s="3744"/>
      <c r="B184" s="1568" t="str">
        <f t="shared" si="8"/>
        <v>2000002888</v>
      </c>
      <c r="C184" s="1493" t="s">
        <v>193</v>
      </c>
      <c r="D184" s="1808"/>
      <c r="E184" s="1495"/>
      <c r="F184" s="1493" t="s">
        <v>3416</v>
      </c>
      <c r="G184" s="1495"/>
      <c r="H184" s="1495"/>
      <c r="I184" s="1495" t="s">
        <v>19</v>
      </c>
      <c r="J184" s="1495" t="s">
        <v>1138</v>
      </c>
      <c r="K184" s="1600" t="s">
        <v>6640</v>
      </c>
      <c r="L184" s="2357">
        <v>1130</v>
      </c>
      <c r="M184" s="1748" t="s">
        <v>6641</v>
      </c>
      <c r="N184" s="1859"/>
      <c r="O184" s="2590">
        <v>3</v>
      </c>
      <c r="P184" s="1548"/>
      <c r="Q184" s="1493"/>
      <c r="R184" s="1493"/>
      <c r="S184" s="1493"/>
      <c r="T184" s="1548"/>
      <c r="U184" s="1548"/>
      <c r="V184" s="1548"/>
      <c r="W184" s="1548"/>
      <c r="X184" s="1548"/>
      <c r="Y184" s="1548"/>
      <c r="Z184" s="1548"/>
      <c r="AA184" s="1548"/>
      <c r="AB184" s="1548"/>
      <c r="AC184" s="1548"/>
      <c r="AD184" s="1548"/>
      <c r="AE184" s="1548"/>
      <c r="AF184" s="1548"/>
      <c r="AG184" s="1548"/>
      <c r="AH184" s="1548"/>
      <c r="AI184" s="1548"/>
      <c r="AJ184" s="1548"/>
      <c r="AK184" s="1548"/>
      <c r="AL184" s="1548"/>
      <c r="AM184" s="1548"/>
      <c r="AN184" s="1548"/>
      <c r="AO184" s="1548"/>
      <c r="AP184" s="1548"/>
      <c r="AQ184" s="1548"/>
      <c r="AR184" s="1548"/>
      <c r="AS184" s="1548"/>
      <c r="AT184" s="1548"/>
      <c r="AU184" s="1548"/>
      <c r="AV184" s="1548"/>
      <c r="AW184" s="1548"/>
      <c r="AX184" s="1548"/>
      <c r="AY184" s="1548"/>
      <c r="AZ184" s="1548"/>
      <c r="BA184" s="1548"/>
      <c r="BB184" s="1548"/>
      <c r="BC184" s="1548"/>
      <c r="BD184" s="1548"/>
      <c r="BE184" s="1548"/>
      <c r="BF184" s="1548"/>
      <c r="BG184" s="1548"/>
      <c r="BH184" s="1548"/>
      <c r="BI184" s="1548"/>
      <c r="BJ184" s="1548"/>
      <c r="BK184" s="1548"/>
      <c r="BL184" s="1548"/>
      <c r="BM184" s="1548"/>
      <c r="BN184" s="1548"/>
      <c r="BO184" s="1548"/>
      <c r="BP184" s="1548"/>
      <c r="BQ184" s="1548"/>
      <c r="BR184" s="1548"/>
      <c r="BS184" s="1548"/>
      <c r="BT184" s="1548"/>
      <c r="BU184" s="1548"/>
      <c r="BV184" s="1548"/>
      <c r="BW184" s="1548"/>
      <c r="BX184" s="1548"/>
      <c r="BY184" s="1548"/>
      <c r="BZ184" s="1548"/>
      <c r="CA184" s="1548"/>
      <c r="CB184" s="1548"/>
      <c r="CC184" s="1548"/>
      <c r="CD184" s="1548"/>
      <c r="CE184" s="1548"/>
      <c r="CF184" s="1548"/>
      <c r="CG184" s="1548"/>
      <c r="CH184" s="1548"/>
      <c r="CI184" s="1548"/>
      <c r="CJ184" s="1548"/>
      <c r="CK184" s="1548"/>
      <c r="CL184" s="1548"/>
      <c r="CM184" s="1548"/>
      <c r="CN184" s="1548"/>
      <c r="CO184" s="1548"/>
      <c r="CP184" s="1548"/>
      <c r="CQ184" s="1548"/>
      <c r="CR184" s="1548"/>
      <c r="CS184" s="1548"/>
      <c r="CT184" s="1548"/>
      <c r="CU184" s="1548"/>
      <c r="CV184" s="1548"/>
      <c r="CW184" s="1548"/>
      <c r="CX184" s="1548"/>
      <c r="CY184" s="1548"/>
      <c r="CZ184" s="1548"/>
      <c r="DA184" s="1548"/>
      <c r="DB184" s="1548"/>
      <c r="DC184" s="1548"/>
      <c r="DD184" s="1548"/>
      <c r="DE184" s="1548"/>
      <c r="DF184" s="1548"/>
      <c r="DG184" s="1548"/>
      <c r="DH184" s="1548"/>
      <c r="DI184" s="1548"/>
      <c r="DJ184" s="1548"/>
      <c r="DK184" s="1548"/>
      <c r="DL184" s="1548"/>
      <c r="DM184" s="1548"/>
      <c r="DN184" s="1548"/>
      <c r="DO184" s="1548"/>
      <c r="DP184" s="1548"/>
      <c r="DQ184" s="1548"/>
      <c r="DR184" s="1548"/>
      <c r="DS184" s="1548"/>
      <c r="DT184" s="1548"/>
      <c r="DU184" s="1548"/>
      <c r="DV184" s="1548"/>
      <c r="DW184" s="1548"/>
    </row>
    <row r="185" spans="1:127" s="2150" customFormat="1" ht="63" customHeight="1">
      <c r="A185" s="3744">
        <v>45</v>
      </c>
      <c r="B185" s="1495" t="str">
        <f t="shared" si="8"/>
        <v>2400001151</v>
      </c>
      <c r="C185" s="1902" t="s">
        <v>6642</v>
      </c>
      <c r="D185" s="2488">
        <f>SUM(L185:L187)</f>
        <v>35300</v>
      </c>
      <c r="E185" s="1921" t="s">
        <v>6643</v>
      </c>
      <c r="F185" s="1902"/>
      <c r="G185" s="1921" t="s">
        <v>6644</v>
      </c>
      <c r="H185" s="1909" t="s">
        <v>6645</v>
      </c>
      <c r="I185" s="1921" t="s">
        <v>19</v>
      </c>
      <c r="J185" s="1921" t="s">
        <v>40</v>
      </c>
      <c r="K185" s="1911" t="s">
        <v>6646</v>
      </c>
      <c r="L185" s="2583">
        <v>10250</v>
      </c>
      <c r="M185" s="2584" t="s">
        <v>5937</v>
      </c>
      <c r="N185" s="1862" t="s">
        <v>6647</v>
      </c>
      <c r="O185" s="1745">
        <v>3</v>
      </c>
      <c r="P185" s="2150" t="s">
        <v>6278</v>
      </c>
      <c r="Q185" s="1902">
        <v>10437</v>
      </c>
      <c r="R185" s="1902"/>
      <c r="S185" s="1902">
        <f>Q185-R185</f>
        <v>10437</v>
      </c>
    </row>
    <row r="186" spans="1:127" s="1548" customFormat="1" ht="69.75" customHeight="1">
      <c r="A186" s="3744"/>
      <c r="B186" s="1495" t="str">
        <f t="shared" si="8"/>
        <v>2400001152</v>
      </c>
      <c r="C186" s="1493" t="s">
        <v>6642</v>
      </c>
      <c r="D186" s="2325"/>
      <c r="E186" s="1495"/>
      <c r="F186" s="1493"/>
      <c r="G186" s="1495"/>
      <c r="H186" s="1495"/>
      <c r="I186" s="1495" t="s">
        <v>19</v>
      </c>
      <c r="J186" s="1495" t="s">
        <v>40</v>
      </c>
      <c r="K186" s="1547" t="s">
        <v>6648</v>
      </c>
      <c r="L186" s="2357">
        <v>3600</v>
      </c>
      <c r="M186" s="2584" t="s">
        <v>5937</v>
      </c>
      <c r="N186" s="1843"/>
      <c r="O186" s="2590">
        <v>3</v>
      </c>
      <c r="P186" s="1548" t="s">
        <v>6278</v>
      </c>
      <c r="Q186" s="1493">
        <v>3590</v>
      </c>
      <c r="R186" s="1493"/>
      <c r="S186" s="1493">
        <f>Q186-R186</f>
        <v>3590</v>
      </c>
    </row>
    <row r="187" spans="1:127" s="1548" customFormat="1" ht="58.5" customHeight="1">
      <c r="A187" s="3744"/>
      <c r="B187" s="1495" t="str">
        <f t="shared" si="8"/>
        <v>2400001153</v>
      </c>
      <c r="C187" s="1493" t="s">
        <v>6642</v>
      </c>
      <c r="D187" s="2325"/>
      <c r="E187" s="1495"/>
      <c r="F187" s="1493"/>
      <c r="G187" s="1495"/>
      <c r="H187" s="1495"/>
      <c r="I187" s="1495" t="s">
        <v>19</v>
      </c>
      <c r="J187" s="1495" t="s">
        <v>40</v>
      </c>
      <c r="K187" s="1547" t="s">
        <v>6649</v>
      </c>
      <c r="L187" s="2357">
        <v>21450</v>
      </c>
      <c r="M187" s="1748" t="s">
        <v>6650</v>
      </c>
      <c r="N187" s="1843"/>
      <c r="O187" s="2590">
        <v>3</v>
      </c>
      <c r="P187" s="1548" t="s">
        <v>6278</v>
      </c>
    </row>
    <row r="188" spans="1:127" s="1883" customFormat="1" ht="72.75" customHeight="1">
      <c r="A188" s="3749">
        <v>46</v>
      </c>
      <c r="B188" s="1947" t="str">
        <f t="shared" si="8"/>
        <v>2400001141</v>
      </c>
      <c r="C188" s="1630" t="s">
        <v>6651</v>
      </c>
      <c r="D188" s="2575">
        <v>9300</v>
      </c>
      <c r="E188" s="1851" t="s">
        <v>6652</v>
      </c>
      <c r="F188" s="1630"/>
      <c r="G188" s="1851" t="s">
        <v>6653</v>
      </c>
      <c r="H188" s="1632" t="s">
        <v>6654</v>
      </c>
      <c r="I188" s="1851" t="s">
        <v>19</v>
      </c>
      <c r="J188" s="1851" t="s">
        <v>6655</v>
      </c>
      <c r="K188" s="1881" t="s">
        <v>6656</v>
      </c>
      <c r="L188" s="2361">
        <f>D188-L189-L190</f>
        <v>6667</v>
      </c>
      <c r="M188" s="2625" t="s">
        <v>5937</v>
      </c>
      <c r="N188" s="1962"/>
      <c r="O188" s="2603">
        <v>3</v>
      </c>
      <c r="P188" s="1883" t="s">
        <v>6278</v>
      </c>
      <c r="Q188" s="1630">
        <v>9129</v>
      </c>
      <c r="R188" s="1630"/>
      <c r="S188" s="1630">
        <f>Q188-R188</f>
        <v>9129</v>
      </c>
    </row>
    <row r="189" spans="1:127" s="1883" customFormat="1" ht="72.75" customHeight="1">
      <c r="A189" s="3751"/>
      <c r="B189" s="1947" t="str">
        <f t="shared" si="8"/>
        <v>2400001178</v>
      </c>
      <c r="C189" s="1630" t="s">
        <v>6651</v>
      </c>
      <c r="D189" s="2575"/>
      <c r="E189" s="1851"/>
      <c r="F189" s="1630"/>
      <c r="G189" s="1851"/>
      <c r="H189" s="1632"/>
      <c r="I189" s="1851" t="s">
        <v>19</v>
      </c>
      <c r="J189" s="1851" t="s">
        <v>6655</v>
      </c>
      <c r="K189" s="1881">
        <v>2400001178</v>
      </c>
      <c r="L189" s="2361">
        <v>1964</v>
      </c>
      <c r="M189" s="2625" t="s">
        <v>5937</v>
      </c>
      <c r="N189" s="1962"/>
      <c r="O189" s="2603"/>
      <c r="Q189" s="1630"/>
      <c r="R189" s="1630"/>
      <c r="S189" s="1630"/>
    </row>
    <row r="190" spans="1:127" s="1883" customFormat="1" ht="72.75" customHeight="1">
      <c r="A190" s="3750"/>
      <c r="B190" s="1947" t="str">
        <f t="shared" si="8"/>
        <v>2400001179</v>
      </c>
      <c r="C190" s="1630" t="s">
        <v>6651</v>
      </c>
      <c r="D190" s="2575"/>
      <c r="E190" s="1851"/>
      <c r="F190" s="1630"/>
      <c r="G190" s="1851"/>
      <c r="H190" s="1632"/>
      <c r="I190" s="1851" t="s">
        <v>19</v>
      </c>
      <c r="J190" s="1851" t="s">
        <v>6655</v>
      </c>
      <c r="K190" s="1881">
        <v>2400001179</v>
      </c>
      <c r="L190" s="2361">
        <v>669</v>
      </c>
      <c r="M190" s="2625" t="s">
        <v>5937</v>
      </c>
      <c r="N190" s="1962"/>
      <c r="O190" s="2603"/>
      <c r="Q190" s="1630"/>
      <c r="R190" s="1630"/>
      <c r="S190" s="1630"/>
    </row>
    <row r="191" spans="1:127" s="1548" customFormat="1" ht="69.75" customHeight="1">
      <c r="A191" s="3744">
        <v>47</v>
      </c>
      <c r="B191" s="1568" t="str">
        <f t="shared" si="8"/>
        <v>2000002852</v>
      </c>
      <c r="C191" s="1902" t="s">
        <v>4831</v>
      </c>
      <c r="D191" s="2607">
        <v>4370</v>
      </c>
      <c r="E191" s="1921" t="s">
        <v>6657</v>
      </c>
      <c r="F191" s="1902" t="s">
        <v>61</v>
      </c>
      <c r="G191" s="1921" t="s">
        <v>6658</v>
      </c>
      <c r="H191" s="2689" t="s">
        <v>6622</v>
      </c>
      <c r="I191" s="1921" t="s">
        <v>19</v>
      </c>
      <c r="J191" s="1902" t="s">
        <v>123</v>
      </c>
      <c r="K191" s="1916" t="s">
        <v>6659</v>
      </c>
      <c r="L191" s="2179">
        <v>1500</v>
      </c>
      <c r="M191" s="1632" t="s">
        <v>5961</v>
      </c>
      <c r="N191" s="1843" t="s">
        <v>6567</v>
      </c>
      <c r="O191" s="2590">
        <v>2</v>
      </c>
      <c r="Q191" s="1493"/>
      <c r="R191" s="1493"/>
      <c r="S191" s="1493"/>
    </row>
    <row r="192" spans="1:127" s="1548" customFormat="1" ht="58.5" customHeight="1">
      <c r="A192" s="3744"/>
      <c r="B192" s="1568" t="str">
        <f t="shared" si="8"/>
        <v>2000002873</v>
      </c>
      <c r="C192" s="1493" t="s">
        <v>4831</v>
      </c>
      <c r="D192" s="1808"/>
      <c r="E192" s="1495"/>
      <c r="F192" s="1493" t="s">
        <v>61</v>
      </c>
      <c r="G192" s="1495"/>
      <c r="H192" s="1495"/>
      <c r="I192" s="1495" t="s">
        <v>19</v>
      </c>
      <c r="J192" s="1495" t="s">
        <v>123</v>
      </c>
      <c r="K192" s="1600" t="s">
        <v>6660</v>
      </c>
      <c r="L192" s="2357">
        <v>1300</v>
      </c>
      <c r="M192" s="1632" t="s">
        <v>5961</v>
      </c>
      <c r="N192" s="1859"/>
      <c r="O192" s="2590">
        <v>3</v>
      </c>
      <c r="Q192" s="1493"/>
      <c r="R192" s="1493"/>
      <c r="S192" s="1493"/>
    </row>
    <row r="193" spans="1:127" s="1548" customFormat="1" ht="58.5" customHeight="1">
      <c r="A193" s="3744"/>
      <c r="B193" s="1568" t="str">
        <f t="shared" si="8"/>
        <v>2000002853</v>
      </c>
      <c r="C193" s="1493" t="s">
        <v>4831</v>
      </c>
      <c r="D193" s="1808"/>
      <c r="E193" s="1495"/>
      <c r="F193" s="1493" t="s">
        <v>61</v>
      </c>
      <c r="G193" s="1495"/>
      <c r="H193" s="1495"/>
      <c r="I193" s="1495" t="s">
        <v>19</v>
      </c>
      <c r="J193" s="1495" t="s">
        <v>123</v>
      </c>
      <c r="K193" s="1770" t="s">
        <v>6661</v>
      </c>
      <c r="L193" s="2357">
        <v>1600</v>
      </c>
      <c r="M193" s="1632" t="s">
        <v>6662</v>
      </c>
      <c r="N193" s="1859" t="s">
        <v>6663</v>
      </c>
      <c r="O193" s="2590">
        <v>3</v>
      </c>
      <c r="Q193" s="1493"/>
      <c r="R193" s="1493"/>
      <c r="S193" s="1493"/>
    </row>
    <row r="194" spans="1:127" s="2150" customFormat="1" ht="75" customHeight="1">
      <c r="A194" s="2436">
        <v>48</v>
      </c>
      <c r="B194" s="1921" t="str">
        <f t="shared" si="8"/>
        <v>2000002888</v>
      </c>
      <c r="C194" s="1902" t="s">
        <v>5699</v>
      </c>
      <c r="D194" s="2607">
        <v>3950</v>
      </c>
      <c r="E194" s="1921" t="s">
        <v>6664</v>
      </c>
      <c r="F194" s="1902" t="s">
        <v>84</v>
      </c>
      <c r="G194" s="1921" t="s">
        <v>6665</v>
      </c>
      <c r="H194" s="1909" t="s">
        <v>6666</v>
      </c>
      <c r="I194" s="1921" t="s">
        <v>19</v>
      </c>
      <c r="J194" s="1921" t="s">
        <v>1138</v>
      </c>
      <c r="K194" s="1845" t="s">
        <v>6667</v>
      </c>
      <c r="L194" s="2583">
        <v>3950</v>
      </c>
      <c r="M194" s="2429" t="s">
        <v>6641</v>
      </c>
      <c r="O194" s="1745">
        <v>3</v>
      </c>
      <c r="Q194" s="1902"/>
      <c r="R194" s="1902"/>
      <c r="S194" s="1902"/>
    </row>
    <row r="195" spans="1:127" s="2150" customFormat="1" ht="62.25" customHeight="1">
      <c r="A195" s="3759">
        <v>49</v>
      </c>
      <c r="B195" s="1921" t="str">
        <f t="shared" si="8"/>
        <v>2200001920</v>
      </c>
      <c r="C195" s="1921" t="s">
        <v>6668</v>
      </c>
      <c r="D195" s="2607">
        <v>8900</v>
      </c>
      <c r="E195" s="1921" t="s">
        <v>6669</v>
      </c>
      <c r="F195" s="1902" t="s">
        <v>3401</v>
      </c>
      <c r="G195" s="1921" t="s">
        <v>6670</v>
      </c>
      <c r="H195" s="1909" t="s">
        <v>6671</v>
      </c>
      <c r="I195" s="1921" t="s">
        <v>19</v>
      </c>
      <c r="J195" s="1921" t="s">
        <v>1138</v>
      </c>
      <c r="K195" s="1845" t="s">
        <v>6672</v>
      </c>
      <c r="L195" s="2337">
        <v>3000</v>
      </c>
      <c r="M195" s="2196" t="s">
        <v>5937</v>
      </c>
      <c r="O195" s="2150">
        <v>3</v>
      </c>
      <c r="Q195" s="1902">
        <v>27642</v>
      </c>
      <c r="R195" s="1493">
        <v>13395</v>
      </c>
      <c r="S195" s="1493">
        <f>Q195-R195</f>
        <v>14247</v>
      </c>
    </row>
    <row r="196" spans="1:127" s="1883" customFormat="1" ht="58.5" customHeight="1">
      <c r="A196" s="3766"/>
      <c r="B196" s="1872" t="str">
        <f t="shared" si="8"/>
        <v>2200001954</v>
      </c>
      <c r="C196" s="1630" t="s">
        <v>3499</v>
      </c>
      <c r="D196" s="1631"/>
      <c r="E196" s="1851"/>
      <c r="F196" s="1630" t="s">
        <v>3401</v>
      </c>
      <c r="G196" s="1851"/>
      <c r="H196" s="2030"/>
      <c r="I196" s="1851" t="s">
        <v>19</v>
      </c>
      <c r="J196" s="1947" t="s">
        <v>1138</v>
      </c>
      <c r="K196" s="1873" t="s">
        <v>6673</v>
      </c>
      <c r="L196" s="2368">
        <v>490</v>
      </c>
      <c r="M196" s="2160" t="s">
        <v>5937</v>
      </c>
      <c r="O196" s="1883">
        <v>3</v>
      </c>
      <c r="Q196" s="1630"/>
      <c r="R196" s="1630"/>
      <c r="S196" s="1630"/>
    </row>
    <row r="197" spans="1:127" s="1548" customFormat="1" ht="58.5" customHeight="1">
      <c r="A197" s="3744"/>
      <c r="B197" s="2025" t="str">
        <f t="shared" si="8"/>
        <v>2200001947</v>
      </c>
      <c r="C197" s="1630" t="s">
        <v>3499</v>
      </c>
      <c r="D197" s="1631"/>
      <c r="E197" s="1851"/>
      <c r="F197" s="1630" t="s">
        <v>3401</v>
      </c>
      <c r="G197" s="1851"/>
      <c r="H197" s="1632"/>
      <c r="I197" s="1851" t="s">
        <v>19</v>
      </c>
      <c r="J197" s="1851" t="s">
        <v>1138</v>
      </c>
      <c r="K197" s="1497" t="s">
        <v>6674</v>
      </c>
      <c r="L197" s="2483">
        <v>1142</v>
      </c>
      <c r="M197" s="1790" t="s">
        <v>6675</v>
      </c>
      <c r="N197" s="1859"/>
      <c r="O197" s="2590">
        <v>3</v>
      </c>
      <c r="Q197" s="1493"/>
      <c r="R197" s="1493"/>
      <c r="S197" s="1493"/>
    </row>
    <row r="198" spans="1:127" s="1548" customFormat="1" ht="58.5" customHeight="1">
      <c r="A198" s="3744"/>
      <c r="B198" s="1937" t="str">
        <f t="shared" si="8"/>
        <v>2200001953</v>
      </c>
      <c r="C198" s="1493" t="s">
        <v>3499</v>
      </c>
      <c r="D198" s="1494"/>
      <c r="E198" s="1495"/>
      <c r="F198" s="1493" t="s">
        <v>3401</v>
      </c>
      <c r="G198" s="1495"/>
      <c r="H198" s="1748"/>
      <c r="I198" s="1495" t="s">
        <v>19</v>
      </c>
      <c r="J198" s="1495" t="s">
        <v>1138</v>
      </c>
      <c r="K198" s="1600" t="s">
        <v>6676</v>
      </c>
      <c r="L198" s="2483">
        <v>4200</v>
      </c>
      <c r="M198" s="2196" t="s">
        <v>5937</v>
      </c>
      <c r="N198" s="2690" t="s">
        <v>6677</v>
      </c>
      <c r="O198" s="1548">
        <v>3</v>
      </c>
      <c r="Q198" s="1493"/>
      <c r="R198" s="1493"/>
      <c r="S198" s="1493"/>
    </row>
    <row r="199" spans="1:127" s="1548" customFormat="1" ht="66.75" customHeight="1">
      <c r="A199" s="3749">
        <v>50</v>
      </c>
      <c r="B199" s="1921" t="str">
        <f t="shared" si="8"/>
        <v>2000002786</v>
      </c>
      <c r="C199" s="1902" t="s">
        <v>5469</v>
      </c>
      <c r="D199" s="2607">
        <v>4200</v>
      </c>
      <c r="E199" s="1921" t="s">
        <v>6678</v>
      </c>
      <c r="F199" s="1902" t="s">
        <v>89</v>
      </c>
      <c r="G199" s="1921" t="s">
        <v>6679</v>
      </c>
      <c r="H199" s="1909" t="s">
        <v>6622</v>
      </c>
      <c r="I199" s="1921" t="s">
        <v>19</v>
      </c>
      <c r="J199" s="1921" t="s">
        <v>74</v>
      </c>
      <c r="K199" s="1845" t="s">
        <v>6680</v>
      </c>
      <c r="L199" s="2624">
        <v>800</v>
      </c>
      <c r="M199" s="2584" t="s">
        <v>5937</v>
      </c>
      <c r="N199" s="1775" t="s">
        <v>6389</v>
      </c>
      <c r="O199" s="2590">
        <v>3</v>
      </c>
      <c r="P199" s="2150"/>
      <c r="Q199" s="1902">
        <v>2319</v>
      </c>
      <c r="R199" s="1902"/>
      <c r="S199" s="1902">
        <f>Q199-R199</f>
        <v>2319</v>
      </c>
      <c r="T199" s="2150"/>
      <c r="U199" s="2150"/>
      <c r="V199" s="2150"/>
      <c r="W199" s="2150"/>
      <c r="X199" s="2150"/>
      <c r="Y199" s="2150"/>
      <c r="Z199" s="2150"/>
      <c r="AA199" s="2150"/>
      <c r="AB199" s="2150"/>
      <c r="AC199" s="2150"/>
      <c r="AD199" s="2150"/>
      <c r="AE199" s="2150"/>
      <c r="AF199" s="2150"/>
      <c r="AG199" s="2150"/>
      <c r="AH199" s="2150"/>
      <c r="AI199" s="2150"/>
      <c r="AJ199" s="2150"/>
      <c r="AK199" s="2150"/>
      <c r="AL199" s="2150"/>
      <c r="AM199" s="2150"/>
      <c r="AN199" s="2150"/>
      <c r="AO199" s="2150"/>
      <c r="AP199" s="2150"/>
      <c r="AQ199" s="2150"/>
      <c r="AR199" s="2150"/>
      <c r="AS199" s="2150"/>
      <c r="AT199" s="2150"/>
      <c r="AU199" s="2150"/>
      <c r="AV199" s="2150"/>
      <c r="AW199" s="2150"/>
      <c r="AX199" s="2150"/>
      <c r="AY199" s="2150"/>
      <c r="AZ199" s="2150"/>
      <c r="BA199" s="2150"/>
      <c r="BB199" s="2150"/>
      <c r="BC199" s="2150"/>
      <c r="BD199" s="2150"/>
      <c r="BE199" s="2150"/>
      <c r="BF199" s="2150"/>
      <c r="BG199" s="2150"/>
      <c r="BH199" s="2150"/>
      <c r="BI199" s="2150"/>
      <c r="BJ199" s="2150"/>
      <c r="BK199" s="2150"/>
      <c r="BL199" s="2150"/>
      <c r="BM199" s="2150"/>
      <c r="BN199" s="2150"/>
      <c r="BO199" s="2150"/>
      <c r="BP199" s="2150"/>
      <c r="BQ199" s="2150"/>
      <c r="BR199" s="2150"/>
      <c r="BS199" s="2150"/>
      <c r="BT199" s="2150"/>
      <c r="BU199" s="2150"/>
      <c r="BV199" s="2150"/>
      <c r="BW199" s="2150"/>
      <c r="BX199" s="2150"/>
      <c r="BY199" s="2150"/>
      <c r="BZ199" s="2150"/>
      <c r="CA199" s="2150"/>
      <c r="CB199" s="2150"/>
      <c r="CC199" s="2150"/>
      <c r="CD199" s="2150"/>
      <c r="CE199" s="2150"/>
      <c r="CF199" s="2150"/>
      <c r="CG199" s="2150"/>
      <c r="CH199" s="2150"/>
      <c r="CI199" s="2150"/>
      <c r="CJ199" s="2150"/>
      <c r="CK199" s="2150"/>
      <c r="CL199" s="2150"/>
      <c r="CM199" s="2150"/>
      <c r="CN199" s="2150"/>
      <c r="CO199" s="2150"/>
      <c r="CP199" s="2150"/>
      <c r="CQ199" s="2150"/>
      <c r="CR199" s="2150"/>
      <c r="CS199" s="2150"/>
      <c r="CT199" s="2150"/>
      <c r="CU199" s="2150"/>
      <c r="CV199" s="2150"/>
      <c r="CW199" s="2150"/>
      <c r="CX199" s="2150"/>
      <c r="CY199" s="2150"/>
      <c r="CZ199" s="2150"/>
      <c r="DA199" s="2150"/>
      <c r="DB199" s="2150"/>
      <c r="DC199" s="2150"/>
      <c r="DD199" s="2150"/>
      <c r="DE199" s="2150"/>
      <c r="DF199" s="2150"/>
      <c r="DG199" s="2150"/>
      <c r="DH199" s="2150"/>
      <c r="DI199" s="2150"/>
      <c r="DJ199" s="2150"/>
      <c r="DK199" s="2150"/>
      <c r="DL199" s="2150"/>
      <c r="DM199" s="2150"/>
      <c r="DN199" s="2150"/>
      <c r="DO199" s="2150"/>
      <c r="DP199" s="2150"/>
      <c r="DQ199" s="2150"/>
      <c r="DR199" s="2150"/>
      <c r="DS199" s="2150"/>
      <c r="DT199" s="2150"/>
      <c r="DU199" s="2150"/>
      <c r="DV199" s="2150"/>
      <c r="DW199" s="2150"/>
    </row>
    <row r="200" spans="1:127" s="1548" customFormat="1" ht="58.5" customHeight="1">
      <c r="A200" s="3751"/>
      <c r="B200" s="1495" t="str">
        <f t="shared" si="8"/>
        <v>2000002845</v>
      </c>
      <c r="C200" s="1493" t="s">
        <v>5469</v>
      </c>
      <c r="D200" s="1808"/>
      <c r="E200" s="1495"/>
      <c r="F200" s="1493" t="s">
        <v>89</v>
      </c>
      <c r="G200" s="1495"/>
      <c r="H200" s="1748"/>
      <c r="I200" s="1495" t="s">
        <v>19</v>
      </c>
      <c r="J200" s="1495" t="s">
        <v>74</v>
      </c>
      <c r="K200" s="1600" t="s">
        <v>6681</v>
      </c>
      <c r="L200" s="1826">
        <v>500</v>
      </c>
      <c r="M200" s="1748" t="s">
        <v>6662</v>
      </c>
      <c r="N200" s="1859"/>
      <c r="O200" s="2590">
        <v>3</v>
      </c>
    </row>
    <row r="201" spans="1:127" s="1548" customFormat="1" ht="58.5" customHeight="1">
      <c r="A201" s="3750"/>
      <c r="B201" s="1495" t="str">
        <f t="shared" si="8"/>
        <v>2000002842</v>
      </c>
      <c r="C201" s="1493" t="s">
        <v>5469</v>
      </c>
      <c r="D201" s="1808"/>
      <c r="E201" s="1495"/>
      <c r="F201" s="1493" t="s">
        <v>89</v>
      </c>
      <c r="G201" s="1495"/>
      <c r="H201" s="1748"/>
      <c r="I201" s="1495" t="s">
        <v>19</v>
      </c>
      <c r="J201" s="1495" t="s">
        <v>199</v>
      </c>
      <c r="K201" s="1600" t="s">
        <v>6682</v>
      </c>
      <c r="L201" s="2357">
        <v>3000</v>
      </c>
      <c r="M201" s="2196" t="s">
        <v>5937</v>
      </c>
      <c r="N201" s="1862"/>
      <c r="O201" s="2590">
        <v>3</v>
      </c>
      <c r="Q201" s="1902">
        <v>4549</v>
      </c>
      <c r="R201" s="1493"/>
      <c r="S201" s="1493">
        <f>Q201-R201</f>
        <v>4549</v>
      </c>
    </row>
    <row r="202" spans="1:127" s="1548" customFormat="1" ht="70.5" customHeight="1">
      <c r="A202" s="3749">
        <v>51</v>
      </c>
      <c r="B202" s="1568" t="str">
        <f t="shared" si="8"/>
        <v>2000002859</v>
      </c>
      <c r="C202" s="1902" t="s">
        <v>3460</v>
      </c>
      <c r="D202" s="2607">
        <v>4000</v>
      </c>
      <c r="E202" s="1921" t="s">
        <v>6683</v>
      </c>
      <c r="F202" s="1902" t="s">
        <v>61</v>
      </c>
      <c r="G202" s="1921" t="s">
        <v>6684</v>
      </c>
      <c r="H202" s="1909" t="s">
        <v>6685</v>
      </c>
      <c r="I202" s="1921" t="s">
        <v>19</v>
      </c>
      <c r="J202" s="1921" t="s">
        <v>74</v>
      </c>
      <c r="K202" s="1916" t="s">
        <v>6686</v>
      </c>
      <c r="L202" s="2583">
        <v>1500</v>
      </c>
      <c r="M202" s="2429" t="s">
        <v>5961</v>
      </c>
      <c r="N202" s="1775" t="s">
        <v>6663</v>
      </c>
      <c r="O202" s="1745">
        <v>3</v>
      </c>
      <c r="P202" s="2150"/>
      <c r="Q202" s="1902"/>
      <c r="R202" s="1902"/>
      <c r="S202" s="1902"/>
    </row>
    <row r="203" spans="1:127" s="1548" customFormat="1" ht="58.5" customHeight="1">
      <c r="A203" s="3751"/>
      <c r="B203" s="1568" t="str">
        <f t="shared" si="8"/>
        <v>2000002846</v>
      </c>
      <c r="C203" s="1493" t="s">
        <v>3460</v>
      </c>
      <c r="D203" s="1808"/>
      <c r="E203" s="1495"/>
      <c r="F203" s="1493" t="s">
        <v>61</v>
      </c>
      <c r="G203" s="1495"/>
      <c r="H203" s="1748"/>
      <c r="I203" s="1495" t="s">
        <v>19</v>
      </c>
      <c r="J203" s="1495" t="s">
        <v>74</v>
      </c>
      <c r="K203" s="1770" t="s">
        <v>6687</v>
      </c>
      <c r="L203" s="2357">
        <v>600</v>
      </c>
      <c r="M203" s="1493" t="s">
        <v>5961</v>
      </c>
      <c r="N203" s="1859"/>
      <c r="O203" s="2590">
        <v>3</v>
      </c>
    </row>
    <row r="204" spans="1:127" s="1548" customFormat="1" ht="72" customHeight="1">
      <c r="A204" s="3750"/>
      <c r="B204" s="1568" t="str">
        <f t="shared" si="8"/>
        <v>2000002867</v>
      </c>
      <c r="C204" s="1493" t="s">
        <v>3460</v>
      </c>
      <c r="D204" s="1808"/>
      <c r="E204" s="1495"/>
      <c r="F204" s="1493" t="s">
        <v>61</v>
      </c>
      <c r="G204" s="1495"/>
      <c r="H204" s="1748"/>
      <c r="I204" s="1495" t="s">
        <v>19</v>
      </c>
      <c r="J204" s="1495" t="s">
        <v>74</v>
      </c>
      <c r="K204" s="1600" t="s">
        <v>6688</v>
      </c>
      <c r="L204" s="2357">
        <v>2000</v>
      </c>
      <c r="M204" s="2429" t="s">
        <v>5961</v>
      </c>
      <c r="N204" s="1859" t="s">
        <v>6689</v>
      </c>
      <c r="O204" s="2590">
        <v>3</v>
      </c>
    </row>
    <row r="205" spans="1:127" s="1548" customFormat="1" ht="104.25" customHeight="1">
      <c r="A205" s="2582">
        <v>52</v>
      </c>
      <c r="B205" s="2419" t="str">
        <f t="shared" si="8"/>
        <v>2000002867</v>
      </c>
      <c r="C205" s="2187" t="s">
        <v>2906</v>
      </c>
      <c r="D205" s="2456">
        <v>3500</v>
      </c>
      <c r="E205" s="2187" t="s">
        <v>6690</v>
      </c>
      <c r="F205" s="2263" t="s">
        <v>61</v>
      </c>
      <c r="G205" s="2187" t="s">
        <v>6691</v>
      </c>
      <c r="H205" s="2261" t="s">
        <v>6692</v>
      </c>
      <c r="I205" s="2187" t="s">
        <v>19</v>
      </c>
      <c r="J205" s="2187" t="s">
        <v>74</v>
      </c>
      <c r="K205" s="2617" t="s">
        <v>6693</v>
      </c>
      <c r="L205" s="2564">
        <v>3500</v>
      </c>
      <c r="M205" s="2626" t="s">
        <v>5961</v>
      </c>
      <c r="N205" s="1775" t="s">
        <v>6689</v>
      </c>
      <c r="O205" s="1745">
        <v>3</v>
      </c>
      <c r="P205" s="2150"/>
      <c r="Q205" s="2150"/>
      <c r="R205" s="2150"/>
      <c r="S205" s="2150"/>
    </row>
    <row r="206" spans="1:127" s="1548" customFormat="1" ht="102" customHeight="1">
      <c r="A206" s="2582">
        <v>53</v>
      </c>
      <c r="B206" s="2187" t="str">
        <f t="shared" si="8"/>
        <v>2000002867</v>
      </c>
      <c r="C206" s="2187" t="s">
        <v>6694</v>
      </c>
      <c r="D206" s="2456">
        <v>4300</v>
      </c>
      <c r="E206" s="2187" t="s">
        <v>6695</v>
      </c>
      <c r="F206" s="2263" t="s">
        <v>89</v>
      </c>
      <c r="G206" s="2187" t="s">
        <v>6696</v>
      </c>
      <c r="H206" s="2261" t="s">
        <v>6692</v>
      </c>
      <c r="I206" s="2187" t="s">
        <v>19</v>
      </c>
      <c r="J206" s="2187" t="s">
        <v>74</v>
      </c>
      <c r="K206" s="2617" t="s">
        <v>6697</v>
      </c>
      <c r="L206" s="2564">
        <v>4350</v>
      </c>
      <c r="M206" s="2626" t="s">
        <v>5961</v>
      </c>
      <c r="N206" s="2627" t="s">
        <v>6689</v>
      </c>
      <c r="O206" s="2593">
        <v>3</v>
      </c>
      <c r="P206" s="2127"/>
      <c r="Q206" s="2127"/>
      <c r="R206" s="2127"/>
      <c r="S206" s="2127"/>
    </row>
    <row r="207" spans="1:127" s="1777" customFormat="1" ht="52.5" customHeight="1">
      <c r="A207" s="738"/>
      <c r="B207" s="2514"/>
      <c r="C207" s="102"/>
      <c r="D207" s="2513"/>
      <c r="E207" s="109"/>
      <c r="F207" s="102"/>
      <c r="G207" s="109"/>
      <c r="H207" s="109"/>
      <c r="M207" s="102"/>
      <c r="O207" s="2390"/>
      <c r="P207" s="1880"/>
    </row>
    <row r="208" spans="1:127" s="1777" customFormat="1" ht="58.5" customHeight="1">
      <c r="A208" s="738"/>
      <c r="B208" s="1853"/>
      <c r="C208" s="102"/>
      <c r="D208" s="1277"/>
      <c r="E208" s="109"/>
      <c r="F208" s="102"/>
      <c r="G208" s="109"/>
      <c r="H208" s="109"/>
      <c r="I208" s="109"/>
      <c r="K208" s="143"/>
      <c r="L208" s="2216"/>
      <c r="M208" s="109"/>
      <c r="N208" s="157"/>
      <c r="O208" s="2390"/>
      <c r="Q208" s="102"/>
      <c r="R208" s="102"/>
      <c r="S208" s="102"/>
    </row>
    <row r="209" spans="1:19" s="1623" customFormat="1" ht="58.5" customHeight="1">
      <c r="A209" s="1344"/>
      <c r="B209" s="1924"/>
      <c r="C209" s="144"/>
      <c r="D209" s="2586"/>
      <c r="E209" s="111"/>
      <c r="F209" s="144"/>
      <c r="G209" s="111"/>
      <c r="H209" s="111"/>
      <c r="I209" s="111"/>
      <c r="J209" s="111"/>
      <c r="K209" s="1777"/>
      <c r="L209" s="2587"/>
      <c r="M209" s="109"/>
      <c r="N209" s="157"/>
      <c r="O209" s="2588"/>
      <c r="Q209" s="144"/>
      <c r="R209" s="144"/>
      <c r="S209" s="144"/>
    </row>
    <row r="210" spans="1:19" s="1777" customFormat="1" ht="58.5" customHeight="1">
      <c r="A210" s="738"/>
      <c r="B210" s="1853"/>
      <c r="C210" s="102"/>
      <c r="D210" s="1277"/>
      <c r="E210" s="109"/>
      <c r="F210" s="102"/>
      <c r="G210" s="109"/>
      <c r="H210" s="109"/>
      <c r="I210" s="109"/>
      <c r="J210" s="109"/>
      <c r="K210" s="143"/>
      <c r="L210" s="2216"/>
      <c r="M210" s="102"/>
      <c r="N210" s="2389"/>
      <c r="O210" s="2390"/>
      <c r="Q210" s="102"/>
      <c r="R210" s="102"/>
      <c r="S210" s="102"/>
    </row>
    <row r="211" spans="1:19" s="1777" customFormat="1" ht="58.5" customHeight="1">
      <c r="A211" s="738"/>
      <c r="B211" s="1853"/>
      <c r="C211" s="102"/>
      <c r="D211" s="1277"/>
      <c r="E211" s="109"/>
      <c r="F211" s="102"/>
      <c r="G211" s="109"/>
      <c r="H211" s="109"/>
      <c r="I211" s="109"/>
      <c r="J211" s="109"/>
      <c r="K211" s="143"/>
      <c r="L211" s="2216"/>
      <c r="M211" s="102"/>
      <c r="N211" s="2389"/>
      <c r="O211" s="2390"/>
      <c r="Q211" s="102"/>
      <c r="R211" s="102"/>
      <c r="S211" s="102"/>
    </row>
    <row r="212" spans="1:19" s="1777" customFormat="1" ht="58.5" customHeight="1">
      <c r="A212" s="738"/>
      <c r="B212" s="1853"/>
      <c r="C212" s="102"/>
      <c r="D212" s="1277"/>
      <c r="E212" s="109"/>
      <c r="F212" s="102"/>
      <c r="G212" s="109"/>
      <c r="H212" s="109"/>
      <c r="I212" s="109"/>
      <c r="J212" s="109"/>
      <c r="K212" s="143"/>
      <c r="L212" s="2216"/>
      <c r="M212" s="102"/>
      <c r="N212" s="2389"/>
      <c r="O212" s="2390"/>
      <c r="Q212" s="102"/>
      <c r="R212" s="102"/>
      <c r="S212" s="102"/>
    </row>
    <row r="213" spans="1:19" s="1777" customFormat="1" ht="58.5" customHeight="1">
      <c r="A213" s="738"/>
      <c r="B213" s="1853"/>
      <c r="C213" s="102"/>
      <c r="D213" s="1277"/>
      <c r="E213" s="109"/>
      <c r="F213" s="102"/>
      <c r="G213" s="109"/>
      <c r="H213" s="109"/>
      <c r="I213" s="109"/>
      <c r="J213" s="109"/>
      <c r="K213" s="143"/>
      <c r="L213" s="2216"/>
      <c r="M213" s="102"/>
      <c r="N213" s="2389"/>
      <c r="O213" s="2390"/>
      <c r="Q213" s="102"/>
      <c r="R213" s="102"/>
      <c r="S213" s="102"/>
    </row>
    <row r="214" spans="1:19" s="1777" customFormat="1" ht="58.5" customHeight="1">
      <c r="A214" s="738"/>
      <c r="B214" s="1853"/>
      <c r="C214" s="102"/>
      <c r="D214" s="1277"/>
      <c r="E214" s="109"/>
      <c r="F214" s="102"/>
      <c r="G214" s="109"/>
      <c r="H214" s="109"/>
      <c r="I214" s="109"/>
      <c r="J214" s="109"/>
      <c r="K214" s="143"/>
      <c r="L214" s="2216"/>
      <c r="M214" s="102"/>
      <c r="N214" s="2389"/>
      <c r="O214" s="2390"/>
      <c r="Q214" s="102"/>
      <c r="R214" s="102"/>
      <c r="S214" s="102"/>
    </row>
    <row r="215" spans="1:19" s="1777" customFormat="1" ht="58.5" customHeight="1">
      <c r="A215" s="738"/>
      <c r="B215" s="1853"/>
      <c r="C215" s="102"/>
      <c r="D215" s="1277"/>
      <c r="E215" s="109"/>
      <c r="F215" s="102"/>
      <c r="G215" s="109"/>
      <c r="H215" s="109"/>
      <c r="I215" s="109"/>
      <c r="J215" s="109"/>
      <c r="K215" s="143"/>
      <c r="L215" s="2216"/>
      <c r="M215" s="102"/>
      <c r="N215" s="2389"/>
      <c r="O215" s="2390"/>
      <c r="Q215" s="102"/>
      <c r="R215" s="102"/>
      <c r="S215" s="102"/>
    </row>
    <row r="216" spans="1:19" s="1777" customFormat="1" ht="58.5" customHeight="1">
      <c r="A216" s="738"/>
      <c r="B216" s="1853"/>
      <c r="C216" s="102"/>
      <c r="D216" s="1277"/>
      <c r="E216" s="109"/>
      <c r="F216" s="102"/>
      <c r="G216" s="109"/>
      <c r="H216" s="109"/>
      <c r="I216" s="109"/>
      <c r="J216" s="109"/>
      <c r="K216" s="143"/>
      <c r="L216" s="2216"/>
      <c r="M216" s="102"/>
      <c r="N216" s="2389"/>
      <c r="O216" s="2390"/>
      <c r="Q216" s="102"/>
      <c r="R216" s="102"/>
      <c r="S216" s="102"/>
    </row>
    <row r="217" spans="1:19" s="1777" customFormat="1" ht="58.5" customHeight="1">
      <c r="A217" s="738"/>
      <c r="B217" s="1853"/>
      <c r="C217" s="102"/>
      <c r="D217" s="1277"/>
      <c r="E217" s="109"/>
      <c r="F217" s="102"/>
      <c r="G217" s="109"/>
      <c r="H217" s="109"/>
      <c r="I217" s="109"/>
      <c r="J217" s="109"/>
      <c r="K217" s="143"/>
      <c r="L217" s="2216"/>
      <c r="M217" s="102"/>
      <c r="N217" s="2389"/>
      <c r="O217" s="2390"/>
      <c r="Q217" s="102"/>
      <c r="R217" s="102"/>
      <c r="S217" s="102"/>
    </row>
    <row r="218" spans="1:19" s="1777" customFormat="1" ht="58.5" customHeight="1">
      <c r="A218" s="738"/>
      <c r="B218" s="1853"/>
      <c r="C218" s="102"/>
      <c r="D218" s="1277"/>
      <c r="E218" s="109"/>
      <c r="F218" s="102"/>
      <c r="G218" s="109"/>
      <c r="H218" s="109"/>
      <c r="I218" s="109"/>
      <c r="J218" s="109"/>
      <c r="K218" s="143"/>
      <c r="L218" s="2216"/>
      <c r="M218" s="102"/>
      <c r="N218" s="2389"/>
      <c r="O218" s="2390"/>
      <c r="Q218" s="102"/>
      <c r="R218" s="102"/>
      <c r="S218" s="102"/>
    </row>
    <row r="219" spans="1:19" s="1777" customFormat="1" ht="58.5" customHeight="1">
      <c r="A219" s="738"/>
      <c r="B219" s="1853"/>
      <c r="C219" s="102"/>
      <c r="D219" s="1277"/>
      <c r="E219" s="109"/>
      <c r="F219" s="102"/>
      <c r="G219" s="109"/>
      <c r="H219" s="109"/>
      <c r="I219" s="109"/>
      <c r="J219" s="109"/>
      <c r="K219" s="143"/>
      <c r="L219" s="2216"/>
      <c r="M219" s="102"/>
      <c r="N219" s="2389"/>
      <c r="O219" s="2390"/>
      <c r="Q219" s="102"/>
      <c r="R219" s="102"/>
      <c r="S219" s="102"/>
    </row>
    <row r="220" spans="1:19" s="1777" customFormat="1" ht="58.5" customHeight="1">
      <c r="A220" s="738"/>
      <c r="B220" s="1853"/>
      <c r="C220" s="102"/>
      <c r="D220" s="1277"/>
      <c r="E220" s="109"/>
      <c r="F220" s="102"/>
      <c r="G220" s="109"/>
      <c r="H220" s="109"/>
      <c r="I220" s="109"/>
      <c r="J220" s="109"/>
      <c r="K220" s="143"/>
      <c r="L220" s="2216"/>
      <c r="M220" s="102"/>
      <c r="N220" s="2389"/>
      <c r="O220" s="2390"/>
      <c r="Q220" s="102"/>
      <c r="R220" s="102"/>
      <c r="S220" s="102"/>
    </row>
    <row r="221" spans="1:19" s="1777" customFormat="1" ht="58.5" customHeight="1">
      <c r="A221" s="738"/>
      <c r="B221" s="1853"/>
      <c r="C221" s="102"/>
      <c r="D221" s="1277"/>
      <c r="E221" s="109"/>
      <c r="F221" s="102"/>
      <c r="G221" s="109"/>
      <c r="H221" s="109"/>
      <c r="I221" s="109"/>
      <c r="J221" s="109"/>
      <c r="K221" s="143"/>
      <c r="L221" s="2216"/>
      <c r="M221" s="102"/>
      <c r="N221" s="2389"/>
      <c r="O221" s="2390"/>
      <c r="Q221" s="102"/>
      <c r="R221" s="102"/>
      <c r="S221" s="102"/>
    </row>
    <row r="222" spans="1:19" s="1777" customFormat="1" ht="58.5" customHeight="1">
      <c r="A222" s="738"/>
      <c r="B222" s="1853"/>
      <c r="C222" s="102"/>
      <c r="D222" s="1277"/>
      <c r="E222" s="109"/>
      <c r="F222" s="102"/>
      <c r="G222" s="109"/>
      <c r="H222" s="109"/>
      <c r="I222" s="109"/>
      <c r="J222" s="109"/>
      <c r="K222" s="143"/>
      <c r="L222" s="2216"/>
      <c r="M222" s="102"/>
      <c r="N222" s="2389"/>
      <c r="O222" s="2390"/>
      <c r="Q222" s="102"/>
      <c r="R222" s="102"/>
      <c r="S222" s="102"/>
    </row>
    <row r="223" spans="1:19" s="1777" customFormat="1" ht="58.5" customHeight="1">
      <c r="A223" s="738"/>
      <c r="B223" s="1853"/>
      <c r="C223" s="102"/>
      <c r="D223" s="1277"/>
      <c r="E223" s="109"/>
      <c r="F223" s="102"/>
      <c r="G223" s="109"/>
      <c r="H223" s="109"/>
      <c r="I223" s="109"/>
      <c r="J223" s="109"/>
      <c r="K223" s="143"/>
      <c r="L223" s="2216"/>
      <c r="M223" s="102"/>
      <c r="N223" s="2389"/>
      <c r="O223" s="2390"/>
      <c r="Q223" s="102"/>
      <c r="R223" s="102"/>
      <c r="S223" s="102"/>
    </row>
    <row r="224" spans="1:19" s="1777" customFormat="1" ht="58.5" customHeight="1">
      <c r="A224" s="738"/>
      <c r="B224" s="1853"/>
      <c r="C224" s="102"/>
      <c r="D224" s="1277"/>
      <c r="E224" s="109"/>
      <c r="F224" s="102"/>
      <c r="G224" s="109"/>
      <c r="H224" s="109"/>
      <c r="I224" s="109"/>
      <c r="J224" s="109"/>
      <c r="K224" s="143"/>
      <c r="L224" s="2216"/>
      <c r="M224" s="102"/>
      <c r="N224" s="2389"/>
      <c r="O224" s="2390"/>
      <c r="Q224" s="102"/>
      <c r="R224" s="102"/>
      <c r="S224" s="102"/>
    </row>
    <row r="225" spans="1:19" s="1777" customFormat="1" ht="58.5" customHeight="1">
      <c r="A225" s="738"/>
      <c r="B225" s="1853"/>
      <c r="C225" s="102"/>
      <c r="D225" s="1277"/>
      <c r="E225" s="109"/>
      <c r="F225" s="102"/>
      <c r="G225" s="109"/>
      <c r="H225" s="109"/>
      <c r="I225" s="109"/>
      <c r="J225" s="109"/>
      <c r="K225" s="143"/>
      <c r="L225" s="2216"/>
      <c r="M225" s="102"/>
      <c r="N225" s="2389"/>
      <c r="O225" s="2390"/>
      <c r="Q225" s="102"/>
      <c r="R225" s="102"/>
      <c r="S225" s="102"/>
    </row>
    <row r="226" spans="1:19" s="1777" customFormat="1" ht="58.5" customHeight="1">
      <c r="A226" s="738"/>
      <c r="B226" s="1853"/>
      <c r="C226" s="102"/>
      <c r="D226" s="1277"/>
      <c r="E226" s="109"/>
      <c r="F226" s="102"/>
      <c r="G226" s="109"/>
      <c r="H226" s="109"/>
      <c r="I226" s="109"/>
      <c r="J226" s="109"/>
      <c r="K226" s="143"/>
      <c r="L226" s="2216"/>
      <c r="M226" s="102"/>
      <c r="N226" s="2389"/>
      <c r="O226" s="2390"/>
      <c r="Q226" s="102"/>
      <c r="R226" s="102"/>
      <c r="S226" s="102"/>
    </row>
    <row r="227" spans="1:19" s="1777" customFormat="1" ht="58.5" customHeight="1">
      <c r="A227" s="738"/>
      <c r="B227" s="1853"/>
      <c r="C227" s="102"/>
      <c r="D227" s="1277"/>
      <c r="E227" s="109"/>
      <c r="F227" s="102"/>
      <c r="G227" s="109"/>
      <c r="H227" s="109"/>
      <c r="I227" s="109"/>
      <c r="J227" s="109"/>
      <c r="K227" s="143"/>
      <c r="L227" s="2216"/>
      <c r="M227" s="102"/>
      <c r="N227" s="2389"/>
      <c r="O227" s="2390"/>
      <c r="Q227" s="102"/>
      <c r="R227" s="102"/>
      <c r="S227" s="102"/>
    </row>
    <row r="228" spans="1:19" s="1777" customFormat="1" ht="58.5" customHeight="1">
      <c r="A228" s="738"/>
      <c r="B228" s="1853"/>
      <c r="C228" s="102"/>
      <c r="D228" s="1277"/>
      <c r="E228" s="109"/>
      <c r="F228" s="102"/>
      <c r="G228" s="109"/>
      <c r="H228" s="109"/>
      <c r="I228" s="109"/>
      <c r="J228" s="109"/>
      <c r="K228" s="143"/>
      <c r="L228" s="2216"/>
      <c r="M228" s="102"/>
      <c r="N228" s="2389"/>
      <c r="O228" s="2390"/>
      <c r="Q228" s="102"/>
      <c r="R228" s="102"/>
      <c r="S228" s="102"/>
    </row>
  </sheetData>
  <autoFilter ref="A3:DW206" xr:uid="{7F86496C-7B86-457B-BB74-0D3185F3FD49}"/>
  <mergeCells count="46">
    <mergeCell ref="A148:A150"/>
    <mergeCell ref="A159:A161"/>
    <mergeCell ref="A50:A56"/>
    <mergeCell ref="A154:A156"/>
    <mergeCell ref="A139:A145"/>
    <mergeCell ref="A137:A138"/>
    <mergeCell ref="A102:A105"/>
    <mergeCell ref="A106:A110"/>
    <mergeCell ref="A111:A113"/>
    <mergeCell ref="A124:A125"/>
    <mergeCell ref="A122:A123"/>
    <mergeCell ref="A131:A136"/>
    <mergeCell ref="A118:A121"/>
    <mergeCell ref="A126:A130"/>
    <mergeCell ref="A157:A158"/>
    <mergeCell ref="A13:A20"/>
    <mergeCell ref="A21:A22"/>
    <mergeCell ref="A23:A24"/>
    <mergeCell ref="A58:A59"/>
    <mergeCell ref="A146:A147"/>
    <mergeCell ref="N29:N32"/>
    <mergeCell ref="A47:A49"/>
    <mergeCell ref="A25:A28"/>
    <mergeCell ref="A29:A41"/>
    <mergeCell ref="A42:A45"/>
    <mergeCell ref="A1:P1"/>
    <mergeCell ref="O2:P2"/>
    <mergeCell ref="A9:A12"/>
    <mergeCell ref="A6:A8"/>
    <mergeCell ref="A2:C2"/>
    <mergeCell ref="A168:A171"/>
    <mergeCell ref="A60:A84"/>
    <mergeCell ref="A96:A101"/>
    <mergeCell ref="A202:A204"/>
    <mergeCell ref="A175:A177"/>
    <mergeCell ref="A162:A166"/>
    <mergeCell ref="A191:A193"/>
    <mergeCell ref="A195:A198"/>
    <mergeCell ref="A178:A184"/>
    <mergeCell ref="A185:A187"/>
    <mergeCell ref="A199:A201"/>
    <mergeCell ref="A188:A190"/>
    <mergeCell ref="A173:A174"/>
    <mergeCell ref="A114:A117"/>
    <mergeCell ref="A85:A92"/>
    <mergeCell ref="A151:A153"/>
  </mergeCells>
  <conditionalFormatting sqref="B1 B3:B1048576">
    <cfRule type="duplicateValues" dxfId="87" priority="1158"/>
  </conditionalFormatting>
  <conditionalFormatting sqref="B1:B1048576">
    <cfRule type="duplicateValues" dxfId="86" priority="1162"/>
  </conditionalFormatting>
  <conditionalFormatting sqref="B208:B1048576 B129 B149:B150 B139:B147 B157:B159 B202:B205 B162:B172 B175:B184 B191:B199">
    <cfRule type="duplicateValues" dxfId="85" priority="1219"/>
    <cfRule type="duplicateValues" dxfId="84" priority="1220"/>
  </conditionalFormatting>
  <pageMargins left="0.7" right="0.7" top="0.75" bottom="0.75" header="0.3" footer="0.3"/>
  <pageSetup paperSize="9" scale="40" orientation="landscape"/>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51A121-B853-49EC-9728-8ED67CF83AF9}">
  <sheetPr>
    <tabColor theme="2" tint="-0.249977111117893"/>
    <pageSetUpPr fitToPage="1"/>
  </sheetPr>
  <dimension ref="A1:DW240"/>
  <sheetViews>
    <sheetView zoomScale="70" zoomScaleNormal="70" workbookViewId="0">
      <pane xSplit="3" ySplit="3" topLeftCell="E39" activePane="bottomRight" state="frozen"/>
      <selection pane="topRight" activeCell="E39" sqref="E39"/>
      <selection pane="bottomLeft" activeCell="E39" sqref="E39"/>
      <selection pane="bottomRight" activeCell="E39" sqref="E39"/>
    </sheetView>
  </sheetViews>
  <sheetFormatPr defaultColWidth="32.140625" defaultRowHeight="58.5" customHeight="1"/>
  <cols>
    <col min="1" max="1" width="9" style="359" customWidth="1"/>
    <col min="2" max="2" width="30.42578125" style="763" customWidth="1"/>
    <col min="3" max="3" width="36.28515625" style="1" customWidth="1"/>
    <col min="4" max="4" width="20.140625" style="1179" customWidth="1"/>
    <col min="5" max="5" width="23.85546875" style="271" customWidth="1"/>
    <col min="6" max="6" width="25" style="1" customWidth="1"/>
    <col min="7" max="8" width="22.28515625" style="271" customWidth="1"/>
    <col min="9" max="9" width="23.28515625" style="271" customWidth="1"/>
    <col min="10" max="10" width="23.42578125" style="271" customWidth="1"/>
    <col min="11" max="11" width="90.5703125" style="9" customWidth="1"/>
    <col min="12" max="12" width="22.28515625" style="2217" customWidth="1"/>
    <col min="13" max="13" width="52.28515625" style="1" customWidth="1"/>
    <col min="14" max="14" width="46.42578125" style="2260" customWidth="1"/>
    <col min="15" max="15" width="46.42578125" style="2225" customWidth="1"/>
    <col min="16" max="16" width="46.42578125" style="3" customWidth="1"/>
    <col min="17" max="16384" width="32.140625" style="3"/>
  </cols>
  <sheetData>
    <row r="1" spans="1:127" ht="50.25" customHeight="1">
      <c r="A1" s="3769" t="s">
        <v>6698</v>
      </c>
      <c r="B1" s="3769"/>
      <c r="C1" s="3769"/>
      <c r="D1" s="3769"/>
      <c r="E1" s="3769"/>
      <c r="F1" s="3769"/>
      <c r="G1" s="3769"/>
      <c r="H1" s="3769"/>
      <c r="I1" s="3769"/>
      <c r="J1" s="3769"/>
      <c r="K1" s="3769"/>
      <c r="L1" s="3769"/>
      <c r="M1" s="3769"/>
      <c r="N1" s="3769"/>
      <c r="O1" s="3769"/>
      <c r="P1" s="3769"/>
    </row>
    <row r="2" spans="1:127" ht="39.75" customHeight="1">
      <c r="A2" s="2271" t="s">
        <v>3388</v>
      </c>
      <c r="B2" s="2472"/>
      <c r="C2" s="2472"/>
      <c r="D2" s="2215">
        <f>SUBTOTAL(9,D3:D705)</f>
        <v>462366</v>
      </c>
      <c r="E2" s="1932"/>
      <c r="F2" s="2092"/>
      <c r="G2" s="2269" t="s">
        <v>6699</v>
      </c>
      <c r="H2" s="1932"/>
      <c r="I2" s="1932"/>
      <c r="J2" s="1932"/>
      <c r="K2" s="2093">
        <f ca="1">TODAY()</f>
        <v>45960</v>
      </c>
      <c r="L2" s="2272">
        <f>SUBTOTAL(9,L4:L705)</f>
        <v>466868</v>
      </c>
      <c r="M2" s="2339" t="s">
        <v>5924</v>
      </c>
      <c r="N2" s="2099" t="s">
        <v>5925</v>
      </c>
      <c r="O2" s="2099"/>
      <c r="P2" s="1777"/>
    </row>
    <row r="3" spans="1:127" s="2175" customFormat="1" ht="79.5" customHeight="1">
      <c r="A3" s="2109" t="s">
        <v>1</v>
      </c>
      <c r="B3" s="2111" t="s">
        <v>5190</v>
      </c>
      <c r="C3" s="2111" t="s">
        <v>5191</v>
      </c>
      <c r="D3" s="2090" t="s">
        <v>5423</v>
      </c>
      <c r="E3" s="1970" t="s">
        <v>3389</v>
      </c>
      <c r="F3" s="1970" t="s">
        <v>5</v>
      </c>
      <c r="G3" s="1970" t="s">
        <v>3390</v>
      </c>
      <c r="H3" s="1970" t="s">
        <v>6700</v>
      </c>
      <c r="I3" s="1970" t="s">
        <v>8</v>
      </c>
      <c r="J3" s="1970" t="s">
        <v>9</v>
      </c>
      <c r="K3" s="1970" t="s">
        <v>6701</v>
      </c>
      <c r="L3" s="2346" t="s">
        <v>6262</v>
      </c>
      <c r="M3" s="2377" t="s">
        <v>6263</v>
      </c>
      <c r="N3" s="2100" t="s">
        <v>11</v>
      </c>
      <c r="O3" s="2375" t="s">
        <v>5200</v>
      </c>
      <c r="P3" s="2220" t="s">
        <v>5930</v>
      </c>
    </row>
    <row r="4" spans="1:127" s="2003" customFormat="1" ht="60.75" customHeight="1">
      <c r="A4" s="2296">
        <v>1</v>
      </c>
      <c r="B4" s="2232" t="str">
        <f t="shared" ref="B4:B35" si="0">TEXT(LEFT(K4,10),"0000000000")</f>
        <v>2000002640</v>
      </c>
      <c r="C4" s="2232" t="s">
        <v>6327</v>
      </c>
      <c r="D4" s="2449">
        <v>23000</v>
      </c>
      <c r="E4" s="2232" t="s">
        <v>6702</v>
      </c>
      <c r="F4" s="2232" t="s">
        <v>16</v>
      </c>
      <c r="G4" s="2232" t="s">
        <v>6703</v>
      </c>
      <c r="H4" s="2232" t="s">
        <v>353</v>
      </c>
      <c r="I4" s="2232" t="s">
        <v>19</v>
      </c>
      <c r="J4" s="2232" t="s">
        <v>5325</v>
      </c>
      <c r="K4" s="2234" t="s">
        <v>6704</v>
      </c>
      <c r="L4" s="2236">
        <v>23000</v>
      </c>
      <c r="M4" s="2378" t="s">
        <v>6705</v>
      </c>
      <c r="N4" s="2259" t="s">
        <v>6706</v>
      </c>
      <c r="O4" s="1974">
        <v>1</v>
      </c>
      <c r="P4" s="1916"/>
      <c r="Q4" s="1916"/>
      <c r="R4" s="1916"/>
      <c r="S4" s="1916"/>
      <c r="T4" s="1916"/>
      <c r="U4" s="1916"/>
      <c r="V4" s="1916"/>
      <c r="W4" s="1916"/>
      <c r="X4" s="1916"/>
      <c r="Y4" s="1916"/>
      <c r="Z4" s="1916"/>
      <c r="AA4" s="1916"/>
      <c r="AB4" s="1916"/>
      <c r="AC4" s="1916"/>
      <c r="AD4" s="1916"/>
      <c r="AE4" s="1916"/>
      <c r="AF4" s="1916"/>
      <c r="AG4" s="1916"/>
      <c r="AH4" s="1916"/>
      <c r="AI4" s="1916"/>
      <c r="AJ4" s="1916"/>
      <c r="AK4" s="1916"/>
      <c r="AL4" s="1916"/>
      <c r="AM4" s="1916"/>
      <c r="AN4" s="1916"/>
      <c r="AO4" s="1916"/>
      <c r="AP4" s="1916"/>
      <c r="AQ4" s="1916"/>
      <c r="AR4" s="1916"/>
      <c r="AS4" s="1916"/>
      <c r="AT4" s="1916"/>
      <c r="AU4" s="1916"/>
      <c r="AV4" s="1916"/>
      <c r="AW4" s="1916"/>
      <c r="AX4" s="1916"/>
      <c r="AY4" s="1916"/>
      <c r="AZ4" s="1916"/>
      <c r="BA4" s="1916"/>
      <c r="BB4" s="1916"/>
      <c r="BC4" s="1916"/>
      <c r="BD4" s="1916"/>
      <c r="BE4" s="1916"/>
      <c r="BF4" s="1916"/>
      <c r="BG4" s="1916"/>
      <c r="BH4" s="1916"/>
      <c r="BI4" s="1916"/>
      <c r="BJ4" s="1916"/>
      <c r="BK4" s="1916"/>
      <c r="BL4" s="1916"/>
      <c r="BM4" s="1916"/>
      <c r="BN4" s="1916"/>
      <c r="BO4" s="1916"/>
      <c r="BP4" s="1916"/>
      <c r="BQ4" s="1916"/>
      <c r="BR4" s="1916"/>
      <c r="BS4" s="1916"/>
      <c r="BT4" s="1916"/>
      <c r="BU4" s="1916"/>
      <c r="BV4" s="1916"/>
      <c r="BW4" s="1916"/>
      <c r="BX4" s="1916"/>
      <c r="BY4" s="1916"/>
      <c r="BZ4" s="1916"/>
      <c r="CA4" s="1916"/>
      <c r="CB4" s="1916"/>
      <c r="CC4" s="1916"/>
      <c r="CD4" s="1916"/>
      <c r="CE4" s="1916"/>
      <c r="CF4" s="1916"/>
      <c r="CG4" s="1916"/>
      <c r="CH4" s="1916"/>
      <c r="CI4" s="1916"/>
      <c r="CJ4" s="1916"/>
      <c r="CK4" s="1916"/>
      <c r="CL4" s="1916"/>
      <c r="CM4" s="1916"/>
      <c r="CN4" s="1916"/>
      <c r="CO4" s="1916"/>
      <c r="CP4" s="1916"/>
      <c r="CQ4" s="1916"/>
      <c r="CR4" s="1916"/>
      <c r="CS4" s="1916"/>
      <c r="CT4" s="1916"/>
      <c r="CU4" s="1916"/>
      <c r="CV4" s="1916"/>
      <c r="CW4" s="1916"/>
      <c r="CX4" s="1916"/>
      <c r="CY4" s="1916"/>
      <c r="CZ4" s="1916"/>
      <c r="DA4" s="1916"/>
      <c r="DB4" s="1916"/>
      <c r="DC4" s="1916"/>
      <c r="DD4" s="1916"/>
      <c r="DE4" s="1916"/>
      <c r="DF4" s="1916"/>
      <c r="DG4" s="1916"/>
      <c r="DH4" s="1916"/>
      <c r="DI4" s="1916"/>
      <c r="DJ4" s="1916"/>
      <c r="DK4" s="1916"/>
      <c r="DL4" s="1916"/>
      <c r="DM4" s="1916"/>
      <c r="DN4" s="1916"/>
      <c r="DO4" s="1916"/>
      <c r="DP4" s="1916"/>
      <c r="DQ4" s="1916"/>
      <c r="DR4" s="1916"/>
      <c r="DS4" s="1916"/>
      <c r="DT4" s="1916"/>
      <c r="DU4" s="1916"/>
      <c r="DV4" s="1916"/>
      <c r="DW4" s="1916"/>
    </row>
    <row r="5" spans="1:127" s="2003" customFormat="1" ht="58.5" customHeight="1">
      <c r="A5" s="2268">
        <v>2</v>
      </c>
      <c r="B5" s="2232" t="str">
        <f t="shared" si="0"/>
        <v>2000002655</v>
      </c>
      <c r="C5" s="2232" t="s">
        <v>5288</v>
      </c>
      <c r="D5" s="2449">
        <v>4300</v>
      </c>
      <c r="E5" s="2232" t="s">
        <v>6707</v>
      </c>
      <c r="F5" s="2232" t="s">
        <v>89</v>
      </c>
      <c r="G5" s="2232" t="s">
        <v>6708</v>
      </c>
      <c r="H5" s="2233" t="s">
        <v>6709</v>
      </c>
      <c r="I5" s="2232" t="s">
        <v>19</v>
      </c>
      <c r="J5" s="2232" t="s">
        <v>74</v>
      </c>
      <c r="K5" s="2234" t="s">
        <v>6710</v>
      </c>
      <c r="L5" s="2236">
        <v>1600</v>
      </c>
      <c r="M5" s="2378" t="s">
        <v>6705</v>
      </c>
      <c r="N5" s="2259" t="s">
        <v>6706</v>
      </c>
      <c r="O5" s="2235">
        <v>1</v>
      </c>
    </row>
    <row r="6" spans="1:127" s="2003" customFormat="1" ht="58.5" customHeight="1">
      <c r="A6" s="2476"/>
      <c r="B6" s="1972" t="str">
        <f t="shared" si="0"/>
        <v>2000002653</v>
      </c>
      <c r="C6" s="1972" t="s">
        <v>5288</v>
      </c>
      <c r="D6" s="1973"/>
      <c r="E6" s="1972"/>
      <c r="F6" s="1972" t="s">
        <v>89</v>
      </c>
      <c r="G6" s="1972"/>
      <c r="H6" s="1972"/>
      <c r="I6" s="1972"/>
      <c r="J6" s="1972" t="s">
        <v>74</v>
      </c>
      <c r="K6" s="1979" t="s">
        <v>6711</v>
      </c>
      <c r="L6" s="2236">
        <v>400</v>
      </c>
      <c r="M6" s="2378" t="s">
        <v>6705</v>
      </c>
      <c r="N6" s="1891" t="s">
        <v>6706</v>
      </c>
      <c r="O6" s="2235">
        <v>1</v>
      </c>
      <c r="P6" s="1774"/>
      <c r="Q6" s="1774"/>
      <c r="R6" s="1774"/>
      <c r="S6" s="1774"/>
      <c r="T6" s="1774"/>
      <c r="U6" s="1774"/>
      <c r="V6" s="1774"/>
      <c r="W6" s="1774"/>
      <c r="X6" s="1774"/>
      <c r="Y6" s="1774"/>
      <c r="Z6" s="1774"/>
      <c r="AA6" s="1774"/>
      <c r="AB6" s="1774"/>
      <c r="AC6" s="1774"/>
      <c r="AD6" s="1774"/>
      <c r="AE6" s="1774"/>
      <c r="AF6" s="1774"/>
      <c r="AG6" s="1774"/>
      <c r="AH6" s="1774"/>
      <c r="AI6" s="1774"/>
      <c r="AJ6" s="1774"/>
      <c r="AK6" s="1774"/>
      <c r="AL6" s="1774"/>
      <c r="AM6" s="1774"/>
      <c r="AN6" s="1774"/>
      <c r="AO6" s="1774"/>
      <c r="AP6" s="1774"/>
      <c r="AQ6" s="1774"/>
      <c r="AR6" s="1774"/>
      <c r="AS6" s="1774"/>
      <c r="AT6" s="1774"/>
      <c r="AU6" s="1774"/>
      <c r="AV6" s="1774"/>
      <c r="AW6" s="1774"/>
      <c r="AX6" s="1774"/>
      <c r="AY6" s="1774"/>
      <c r="AZ6" s="1774"/>
      <c r="BA6" s="1774"/>
      <c r="BB6" s="1774"/>
      <c r="BC6" s="1774"/>
      <c r="BD6" s="1774"/>
      <c r="BE6" s="1774"/>
      <c r="BF6" s="1774"/>
      <c r="BG6" s="1774"/>
      <c r="BH6" s="1774"/>
      <c r="BI6" s="1774"/>
      <c r="BJ6" s="1774"/>
      <c r="BK6" s="1774"/>
      <c r="BL6" s="1774"/>
      <c r="BM6" s="1774"/>
      <c r="BN6" s="1774"/>
      <c r="BO6" s="1774"/>
      <c r="BP6" s="1774"/>
      <c r="BQ6" s="1774"/>
      <c r="BR6" s="1774"/>
      <c r="BS6" s="1774"/>
      <c r="BT6" s="1774"/>
      <c r="BU6" s="1774"/>
      <c r="BV6" s="1774"/>
      <c r="BW6" s="1774"/>
      <c r="BX6" s="1774"/>
      <c r="BY6" s="1774"/>
      <c r="BZ6" s="1774"/>
      <c r="CA6" s="1774"/>
      <c r="CB6" s="1774"/>
      <c r="CC6" s="1774"/>
      <c r="CD6" s="1774"/>
      <c r="CE6" s="1774"/>
      <c r="CF6" s="1774"/>
      <c r="CG6" s="1774"/>
      <c r="CH6" s="1774"/>
      <c r="CI6" s="1774"/>
      <c r="CJ6" s="1774"/>
      <c r="CK6" s="1774"/>
      <c r="CL6" s="1774"/>
      <c r="CM6" s="1774"/>
      <c r="CN6" s="1774"/>
      <c r="CO6" s="1774"/>
      <c r="CP6" s="1774"/>
      <c r="CQ6" s="1774"/>
      <c r="CR6" s="1774"/>
      <c r="CS6" s="1774"/>
      <c r="CT6" s="1774"/>
      <c r="CU6" s="1774"/>
      <c r="CV6" s="1774"/>
      <c r="CW6" s="1774"/>
      <c r="CX6" s="1774"/>
      <c r="CY6" s="1774"/>
      <c r="CZ6" s="1774"/>
      <c r="DA6" s="1774"/>
      <c r="DB6" s="1774"/>
      <c r="DC6" s="1774"/>
      <c r="DD6" s="1774"/>
      <c r="DE6" s="1774"/>
      <c r="DF6" s="1774"/>
      <c r="DG6" s="1774"/>
      <c r="DH6" s="1774"/>
      <c r="DI6" s="1774"/>
      <c r="DJ6" s="1774"/>
      <c r="DK6" s="1774"/>
      <c r="DL6" s="1774"/>
      <c r="DM6" s="1774"/>
      <c r="DN6" s="1774"/>
      <c r="DO6" s="1774"/>
      <c r="DP6" s="1774"/>
      <c r="DQ6" s="1774"/>
      <c r="DR6" s="1774"/>
      <c r="DS6" s="1774"/>
      <c r="DT6" s="1774"/>
      <c r="DU6" s="1774"/>
      <c r="DV6" s="1774"/>
      <c r="DW6" s="1774"/>
    </row>
    <row r="7" spans="1:127" s="2003" customFormat="1" ht="58.5" customHeight="1">
      <c r="A7" s="2476"/>
      <c r="B7" s="1972" t="str">
        <f t="shared" si="0"/>
        <v>2000002654</v>
      </c>
      <c r="C7" s="1972" t="s">
        <v>5288</v>
      </c>
      <c r="D7" s="1973"/>
      <c r="E7" s="1972"/>
      <c r="F7" s="1972" t="s">
        <v>89</v>
      </c>
      <c r="G7" s="1972"/>
      <c r="H7" s="1972"/>
      <c r="I7" s="1972"/>
      <c r="J7" s="1972" t="s">
        <v>74</v>
      </c>
      <c r="K7" s="1979" t="s">
        <v>6712</v>
      </c>
      <c r="L7" s="2236">
        <v>1900</v>
      </c>
      <c r="M7" s="2378" t="s">
        <v>6705</v>
      </c>
      <c r="N7" s="1891" t="s">
        <v>6706</v>
      </c>
      <c r="O7" s="2235">
        <v>1</v>
      </c>
      <c r="P7" s="1774"/>
      <c r="Q7" s="1774"/>
      <c r="R7" s="1774"/>
      <c r="S7" s="1774"/>
      <c r="T7" s="1774"/>
      <c r="U7" s="1774"/>
      <c r="V7" s="1774"/>
      <c r="W7" s="1774"/>
      <c r="X7" s="1774"/>
      <c r="Y7" s="1774"/>
      <c r="Z7" s="1774"/>
      <c r="AA7" s="1774"/>
      <c r="AB7" s="1774"/>
      <c r="AC7" s="1774"/>
      <c r="AD7" s="1774"/>
      <c r="AE7" s="1774"/>
      <c r="AF7" s="1774"/>
      <c r="AG7" s="1774"/>
      <c r="AH7" s="1774"/>
      <c r="AI7" s="1774"/>
      <c r="AJ7" s="1774"/>
      <c r="AK7" s="1774"/>
      <c r="AL7" s="1774"/>
      <c r="AM7" s="1774"/>
      <c r="AN7" s="1774"/>
      <c r="AO7" s="1774"/>
      <c r="AP7" s="1774"/>
      <c r="AQ7" s="1774"/>
      <c r="AR7" s="1774"/>
      <c r="AS7" s="1774"/>
      <c r="AT7" s="1774"/>
      <c r="AU7" s="1774"/>
      <c r="AV7" s="1774"/>
      <c r="AW7" s="1774"/>
      <c r="AX7" s="1774"/>
      <c r="AY7" s="1774"/>
      <c r="AZ7" s="1774"/>
      <c r="BA7" s="1774"/>
      <c r="BB7" s="1774"/>
      <c r="BC7" s="1774"/>
      <c r="BD7" s="1774"/>
      <c r="BE7" s="1774"/>
      <c r="BF7" s="1774"/>
      <c r="BG7" s="1774"/>
      <c r="BH7" s="1774"/>
      <c r="BI7" s="1774"/>
      <c r="BJ7" s="1774"/>
      <c r="BK7" s="1774"/>
      <c r="BL7" s="1774"/>
      <c r="BM7" s="1774"/>
      <c r="BN7" s="1774"/>
      <c r="BO7" s="1774"/>
      <c r="BP7" s="1774"/>
      <c r="BQ7" s="1774"/>
      <c r="BR7" s="1774"/>
      <c r="BS7" s="1774"/>
      <c r="BT7" s="1774"/>
      <c r="BU7" s="1774"/>
      <c r="BV7" s="1774"/>
      <c r="BW7" s="1774"/>
      <c r="BX7" s="1774"/>
      <c r="BY7" s="1774"/>
      <c r="BZ7" s="1774"/>
      <c r="CA7" s="1774"/>
      <c r="CB7" s="1774"/>
      <c r="CC7" s="1774"/>
      <c r="CD7" s="1774"/>
      <c r="CE7" s="1774"/>
      <c r="CF7" s="1774"/>
      <c r="CG7" s="1774"/>
      <c r="CH7" s="1774"/>
      <c r="CI7" s="1774"/>
      <c r="CJ7" s="1774"/>
      <c r="CK7" s="1774"/>
      <c r="CL7" s="1774"/>
      <c r="CM7" s="1774"/>
      <c r="CN7" s="1774"/>
      <c r="CO7" s="1774"/>
      <c r="CP7" s="1774"/>
      <c r="CQ7" s="1774"/>
      <c r="CR7" s="1774"/>
      <c r="CS7" s="1774"/>
      <c r="CT7" s="1774"/>
      <c r="CU7" s="1774"/>
      <c r="CV7" s="1774"/>
      <c r="CW7" s="1774"/>
      <c r="CX7" s="1774"/>
      <c r="CY7" s="1774"/>
      <c r="CZ7" s="1774"/>
      <c r="DA7" s="1774"/>
      <c r="DB7" s="1774"/>
      <c r="DC7" s="1774"/>
      <c r="DD7" s="1774"/>
      <c r="DE7" s="1774"/>
      <c r="DF7" s="1774"/>
      <c r="DG7" s="1774"/>
      <c r="DH7" s="1774"/>
      <c r="DI7" s="1774"/>
      <c r="DJ7" s="1774"/>
      <c r="DK7" s="1774"/>
      <c r="DL7" s="1774"/>
      <c r="DM7" s="1774"/>
      <c r="DN7" s="1774"/>
      <c r="DO7" s="1774"/>
      <c r="DP7" s="1774"/>
      <c r="DQ7" s="1774"/>
      <c r="DR7" s="1774"/>
      <c r="DS7" s="1774"/>
      <c r="DT7" s="1774"/>
      <c r="DU7" s="1774"/>
      <c r="DV7" s="1774"/>
      <c r="DW7" s="1774"/>
    </row>
    <row r="8" spans="1:127" s="2003" customFormat="1" ht="58.5" customHeight="1">
      <c r="A8" s="2477"/>
      <c r="B8" s="1972" t="str">
        <f t="shared" si="0"/>
        <v>2000002645</v>
      </c>
      <c r="C8" s="1972" t="s">
        <v>5288</v>
      </c>
      <c r="D8" s="1973"/>
      <c r="E8" s="1972"/>
      <c r="F8" s="1972" t="s">
        <v>89</v>
      </c>
      <c r="G8" s="1972"/>
      <c r="H8" s="1972"/>
      <c r="I8" s="1972"/>
      <c r="J8" s="1972" t="s">
        <v>74</v>
      </c>
      <c r="K8" s="1979" t="s">
        <v>6713</v>
      </c>
      <c r="L8" s="2236">
        <v>400</v>
      </c>
      <c r="M8" s="2378" t="s">
        <v>6705</v>
      </c>
      <c r="N8" s="1891" t="s">
        <v>6706</v>
      </c>
      <c r="O8" s="2235">
        <v>1</v>
      </c>
      <c r="P8" s="1774"/>
      <c r="Q8" s="1774"/>
      <c r="R8" s="1774"/>
      <c r="S8" s="1774"/>
      <c r="T8" s="1774"/>
      <c r="U8" s="1774"/>
      <c r="V8" s="1774"/>
      <c r="W8" s="1774"/>
      <c r="X8" s="1774"/>
      <c r="Y8" s="1774"/>
      <c r="Z8" s="1774"/>
      <c r="AA8" s="1774"/>
      <c r="AB8" s="1774"/>
      <c r="AC8" s="1774"/>
      <c r="AD8" s="1774"/>
      <c r="AE8" s="1774"/>
      <c r="AF8" s="1774"/>
      <c r="AG8" s="1774"/>
      <c r="AH8" s="1774"/>
      <c r="AI8" s="1774"/>
      <c r="AJ8" s="1774"/>
      <c r="AK8" s="1774"/>
      <c r="AL8" s="1774"/>
      <c r="AM8" s="1774"/>
      <c r="AN8" s="1774"/>
      <c r="AO8" s="1774"/>
      <c r="AP8" s="1774"/>
      <c r="AQ8" s="1774"/>
      <c r="AR8" s="1774"/>
      <c r="AS8" s="1774"/>
      <c r="AT8" s="1774"/>
      <c r="AU8" s="1774"/>
      <c r="AV8" s="1774"/>
      <c r="AW8" s="1774"/>
      <c r="AX8" s="1774"/>
      <c r="AY8" s="1774"/>
      <c r="AZ8" s="1774"/>
      <c r="BA8" s="1774"/>
      <c r="BB8" s="1774"/>
      <c r="BC8" s="1774"/>
      <c r="BD8" s="1774"/>
      <c r="BE8" s="1774"/>
      <c r="BF8" s="1774"/>
      <c r="BG8" s="1774"/>
      <c r="BH8" s="1774"/>
      <c r="BI8" s="1774"/>
      <c r="BJ8" s="1774"/>
      <c r="BK8" s="1774"/>
      <c r="BL8" s="1774"/>
      <c r="BM8" s="1774"/>
      <c r="BN8" s="1774"/>
      <c r="BO8" s="1774"/>
      <c r="BP8" s="1774"/>
      <c r="BQ8" s="1774"/>
      <c r="BR8" s="1774"/>
      <c r="BS8" s="1774"/>
      <c r="BT8" s="1774"/>
      <c r="BU8" s="1774"/>
      <c r="BV8" s="1774"/>
      <c r="BW8" s="1774"/>
      <c r="BX8" s="1774"/>
      <c r="BY8" s="1774"/>
      <c r="BZ8" s="1774"/>
      <c r="CA8" s="1774"/>
      <c r="CB8" s="1774"/>
      <c r="CC8" s="1774"/>
      <c r="CD8" s="1774"/>
      <c r="CE8" s="1774"/>
      <c r="CF8" s="1774"/>
      <c r="CG8" s="1774"/>
      <c r="CH8" s="1774"/>
      <c r="CI8" s="1774"/>
      <c r="CJ8" s="1774"/>
      <c r="CK8" s="1774"/>
      <c r="CL8" s="1774"/>
      <c r="CM8" s="1774"/>
      <c r="CN8" s="1774"/>
      <c r="CO8" s="1774"/>
      <c r="CP8" s="1774"/>
      <c r="CQ8" s="1774"/>
      <c r="CR8" s="1774"/>
      <c r="CS8" s="1774"/>
      <c r="CT8" s="1774"/>
      <c r="CU8" s="1774"/>
      <c r="CV8" s="1774"/>
      <c r="CW8" s="1774"/>
      <c r="CX8" s="1774"/>
      <c r="CY8" s="1774"/>
      <c r="CZ8" s="1774"/>
      <c r="DA8" s="1774"/>
      <c r="DB8" s="1774"/>
      <c r="DC8" s="1774"/>
      <c r="DD8" s="1774"/>
      <c r="DE8" s="1774"/>
      <c r="DF8" s="1774"/>
      <c r="DG8" s="1774"/>
      <c r="DH8" s="1774"/>
      <c r="DI8" s="1774"/>
      <c r="DJ8" s="1774"/>
      <c r="DK8" s="1774"/>
      <c r="DL8" s="1774"/>
      <c r="DM8" s="1774"/>
      <c r="DN8" s="1774"/>
      <c r="DO8" s="1774"/>
      <c r="DP8" s="1774"/>
      <c r="DQ8" s="1774"/>
      <c r="DR8" s="1774"/>
      <c r="DS8" s="1774"/>
      <c r="DT8" s="1774"/>
      <c r="DU8" s="1774"/>
      <c r="DV8" s="1774"/>
      <c r="DW8" s="1774"/>
    </row>
    <row r="9" spans="1:127" s="1774" customFormat="1" ht="56.25" customHeight="1">
      <c r="A9" s="2268">
        <v>3</v>
      </c>
      <c r="B9" s="2232" t="str">
        <f t="shared" si="0"/>
        <v>2000002643</v>
      </c>
      <c r="C9" s="2232" t="s">
        <v>3924</v>
      </c>
      <c r="D9" s="2449">
        <v>7200</v>
      </c>
      <c r="E9" s="2232" t="s">
        <v>6714</v>
      </c>
      <c r="F9" s="2232" t="s">
        <v>3401</v>
      </c>
      <c r="G9" s="2232" t="s">
        <v>6715</v>
      </c>
      <c r="H9" s="2233" t="s">
        <v>6709</v>
      </c>
      <c r="I9" s="2232" t="s">
        <v>19</v>
      </c>
      <c r="J9" s="2232" t="s">
        <v>1138</v>
      </c>
      <c r="K9" s="2234" t="s">
        <v>6716</v>
      </c>
      <c r="L9" s="2236">
        <v>2700</v>
      </c>
      <c r="M9" s="2378" t="s">
        <v>6705</v>
      </c>
      <c r="N9" s="2259" t="s">
        <v>6706</v>
      </c>
      <c r="O9" s="2235">
        <v>1</v>
      </c>
    </row>
    <row r="10" spans="1:127" s="1774" customFormat="1" ht="56.25" customHeight="1">
      <c r="A10" s="2476"/>
      <c r="B10" s="1972" t="str">
        <f t="shared" si="0"/>
        <v>2000002624</v>
      </c>
      <c r="C10" s="1972" t="s">
        <v>3924</v>
      </c>
      <c r="D10" s="1973"/>
      <c r="E10" s="1972"/>
      <c r="F10" s="1972" t="s">
        <v>3401</v>
      </c>
      <c r="G10" s="1972"/>
      <c r="H10" s="1972"/>
      <c r="I10" s="1972"/>
      <c r="J10" s="1972" t="s">
        <v>1138</v>
      </c>
      <c r="K10" s="1979" t="s">
        <v>6717</v>
      </c>
      <c r="L10" s="2236">
        <v>2000</v>
      </c>
      <c r="M10" s="2378" t="s">
        <v>6705</v>
      </c>
      <c r="N10" s="1891" t="s">
        <v>6718</v>
      </c>
      <c r="O10" s="2235">
        <v>1</v>
      </c>
    </row>
    <row r="11" spans="1:127" s="1774" customFormat="1" ht="56.25" customHeight="1">
      <c r="A11" s="2476"/>
      <c r="B11" s="1972" t="str">
        <f t="shared" si="0"/>
        <v>2200001872</v>
      </c>
      <c r="C11" s="1972" t="s">
        <v>3924</v>
      </c>
      <c r="D11" s="1973"/>
      <c r="E11" s="1972"/>
      <c r="F11" s="1972" t="s">
        <v>3401</v>
      </c>
      <c r="G11" s="1972"/>
      <c r="H11" s="1972"/>
      <c r="I11" s="1972"/>
      <c r="J11" s="1972" t="s">
        <v>1138</v>
      </c>
      <c r="K11" s="1496" t="s">
        <v>6719</v>
      </c>
      <c r="L11" s="2266">
        <v>400</v>
      </c>
      <c r="M11" s="2030" t="s">
        <v>6720</v>
      </c>
      <c r="N11" s="2282"/>
      <c r="O11" s="2292">
        <v>1</v>
      </c>
      <c r="P11" s="2283"/>
    </row>
    <row r="12" spans="1:127" s="1774" customFormat="1" ht="56.25" customHeight="1">
      <c r="A12" s="2477"/>
      <c r="B12" s="1972" t="str">
        <f t="shared" si="0"/>
        <v>2200001858</v>
      </c>
      <c r="C12" s="1972" t="s">
        <v>3924</v>
      </c>
      <c r="D12" s="1973"/>
      <c r="E12" s="1972"/>
      <c r="F12" s="1972" t="s">
        <v>3401</v>
      </c>
      <c r="G12" s="1972"/>
      <c r="H12" s="1972"/>
      <c r="I12" s="1972"/>
      <c r="J12" s="1972" t="s">
        <v>1138</v>
      </c>
      <c r="K12" s="1979" t="s">
        <v>6721</v>
      </c>
      <c r="L12" s="2236">
        <v>2200</v>
      </c>
      <c r="M12" s="2030" t="s">
        <v>5454</v>
      </c>
      <c r="N12" s="1891"/>
      <c r="O12" s="2291">
        <v>1</v>
      </c>
    </row>
    <row r="13" spans="1:127" s="2003" customFormat="1" ht="56.25" customHeight="1">
      <c r="A13" s="2268">
        <v>4</v>
      </c>
      <c r="B13" s="2232" t="str">
        <f t="shared" si="0"/>
        <v>2000002641</v>
      </c>
      <c r="C13" s="2232" t="s">
        <v>3399</v>
      </c>
      <c r="D13" s="2449">
        <v>9250</v>
      </c>
      <c r="E13" s="2232" t="s">
        <v>6722</v>
      </c>
      <c r="F13" s="2232" t="s">
        <v>3401</v>
      </c>
      <c r="G13" s="2232" t="s">
        <v>6723</v>
      </c>
      <c r="H13" s="2233" t="s">
        <v>6709</v>
      </c>
      <c r="I13" s="2232" t="s">
        <v>19</v>
      </c>
      <c r="J13" s="2232" t="s">
        <v>123</v>
      </c>
      <c r="K13" s="2234" t="s">
        <v>6724</v>
      </c>
      <c r="L13" s="2236">
        <v>300</v>
      </c>
      <c r="M13" s="2378" t="s">
        <v>6705</v>
      </c>
      <c r="N13" s="2259" t="s">
        <v>6706</v>
      </c>
      <c r="O13" s="2235">
        <v>1</v>
      </c>
    </row>
    <row r="14" spans="1:127" s="1774" customFormat="1" ht="56.25" customHeight="1">
      <c r="A14" s="2476"/>
      <c r="B14" s="1972" t="str">
        <f t="shared" si="0"/>
        <v>2000002642</v>
      </c>
      <c r="C14" s="1972" t="s">
        <v>3399</v>
      </c>
      <c r="D14" s="1973"/>
      <c r="E14" s="1972"/>
      <c r="F14" s="1972" t="s">
        <v>3401</v>
      </c>
      <c r="G14" s="1972"/>
      <c r="H14" s="1972"/>
      <c r="I14" s="1972"/>
      <c r="J14" s="1972" t="s">
        <v>123</v>
      </c>
      <c r="K14" s="1979" t="s">
        <v>6725</v>
      </c>
      <c r="L14" s="2236">
        <v>250</v>
      </c>
      <c r="M14" s="2378" t="s">
        <v>6705</v>
      </c>
      <c r="N14" s="1891" t="s">
        <v>6706</v>
      </c>
      <c r="O14" s="2235">
        <v>1</v>
      </c>
    </row>
    <row r="15" spans="1:127" s="1774" customFormat="1" ht="56.25" customHeight="1">
      <c r="A15" s="2476"/>
      <c r="B15" s="1972" t="str">
        <f t="shared" si="0"/>
        <v>2000002665</v>
      </c>
      <c r="C15" s="1972" t="s">
        <v>3399</v>
      </c>
      <c r="D15" s="1973"/>
      <c r="E15" s="1972"/>
      <c r="F15" s="1972" t="s">
        <v>3401</v>
      </c>
      <c r="G15" s="1972"/>
      <c r="H15" s="1972"/>
      <c r="I15" s="1972"/>
      <c r="J15" s="1972" t="s">
        <v>63</v>
      </c>
      <c r="K15" s="1979" t="s">
        <v>6726</v>
      </c>
      <c r="L15" s="2236">
        <v>7600</v>
      </c>
      <c r="M15" s="2378" t="s">
        <v>6705</v>
      </c>
      <c r="N15" s="1891" t="s">
        <v>6727</v>
      </c>
      <c r="O15" s="2235">
        <v>1</v>
      </c>
    </row>
    <row r="16" spans="1:127" s="1774" customFormat="1" ht="56.25" customHeight="1">
      <c r="A16" s="2477"/>
      <c r="B16" s="1972" t="str">
        <f t="shared" si="0"/>
        <v>2000002622</v>
      </c>
      <c r="C16" s="1972" t="s">
        <v>3399</v>
      </c>
      <c r="D16" s="1973"/>
      <c r="E16" s="1972"/>
      <c r="F16" s="1972" t="s">
        <v>3401</v>
      </c>
      <c r="G16" s="1972"/>
      <c r="H16" s="1972"/>
      <c r="I16" s="1972"/>
      <c r="J16" s="1972" t="s">
        <v>63</v>
      </c>
      <c r="K16" s="1979" t="s">
        <v>6728</v>
      </c>
      <c r="L16" s="2236">
        <v>500</v>
      </c>
      <c r="M16" s="2378" t="s">
        <v>6705</v>
      </c>
      <c r="N16" s="1891" t="s">
        <v>6706</v>
      </c>
      <c r="O16" s="2235">
        <v>1</v>
      </c>
    </row>
    <row r="17" spans="1:127" s="1774" customFormat="1" ht="56.25" customHeight="1">
      <c r="A17" s="2268">
        <v>5</v>
      </c>
      <c r="B17" s="2232" t="str">
        <f t="shared" si="0"/>
        <v>2000002599</v>
      </c>
      <c r="C17" s="2232" t="s">
        <v>52</v>
      </c>
      <c r="D17" s="2449">
        <v>4620</v>
      </c>
      <c r="E17" s="2232" t="s">
        <v>6729</v>
      </c>
      <c r="F17" s="2232" t="s">
        <v>16</v>
      </c>
      <c r="G17" s="2232" t="s">
        <v>6730</v>
      </c>
      <c r="H17" s="2232" t="s">
        <v>6317</v>
      </c>
      <c r="I17" s="2232" t="s">
        <v>19</v>
      </c>
      <c r="J17" s="2232" t="s">
        <v>1138</v>
      </c>
      <c r="K17" s="2234" t="s">
        <v>6731</v>
      </c>
      <c r="L17" s="2236">
        <v>300</v>
      </c>
      <c r="M17" s="2378" t="s">
        <v>6705</v>
      </c>
      <c r="N17" s="2259" t="s">
        <v>6706</v>
      </c>
      <c r="O17" s="2235">
        <v>1</v>
      </c>
    </row>
    <row r="18" spans="1:127" s="1774" customFormat="1" ht="56.25" customHeight="1">
      <c r="A18" s="2476"/>
      <c r="B18" s="1972" t="str">
        <f t="shared" si="0"/>
        <v>2200001851</v>
      </c>
      <c r="C18" s="1972" t="s">
        <v>52</v>
      </c>
      <c r="D18" s="1973"/>
      <c r="E18" s="1972"/>
      <c r="F18" s="1972" t="s">
        <v>16</v>
      </c>
      <c r="G18" s="1972"/>
      <c r="H18" s="1972"/>
      <c r="I18" s="1972"/>
      <c r="J18" s="1972" t="s">
        <v>1138</v>
      </c>
      <c r="K18" s="1979" t="s">
        <v>6732</v>
      </c>
      <c r="L18" s="2236">
        <v>1140</v>
      </c>
      <c r="M18" s="2030" t="s">
        <v>6733</v>
      </c>
      <c r="N18" s="1891"/>
      <c r="O18" s="2235">
        <v>1</v>
      </c>
    </row>
    <row r="19" spans="1:127" s="1774" customFormat="1" ht="56.25" customHeight="1">
      <c r="A19" s="2477"/>
      <c r="B19" s="1972" t="str">
        <f t="shared" si="0"/>
        <v>2000002658</v>
      </c>
      <c r="C19" s="1972" t="s">
        <v>52</v>
      </c>
      <c r="D19" s="1973"/>
      <c r="E19" s="1972"/>
      <c r="F19" s="1972" t="s">
        <v>16</v>
      </c>
      <c r="G19" s="1972"/>
      <c r="H19" s="1972"/>
      <c r="I19" s="1972"/>
      <c r="J19" s="1972" t="s">
        <v>1138</v>
      </c>
      <c r="K19" s="1979" t="s">
        <v>6734</v>
      </c>
      <c r="L19" s="2236">
        <v>3200</v>
      </c>
      <c r="M19" s="2378" t="s">
        <v>6705</v>
      </c>
      <c r="N19" s="1891" t="s">
        <v>6706</v>
      </c>
      <c r="O19" s="2235">
        <v>1</v>
      </c>
    </row>
    <row r="20" spans="1:127" s="2003" customFormat="1" ht="56.25" customHeight="1">
      <c r="A20" s="2268">
        <v>6</v>
      </c>
      <c r="B20" s="2232" t="str">
        <f t="shared" si="0"/>
        <v>2000002645</v>
      </c>
      <c r="C20" s="2232" t="s">
        <v>3573</v>
      </c>
      <c r="D20" s="2449">
        <v>4000</v>
      </c>
      <c r="E20" s="2232" t="s">
        <v>6735</v>
      </c>
      <c r="F20" s="2232" t="s">
        <v>84</v>
      </c>
      <c r="G20" s="2232" t="s">
        <v>6736</v>
      </c>
      <c r="H20" s="2232" t="s">
        <v>6317</v>
      </c>
      <c r="I20" s="2232" t="s">
        <v>19</v>
      </c>
      <c r="J20" s="2232" t="s">
        <v>74</v>
      </c>
      <c r="K20" s="2234" t="s">
        <v>6737</v>
      </c>
      <c r="L20" s="2236">
        <v>700</v>
      </c>
      <c r="M20" s="2378" t="s">
        <v>6705</v>
      </c>
      <c r="N20" s="2259" t="s">
        <v>6706</v>
      </c>
      <c r="O20" s="2235">
        <v>1</v>
      </c>
    </row>
    <row r="21" spans="1:127" s="1774" customFormat="1" ht="56.25" customHeight="1">
      <c r="A21" s="2476"/>
      <c r="B21" s="1972" t="str">
        <f t="shared" si="0"/>
        <v>2000002636</v>
      </c>
      <c r="C21" s="1972" t="s">
        <v>3573</v>
      </c>
      <c r="D21" s="1973"/>
      <c r="E21" s="1972"/>
      <c r="F21" s="1972" t="s">
        <v>84</v>
      </c>
      <c r="G21" s="1972"/>
      <c r="H21" s="1972"/>
      <c r="I21" s="1972"/>
      <c r="J21" s="1972" t="s">
        <v>74</v>
      </c>
      <c r="K21" s="1979" t="s">
        <v>6738</v>
      </c>
      <c r="L21" s="2236">
        <v>145</v>
      </c>
      <c r="M21" s="2378" t="s">
        <v>6705</v>
      </c>
      <c r="N21" s="1891" t="s">
        <v>6739</v>
      </c>
      <c r="O21" s="2235">
        <v>1</v>
      </c>
    </row>
    <row r="22" spans="1:127" s="1774" customFormat="1" ht="56.25" customHeight="1">
      <c r="A22" s="2477"/>
      <c r="B22" s="1972" t="str">
        <f t="shared" si="0"/>
        <v>2200001861</v>
      </c>
      <c r="C22" s="1972" t="s">
        <v>3573</v>
      </c>
      <c r="D22" s="1973"/>
      <c r="E22" s="1972"/>
      <c r="F22" s="1972" t="s">
        <v>84</v>
      </c>
      <c r="G22" s="1972"/>
      <c r="H22" s="1972"/>
      <c r="I22" s="1972"/>
      <c r="J22" s="1972" t="s">
        <v>101</v>
      </c>
      <c r="K22" s="1979" t="s">
        <v>6740</v>
      </c>
      <c r="L22" s="2236">
        <v>3200</v>
      </c>
      <c r="M22" s="2030" t="s">
        <v>5454</v>
      </c>
      <c r="N22" s="2282"/>
      <c r="O22" s="1974">
        <v>1</v>
      </c>
      <c r="P22" s="2283"/>
    </row>
    <row r="23" spans="1:127" s="1774" customFormat="1" ht="56.25" customHeight="1">
      <c r="A23" s="2214">
        <v>7</v>
      </c>
      <c r="B23" s="1921" t="str">
        <f t="shared" si="0"/>
        <v>2000002664</v>
      </c>
      <c r="C23" s="1921" t="s">
        <v>82</v>
      </c>
      <c r="D23" s="2201">
        <v>4230</v>
      </c>
      <c r="E23" s="1921" t="s">
        <v>6741</v>
      </c>
      <c r="F23" s="1921" t="s">
        <v>84</v>
      </c>
      <c r="G23" s="1921" t="s">
        <v>6742</v>
      </c>
      <c r="H23" s="2261" t="s">
        <v>6743</v>
      </c>
      <c r="I23" s="1921" t="s">
        <v>19</v>
      </c>
      <c r="J23" s="1921" t="s">
        <v>959</v>
      </c>
      <c r="K23" s="2161" t="s">
        <v>6744</v>
      </c>
      <c r="L23" s="2273">
        <v>1700</v>
      </c>
      <c r="M23" s="2326" t="s">
        <v>6705</v>
      </c>
      <c r="N23" s="2264"/>
      <c r="O23" s="1748">
        <v>1</v>
      </c>
      <c r="P23" s="2181"/>
      <c r="Q23" s="2150"/>
      <c r="R23" s="2150"/>
      <c r="S23" s="2150"/>
      <c r="T23" s="2150"/>
      <c r="U23" s="2150"/>
      <c r="V23" s="2150"/>
      <c r="W23" s="2150"/>
      <c r="X23" s="2150"/>
      <c r="Y23" s="2150"/>
      <c r="Z23" s="2150"/>
      <c r="AA23" s="2150"/>
      <c r="AB23" s="2150"/>
      <c r="AC23" s="2150"/>
      <c r="AD23" s="2150"/>
      <c r="AE23" s="2150"/>
      <c r="AF23" s="2150"/>
      <c r="AG23" s="2150"/>
      <c r="AH23" s="2150"/>
      <c r="AI23" s="2150"/>
      <c r="AJ23" s="2150"/>
      <c r="AK23" s="2150"/>
      <c r="AL23" s="2150"/>
      <c r="AM23" s="2150"/>
      <c r="AN23" s="2150"/>
      <c r="AO23" s="2150"/>
      <c r="AP23" s="2150"/>
      <c r="AQ23" s="2150"/>
      <c r="AR23" s="2150"/>
      <c r="AS23" s="2150"/>
      <c r="AT23" s="2150"/>
      <c r="AU23" s="2150"/>
      <c r="AV23" s="2150"/>
      <c r="AW23" s="2150"/>
      <c r="AX23" s="2150"/>
      <c r="AY23" s="2150"/>
      <c r="AZ23" s="2150"/>
      <c r="BA23" s="2150"/>
      <c r="BB23" s="2150"/>
      <c r="BC23" s="2150"/>
      <c r="BD23" s="2150"/>
      <c r="BE23" s="2150"/>
      <c r="BF23" s="2150"/>
      <c r="BG23" s="2150"/>
      <c r="BH23" s="2150"/>
      <c r="BI23" s="2150"/>
      <c r="BJ23" s="2150"/>
      <c r="BK23" s="2150"/>
      <c r="BL23" s="2150"/>
      <c r="BM23" s="2150"/>
      <c r="BN23" s="2150"/>
      <c r="BO23" s="2150"/>
      <c r="BP23" s="2150"/>
      <c r="BQ23" s="2150"/>
      <c r="BR23" s="2150"/>
      <c r="BS23" s="2150"/>
      <c r="BT23" s="2150"/>
      <c r="BU23" s="2150"/>
      <c r="BV23" s="2150"/>
      <c r="BW23" s="2150"/>
      <c r="BX23" s="2150"/>
      <c r="BY23" s="2150"/>
      <c r="BZ23" s="2150"/>
      <c r="CA23" s="2150"/>
      <c r="CB23" s="2150"/>
      <c r="CC23" s="2150"/>
      <c r="CD23" s="2150"/>
      <c r="CE23" s="2150"/>
      <c r="CF23" s="2150"/>
      <c r="CG23" s="2150"/>
      <c r="CH23" s="2150"/>
      <c r="CI23" s="2150"/>
      <c r="CJ23" s="2150"/>
      <c r="CK23" s="2150"/>
      <c r="CL23" s="2150"/>
      <c r="CM23" s="2150"/>
      <c r="CN23" s="2150"/>
      <c r="CO23" s="2150"/>
      <c r="CP23" s="2150"/>
      <c r="CQ23" s="2150"/>
      <c r="CR23" s="2150"/>
      <c r="CS23" s="2150"/>
      <c r="CT23" s="2150"/>
      <c r="CU23" s="2150"/>
      <c r="CV23" s="2150"/>
      <c r="CW23" s="2150"/>
      <c r="CX23" s="2150"/>
      <c r="CY23" s="2150"/>
      <c r="CZ23" s="2150"/>
      <c r="DA23" s="2150"/>
      <c r="DB23" s="2150"/>
      <c r="DC23" s="2150"/>
      <c r="DD23" s="2150"/>
      <c r="DE23" s="2150"/>
      <c r="DF23" s="2150"/>
      <c r="DG23" s="2150"/>
      <c r="DH23" s="2150"/>
      <c r="DI23" s="2150"/>
      <c r="DJ23" s="2150"/>
      <c r="DK23" s="2150"/>
      <c r="DL23" s="2150"/>
      <c r="DM23" s="2150"/>
      <c r="DN23" s="2150"/>
      <c r="DO23" s="2150"/>
      <c r="DP23" s="2150"/>
      <c r="DQ23" s="2150"/>
      <c r="DR23" s="2150"/>
      <c r="DS23" s="2150"/>
      <c r="DT23" s="2150"/>
      <c r="DU23" s="2150"/>
      <c r="DV23" s="2150"/>
      <c r="DW23" s="2150"/>
    </row>
    <row r="24" spans="1:127" s="1774" customFormat="1" ht="56.25" customHeight="1">
      <c r="A24" s="2270"/>
      <c r="B24" s="1495" t="str">
        <f t="shared" si="0"/>
        <v>2200001862</v>
      </c>
      <c r="C24" s="1495" t="s">
        <v>82</v>
      </c>
      <c r="D24" s="2203"/>
      <c r="E24" s="1495"/>
      <c r="F24" s="1495" t="s">
        <v>84</v>
      </c>
      <c r="G24" s="1773"/>
      <c r="H24" s="1495"/>
      <c r="I24" s="1568" t="s">
        <v>19</v>
      </c>
      <c r="J24" s="1495" t="s">
        <v>959</v>
      </c>
      <c r="K24" s="1497" t="s">
        <v>6745</v>
      </c>
      <c r="L24" s="2207">
        <v>2530</v>
      </c>
      <c r="M24" s="1748" t="s">
        <v>6746</v>
      </c>
      <c r="N24" s="2265"/>
      <c r="O24" s="2102">
        <v>1</v>
      </c>
      <c r="P24" s="1548"/>
      <c r="Q24" s="1548"/>
      <c r="R24" s="1548"/>
      <c r="S24" s="1548"/>
      <c r="T24" s="1548"/>
      <c r="U24" s="1548"/>
      <c r="V24" s="1548"/>
      <c r="W24" s="1548"/>
      <c r="X24" s="1548"/>
      <c r="Y24" s="1548"/>
      <c r="Z24" s="1548"/>
      <c r="AA24" s="1548"/>
      <c r="AB24" s="1548"/>
      <c r="AC24" s="1548"/>
      <c r="AD24" s="1548"/>
      <c r="AE24" s="1548"/>
      <c r="AF24" s="1548"/>
      <c r="AG24" s="1548"/>
      <c r="AH24" s="1548"/>
      <c r="AI24" s="1548"/>
      <c r="AJ24" s="1548"/>
      <c r="AK24" s="1548"/>
      <c r="AL24" s="1548"/>
      <c r="AM24" s="1548"/>
      <c r="AN24" s="1548"/>
      <c r="AO24" s="1548"/>
      <c r="AP24" s="1548"/>
      <c r="AQ24" s="1548"/>
      <c r="AR24" s="1548"/>
      <c r="AS24" s="1548"/>
      <c r="AT24" s="1548"/>
      <c r="AU24" s="1548"/>
      <c r="AV24" s="1548"/>
      <c r="AW24" s="1548"/>
      <c r="AX24" s="1548"/>
      <c r="AY24" s="1548"/>
      <c r="AZ24" s="1548"/>
      <c r="BA24" s="1548"/>
      <c r="BB24" s="1548"/>
      <c r="BC24" s="1548"/>
      <c r="BD24" s="1548"/>
      <c r="BE24" s="1548"/>
      <c r="BF24" s="1548"/>
      <c r="BG24" s="1548"/>
      <c r="BH24" s="1548"/>
      <c r="BI24" s="1548"/>
      <c r="BJ24" s="1548"/>
      <c r="BK24" s="1548"/>
      <c r="BL24" s="1548"/>
      <c r="BM24" s="1548"/>
      <c r="BN24" s="1548"/>
      <c r="BO24" s="1548"/>
      <c r="BP24" s="1548"/>
      <c r="BQ24" s="1548"/>
      <c r="BR24" s="1548"/>
      <c r="BS24" s="1548"/>
      <c r="BT24" s="1548"/>
      <c r="BU24" s="1548"/>
      <c r="BV24" s="1548"/>
      <c r="BW24" s="1548"/>
      <c r="BX24" s="1548"/>
      <c r="BY24" s="1548"/>
      <c r="BZ24" s="1548"/>
      <c r="CA24" s="1548"/>
      <c r="CB24" s="1548"/>
      <c r="CC24" s="1548"/>
      <c r="CD24" s="1548"/>
      <c r="CE24" s="1548"/>
      <c r="CF24" s="1548"/>
      <c r="CG24" s="1548"/>
      <c r="CH24" s="1548"/>
      <c r="CI24" s="1548"/>
      <c r="CJ24" s="1548"/>
      <c r="CK24" s="1548"/>
      <c r="CL24" s="1548"/>
      <c r="CM24" s="1548"/>
      <c r="CN24" s="1548"/>
      <c r="CO24" s="1548"/>
      <c r="CP24" s="1548"/>
      <c r="CQ24" s="1548"/>
      <c r="CR24" s="1548"/>
      <c r="CS24" s="1548"/>
      <c r="CT24" s="1548"/>
      <c r="CU24" s="1548"/>
      <c r="CV24" s="1548"/>
      <c r="CW24" s="1548"/>
      <c r="CX24" s="1548"/>
      <c r="CY24" s="1548"/>
      <c r="CZ24" s="1548"/>
      <c r="DA24" s="1548"/>
      <c r="DB24" s="1548"/>
      <c r="DC24" s="1548"/>
      <c r="DD24" s="1548"/>
      <c r="DE24" s="1548"/>
      <c r="DF24" s="1548"/>
      <c r="DG24" s="1548"/>
      <c r="DH24" s="1548"/>
      <c r="DI24" s="1548"/>
      <c r="DJ24" s="1548"/>
      <c r="DK24" s="1548"/>
      <c r="DL24" s="1548"/>
      <c r="DM24" s="1548"/>
      <c r="DN24" s="1548"/>
      <c r="DO24" s="1548"/>
      <c r="DP24" s="1548"/>
      <c r="DQ24" s="1548"/>
      <c r="DR24" s="1548"/>
      <c r="DS24" s="1548"/>
      <c r="DT24" s="1548"/>
      <c r="DU24" s="1548"/>
      <c r="DV24" s="1548"/>
      <c r="DW24" s="1548"/>
    </row>
    <row r="25" spans="1:127" s="1774" customFormat="1" ht="56.25" customHeight="1">
      <c r="A25" s="2268">
        <v>8</v>
      </c>
      <c r="B25" s="2232" t="str">
        <f t="shared" si="0"/>
        <v>2000002651</v>
      </c>
      <c r="C25" s="2232" t="s">
        <v>217</v>
      </c>
      <c r="D25" s="2449">
        <v>4250</v>
      </c>
      <c r="E25" s="2232" t="s">
        <v>6707</v>
      </c>
      <c r="F25" s="2232" t="s">
        <v>3401</v>
      </c>
      <c r="G25" s="2232" t="s">
        <v>6747</v>
      </c>
      <c r="H25" s="2232" t="s">
        <v>6317</v>
      </c>
      <c r="I25" s="2232" t="s">
        <v>19</v>
      </c>
      <c r="J25" s="2232" t="s">
        <v>74</v>
      </c>
      <c r="K25" s="2234" t="s">
        <v>6748</v>
      </c>
      <c r="L25" s="2236">
        <v>4250</v>
      </c>
      <c r="M25" s="2378" t="s">
        <v>6705</v>
      </c>
      <c r="N25" s="2259" t="s">
        <v>6749</v>
      </c>
      <c r="O25" s="1974">
        <v>1</v>
      </c>
      <c r="P25" s="1916"/>
      <c r="Q25" s="1916"/>
      <c r="R25" s="1916"/>
      <c r="S25" s="1916"/>
      <c r="T25" s="1916"/>
      <c r="U25" s="1916"/>
      <c r="V25" s="1916"/>
      <c r="W25" s="1916"/>
      <c r="X25" s="1916"/>
      <c r="Y25" s="1916"/>
      <c r="Z25" s="1916"/>
      <c r="AA25" s="1916"/>
      <c r="AB25" s="1916"/>
      <c r="AC25" s="1916"/>
      <c r="AD25" s="1916"/>
      <c r="AE25" s="1916"/>
      <c r="AF25" s="1916"/>
      <c r="AG25" s="1916"/>
      <c r="AH25" s="1916"/>
      <c r="AI25" s="1916"/>
      <c r="AJ25" s="1916"/>
      <c r="AK25" s="1916"/>
      <c r="AL25" s="1916"/>
      <c r="AM25" s="1916"/>
      <c r="AN25" s="1916"/>
      <c r="AO25" s="1916"/>
      <c r="AP25" s="1916"/>
      <c r="AQ25" s="1916"/>
      <c r="AR25" s="1916"/>
      <c r="AS25" s="1916"/>
      <c r="AT25" s="1916"/>
      <c r="AU25" s="1916"/>
      <c r="AV25" s="1916"/>
      <c r="AW25" s="1916"/>
      <c r="AX25" s="1916"/>
      <c r="AY25" s="1916"/>
      <c r="AZ25" s="1916"/>
      <c r="BA25" s="1916"/>
      <c r="BB25" s="1916"/>
      <c r="BC25" s="1916"/>
      <c r="BD25" s="1916"/>
      <c r="BE25" s="1916"/>
      <c r="BF25" s="1916"/>
      <c r="BG25" s="1916"/>
      <c r="BH25" s="1916"/>
      <c r="BI25" s="1916"/>
      <c r="BJ25" s="1916"/>
      <c r="BK25" s="1916"/>
      <c r="BL25" s="1916"/>
      <c r="BM25" s="1916"/>
      <c r="BN25" s="1916"/>
      <c r="BO25" s="1916"/>
      <c r="BP25" s="1916"/>
      <c r="BQ25" s="1916"/>
      <c r="BR25" s="1916"/>
      <c r="BS25" s="1916"/>
      <c r="BT25" s="1916"/>
      <c r="BU25" s="1916"/>
      <c r="BV25" s="1916"/>
      <c r="BW25" s="1916"/>
      <c r="BX25" s="1916"/>
      <c r="BY25" s="1916"/>
      <c r="BZ25" s="1916"/>
      <c r="CA25" s="1916"/>
      <c r="CB25" s="1916"/>
      <c r="CC25" s="1916"/>
      <c r="CD25" s="1916"/>
      <c r="CE25" s="1916"/>
      <c r="CF25" s="1916"/>
      <c r="CG25" s="1916"/>
      <c r="CH25" s="1916"/>
      <c r="CI25" s="1916"/>
      <c r="CJ25" s="1916"/>
      <c r="CK25" s="1916"/>
      <c r="CL25" s="1916"/>
      <c r="CM25" s="1916"/>
      <c r="CN25" s="1916"/>
      <c r="CO25" s="1916"/>
      <c r="CP25" s="1916"/>
      <c r="CQ25" s="1916"/>
      <c r="CR25" s="1916"/>
      <c r="CS25" s="1916"/>
      <c r="CT25" s="1916"/>
      <c r="CU25" s="1916"/>
      <c r="CV25" s="1916"/>
      <c r="CW25" s="1916"/>
      <c r="CX25" s="1916"/>
      <c r="CY25" s="1916"/>
      <c r="CZ25" s="1916"/>
      <c r="DA25" s="1916"/>
      <c r="DB25" s="1916"/>
      <c r="DC25" s="1916"/>
      <c r="DD25" s="1916"/>
      <c r="DE25" s="1916"/>
      <c r="DF25" s="1916"/>
      <c r="DG25" s="1916"/>
      <c r="DH25" s="1916"/>
      <c r="DI25" s="1916"/>
      <c r="DJ25" s="1916"/>
      <c r="DK25" s="1916"/>
      <c r="DL25" s="1916"/>
      <c r="DM25" s="1916"/>
      <c r="DN25" s="1916"/>
      <c r="DO25" s="1916"/>
      <c r="DP25" s="1916"/>
      <c r="DQ25" s="1916"/>
      <c r="DR25" s="1916"/>
      <c r="DS25" s="1916"/>
      <c r="DT25" s="1916"/>
      <c r="DU25" s="1916"/>
      <c r="DV25" s="1916"/>
      <c r="DW25" s="1916"/>
    </row>
    <row r="26" spans="1:127" s="2290" customFormat="1" ht="55.5" customHeight="1">
      <c r="A26" s="2214">
        <v>9</v>
      </c>
      <c r="B26" s="2286" t="str">
        <f t="shared" si="0"/>
        <v>2200001865</v>
      </c>
      <c r="C26" s="2286" t="s">
        <v>4185</v>
      </c>
      <c r="D26" s="2450">
        <v>7700</v>
      </c>
      <c r="E26" s="2286" t="s">
        <v>6750</v>
      </c>
      <c r="F26" s="2286" t="s">
        <v>16</v>
      </c>
      <c r="G26" s="2285" t="s">
        <v>6751</v>
      </c>
      <c r="H26" s="2285"/>
      <c r="I26" s="2286" t="s">
        <v>19</v>
      </c>
      <c r="J26" s="1921" t="s">
        <v>1138</v>
      </c>
      <c r="K26" s="1845" t="s">
        <v>6752</v>
      </c>
      <c r="L26" s="2288">
        <v>4439</v>
      </c>
      <c r="M26" s="2379" t="s">
        <v>6753</v>
      </c>
      <c r="N26" s="2289"/>
      <c r="O26" s="1974">
        <v>1</v>
      </c>
    </row>
    <row r="27" spans="1:127" s="2290" customFormat="1" ht="55.5" customHeight="1">
      <c r="A27" s="2165"/>
      <c r="B27" s="1495" t="str">
        <f t="shared" si="0"/>
        <v>2200001867</v>
      </c>
      <c r="C27" s="1495" t="s">
        <v>4185</v>
      </c>
      <c r="D27" s="2450"/>
      <c r="E27" s="2286"/>
      <c r="F27" s="1872" t="s">
        <v>16</v>
      </c>
      <c r="G27" s="2285"/>
      <c r="H27" s="2285"/>
      <c r="I27" s="1495" t="s">
        <v>19</v>
      </c>
      <c r="J27" s="1495" t="s">
        <v>1138</v>
      </c>
      <c r="K27" s="1497" t="s">
        <v>6754</v>
      </c>
      <c r="L27" s="2273">
        <v>2600</v>
      </c>
      <c r="M27" s="1851" t="s">
        <v>5454</v>
      </c>
      <c r="N27" s="2289"/>
      <c r="O27" s="1974">
        <v>1</v>
      </c>
    </row>
    <row r="28" spans="1:127" s="2223" customFormat="1" ht="55.5" customHeight="1">
      <c r="A28" s="2165"/>
      <c r="B28" s="1495" t="str">
        <f t="shared" si="0"/>
        <v>2200001863</v>
      </c>
      <c r="C28" s="1495" t="s">
        <v>4185</v>
      </c>
      <c r="D28" s="2201"/>
      <c r="E28" s="2118"/>
      <c r="F28" s="1872" t="s">
        <v>16</v>
      </c>
      <c r="G28" s="1921"/>
      <c r="H28" s="1921"/>
      <c r="I28" s="1495" t="s">
        <v>19</v>
      </c>
      <c r="J28" s="1495" t="s">
        <v>1138</v>
      </c>
      <c r="K28" s="1770" t="s">
        <v>6755</v>
      </c>
      <c r="L28" s="2284">
        <v>400</v>
      </c>
      <c r="M28" s="2379" t="s">
        <v>6756</v>
      </c>
      <c r="N28" s="2287" t="s">
        <v>6757</v>
      </c>
      <c r="O28" s="1974">
        <v>1</v>
      </c>
    </row>
    <row r="29" spans="1:127" s="2223" customFormat="1" ht="50.25" customHeight="1">
      <c r="A29" s="2270"/>
      <c r="B29" s="1495" t="str">
        <f t="shared" si="0"/>
        <v>2200001866</v>
      </c>
      <c r="C29" s="1495" t="s">
        <v>4185</v>
      </c>
      <c r="D29" s="2203"/>
      <c r="E29" s="1851"/>
      <c r="F29" s="1872" t="s">
        <v>16</v>
      </c>
      <c r="G29" s="1495"/>
      <c r="H29" s="1495"/>
      <c r="I29" s="1495" t="s">
        <v>19</v>
      </c>
      <c r="J29" s="1495" t="s">
        <v>1138</v>
      </c>
      <c r="K29" s="1770" t="s">
        <v>6758</v>
      </c>
      <c r="L29" s="2288">
        <v>228</v>
      </c>
      <c r="M29" s="2379" t="s">
        <v>6756</v>
      </c>
      <c r="N29" s="2287"/>
      <c r="O29" s="1974">
        <v>1</v>
      </c>
    </row>
    <row r="30" spans="1:127" s="2033" customFormat="1" ht="63" customHeight="1">
      <c r="A30" s="2473">
        <v>10</v>
      </c>
      <c r="B30" s="1461" t="str">
        <f t="shared" si="0"/>
        <v>2400001046</v>
      </c>
      <c r="C30" s="1461" t="s">
        <v>6759</v>
      </c>
      <c r="D30" s="2451">
        <f>L30+L31+L32+L33</f>
        <v>9100</v>
      </c>
      <c r="E30" s="1461" t="s">
        <v>6760</v>
      </c>
      <c r="F30" s="1461" t="s">
        <v>6761</v>
      </c>
      <c r="G30" s="1461" t="s">
        <v>6762</v>
      </c>
      <c r="H30" s="1461"/>
      <c r="I30" s="1461" t="s">
        <v>19</v>
      </c>
      <c r="J30" s="2125" t="s">
        <v>286</v>
      </c>
      <c r="K30" s="2162" t="s">
        <v>6763</v>
      </c>
      <c r="L30" s="2274">
        <v>1700</v>
      </c>
      <c r="M30" s="2378" t="s">
        <v>5937</v>
      </c>
      <c r="N30" s="2275" t="s">
        <v>3522</v>
      </c>
      <c r="O30" s="2102">
        <v>1</v>
      </c>
      <c r="P30" s="2276"/>
      <c r="Q30" s="2276"/>
      <c r="R30" s="2276"/>
      <c r="S30" s="2276"/>
      <c r="T30" s="2276"/>
      <c r="U30" s="2276"/>
      <c r="V30" s="2276"/>
      <c r="W30" s="2276"/>
      <c r="X30" s="2276"/>
      <c r="Y30" s="2276"/>
      <c r="Z30" s="2276"/>
      <c r="AA30" s="2276"/>
      <c r="AB30" s="2276"/>
      <c r="AC30" s="2276"/>
      <c r="AD30" s="2276"/>
      <c r="AE30" s="2276"/>
      <c r="AF30" s="2276"/>
      <c r="AG30" s="2276"/>
      <c r="AH30" s="2276"/>
      <c r="AI30" s="2276"/>
      <c r="AJ30" s="2276"/>
      <c r="AK30" s="2276"/>
      <c r="AL30" s="2276"/>
      <c r="AM30" s="2276"/>
      <c r="AN30" s="2276"/>
      <c r="AO30" s="2276"/>
      <c r="AP30" s="2276"/>
      <c r="AQ30" s="2276"/>
      <c r="AR30" s="2276"/>
      <c r="AS30" s="2276"/>
      <c r="AT30" s="2276"/>
      <c r="AU30" s="2276"/>
      <c r="AV30" s="2276"/>
      <c r="AW30" s="2276"/>
      <c r="AX30" s="2276"/>
      <c r="AY30" s="2276"/>
      <c r="AZ30" s="2276"/>
      <c r="BA30" s="2276"/>
      <c r="BB30" s="2276"/>
      <c r="BC30" s="2276"/>
      <c r="BD30" s="2276"/>
      <c r="BE30" s="2276"/>
      <c r="BF30" s="2276"/>
      <c r="BG30" s="2276"/>
      <c r="BH30" s="2276"/>
      <c r="BI30" s="2276"/>
      <c r="BJ30" s="2276"/>
      <c r="BK30" s="2276"/>
      <c r="BL30" s="2276"/>
      <c r="BM30" s="2276"/>
      <c r="BN30" s="2276"/>
      <c r="BO30" s="2276"/>
      <c r="BP30" s="2276"/>
      <c r="BQ30" s="2276"/>
      <c r="BR30" s="2276"/>
      <c r="BS30" s="2276"/>
      <c r="BT30" s="2276"/>
      <c r="BU30" s="2276"/>
      <c r="BV30" s="2276"/>
      <c r="BW30" s="2276"/>
      <c r="BX30" s="2276"/>
      <c r="BY30" s="2276"/>
      <c r="BZ30" s="2276"/>
      <c r="CA30" s="2276"/>
      <c r="CB30" s="2276"/>
      <c r="CC30" s="2276"/>
      <c r="CD30" s="2276"/>
      <c r="CE30" s="2276"/>
      <c r="CF30" s="2276"/>
      <c r="CG30" s="2276"/>
      <c r="CH30" s="2276"/>
      <c r="CI30" s="2276"/>
      <c r="CJ30" s="2276"/>
      <c r="CK30" s="2276"/>
      <c r="CL30" s="2276"/>
      <c r="CM30" s="2276"/>
      <c r="CN30" s="2276"/>
      <c r="CO30" s="2276"/>
      <c r="CP30" s="2276"/>
      <c r="CQ30" s="2276"/>
      <c r="CR30" s="2276"/>
      <c r="CS30" s="2276"/>
      <c r="CT30" s="2276"/>
      <c r="CU30" s="2276"/>
      <c r="CV30" s="2276"/>
      <c r="CW30" s="2276"/>
      <c r="CX30" s="2276"/>
      <c r="CY30" s="2276"/>
      <c r="CZ30" s="2276"/>
      <c r="DA30" s="2276"/>
      <c r="DB30" s="2276"/>
      <c r="DC30" s="2276"/>
      <c r="DD30" s="2276"/>
      <c r="DE30" s="2276"/>
      <c r="DF30" s="2276"/>
      <c r="DG30" s="2276"/>
      <c r="DH30" s="2276"/>
      <c r="DI30" s="2276"/>
      <c r="DJ30" s="2276"/>
      <c r="DK30" s="2276"/>
      <c r="DL30" s="2276"/>
      <c r="DM30" s="2276"/>
      <c r="DN30" s="2276"/>
      <c r="DO30" s="2276"/>
      <c r="DP30" s="2276"/>
      <c r="DQ30" s="2276"/>
      <c r="DR30" s="2276"/>
      <c r="DS30" s="2276"/>
      <c r="DT30" s="2276"/>
      <c r="DU30" s="2276"/>
      <c r="DV30" s="2276"/>
      <c r="DW30" s="2089"/>
    </row>
    <row r="31" spans="1:127" s="2033" customFormat="1" ht="63" customHeight="1">
      <c r="A31" s="2474"/>
      <c r="B31" s="1460" t="str">
        <f t="shared" si="0"/>
        <v>2400001047</v>
      </c>
      <c r="C31" s="1460" t="s">
        <v>6759</v>
      </c>
      <c r="D31" s="2452"/>
      <c r="E31" s="1460"/>
      <c r="F31" s="1460" t="s">
        <v>6761</v>
      </c>
      <c r="G31" s="1460"/>
      <c r="H31" s="1460"/>
      <c r="I31" s="1460" t="s">
        <v>19</v>
      </c>
      <c r="J31" s="2098" t="s">
        <v>286</v>
      </c>
      <c r="K31" s="1598" t="s">
        <v>6764</v>
      </c>
      <c r="L31" s="2274">
        <v>400</v>
      </c>
      <c r="M31" s="2380" t="s">
        <v>6399</v>
      </c>
      <c r="N31" s="2277" t="s">
        <v>3522</v>
      </c>
      <c r="O31" s="2102">
        <v>1</v>
      </c>
      <c r="P31" s="2276"/>
      <c r="Q31" s="2276"/>
      <c r="R31" s="2276"/>
      <c r="S31" s="2276"/>
      <c r="T31" s="2276"/>
      <c r="U31" s="2276"/>
      <c r="V31" s="2276"/>
      <c r="W31" s="2276"/>
      <c r="X31" s="2276"/>
      <c r="Y31" s="2276"/>
      <c r="Z31" s="2276"/>
      <c r="AA31" s="2276"/>
      <c r="AB31" s="2276"/>
      <c r="AC31" s="2276"/>
      <c r="AD31" s="2276"/>
      <c r="AE31" s="2276"/>
      <c r="AF31" s="2276"/>
      <c r="AG31" s="2276"/>
      <c r="AH31" s="2276"/>
      <c r="AI31" s="2276"/>
      <c r="AJ31" s="2276"/>
      <c r="AK31" s="2276"/>
      <c r="AL31" s="2276"/>
      <c r="AM31" s="2276"/>
      <c r="AN31" s="2276"/>
      <c r="AO31" s="2276"/>
      <c r="AP31" s="2276"/>
      <c r="AQ31" s="2276"/>
      <c r="AR31" s="2276"/>
      <c r="AS31" s="2276"/>
      <c r="AT31" s="2276"/>
      <c r="AU31" s="2276"/>
      <c r="AV31" s="2276"/>
      <c r="AW31" s="2276"/>
      <c r="AX31" s="2276"/>
      <c r="AY31" s="2276"/>
      <c r="AZ31" s="2276"/>
      <c r="BA31" s="2276"/>
      <c r="BB31" s="2276"/>
      <c r="BC31" s="2276"/>
      <c r="BD31" s="2276"/>
      <c r="BE31" s="2276"/>
      <c r="BF31" s="2276"/>
      <c r="BG31" s="2276"/>
      <c r="BH31" s="2276"/>
      <c r="BI31" s="2276"/>
      <c r="BJ31" s="2276"/>
      <c r="BK31" s="2276"/>
      <c r="BL31" s="2276"/>
      <c r="BM31" s="2276"/>
      <c r="BN31" s="2276"/>
      <c r="BO31" s="2276"/>
      <c r="BP31" s="2276"/>
      <c r="BQ31" s="2276"/>
      <c r="BR31" s="2276"/>
      <c r="BS31" s="2276"/>
      <c r="BT31" s="2276"/>
      <c r="BU31" s="2276"/>
      <c r="BV31" s="2276"/>
      <c r="BW31" s="2276"/>
      <c r="BX31" s="2276"/>
      <c r="BY31" s="2276"/>
      <c r="BZ31" s="2276"/>
      <c r="CA31" s="2276"/>
      <c r="CB31" s="2276"/>
      <c r="CC31" s="2276"/>
      <c r="CD31" s="2276"/>
      <c r="CE31" s="2276"/>
      <c r="CF31" s="2276"/>
      <c r="CG31" s="2276"/>
      <c r="CH31" s="2276"/>
      <c r="CI31" s="2276"/>
      <c r="CJ31" s="2276"/>
      <c r="CK31" s="2276"/>
      <c r="CL31" s="2276"/>
      <c r="CM31" s="2276"/>
      <c r="CN31" s="2276"/>
      <c r="CO31" s="2276"/>
      <c r="CP31" s="2276"/>
      <c r="CQ31" s="2276"/>
      <c r="CR31" s="2276"/>
      <c r="CS31" s="2276"/>
      <c r="CT31" s="2276"/>
      <c r="CU31" s="2276"/>
      <c r="CV31" s="2276"/>
      <c r="CW31" s="2276"/>
      <c r="CX31" s="2276"/>
      <c r="CY31" s="2276"/>
      <c r="CZ31" s="2276"/>
      <c r="DA31" s="2276"/>
      <c r="DB31" s="2276"/>
      <c r="DC31" s="2276"/>
      <c r="DD31" s="2276"/>
      <c r="DE31" s="2276"/>
      <c r="DF31" s="2276"/>
      <c r="DG31" s="2276"/>
      <c r="DH31" s="2276"/>
      <c r="DI31" s="2276"/>
      <c r="DJ31" s="2276"/>
      <c r="DK31" s="2276"/>
      <c r="DL31" s="2276"/>
      <c r="DM31" s="2276"/>
      <c r="DN31" s="2276"/>
      <c r="DO31" s="2276"/>
      <c r="DP31" s="2276"/>
      <c r="DQ31" s="2276"/>
      <c r="DR31" s="2276"/>
      <c r="DS31" s="2276"/>
      <c r="DT31" s="2276"/>
      <c r="DU31" s="2276"/>
      <c r="DV31" s="2276"/>
      <c r="DW31" s="2089"/>
    </row>
    <row r="32" spans="1:127" s="2033" customFormat="1" ht="63" customHeight="1">
      <c r="A32" s="2474"/>
      <c r="B32" s="1460" t="str">
        <f t="shared" si="0"/>
        <v>2400001048</v>
      </c>
      <c r="C32" s="1460" t="s">
        <v>6759</v>
      </c>
      <c r="D32" s="2452"/>
      <c r="E32" s="1460"/>
      <c r="F32" s="1460" t="s">
        <v>6761</v>
      </c>
      <c r="G32" s="1460"/>
      <c r="H32" s="1460"/>
      <c r="I32" s="1460" t="s">
        <v>19</v>
      </c>
      <c r="J32" s="2098" t="s">
        <v>286</v>
      </c>
      <c r="K32" s="1598" t="s">
        <v>6765</v>
      </c>
      <c r="L32" s="2274">
        <v>2250</v>
      </c>
      <c r="M32" s="2378" t="s">
        <v>5937</v>
      </c>
      <c r="N32" s="2277" t="s">
        <v>6766</v>
      </c>
      <c r="O32" s="2102">
        <v>1</v>
      </c>
      <c r="P32" s="2276"/>
      <c r="Q32" s="2276"/>
      <c r="R32" s="2276"/>
      <c r="S32" s="2276"/>
      <c r="T32" s="2276"/>
      <c r="U32" s="2276"/>
      <c r="V32" s="2276"/>
      <c r="W32" s="2276"/>
      <c r="X32" s="2276"/>
      <c r="Y32" s="2276"/>
      <c r="Z32" s="2276"/>
      <c r="AA32" s="2276"/>
      <c r="AB32" s="2276"/>
      <c r="AC32" s="2276"/>
      <c r="AD32" s="2276"/>
      <c r="AE32" s="2276"/>
      <c r="AF32" s="2276"/>
      <c r="AG32" s="2276"/>
      <c r="AH32" s="2276"/>
      <c r="AI32" s="2276"/>
      <c r="AJ32" s="2276"/>
      <c r="AK32" s="2276"/>
      <c r="AL32" s="2276"/>
      <c r="AM32" s="2276"/>
      <c r="AN32" s="2276"/>
      <c r="AO32" s="2276"/>
      <c r="AP32" s="2276"/>
      <c r="AQ32" s="2276"/>
      <c r="AR32" s="2276"/>
      <c r="AS32" s="2276"/>
      <c r="AT32" s="2276"/>
      <c r="AU32" s="2276"/>
      <c r="AV32" s="2276"/>
      <c r="AW32" s="2276"/>
      <c r="AX32" s="2276"/>
      <c r="AY32" s="2276"/>
      <c r="AZ32" s="2276"/>
      <c r="BA32" s="2276"/>
      <c r="BB32" s="2276"/>
      <c r="BC32" s="2276"/>
      <c r="BD32" s="2276"/>
      <c r="BE32" s="2276"/>
      <c r="BF32" s="2276"/>
      <c r="BG32" s="2276"/>
      <c r="BH32" s="2276"/>
      <c r="BI32" s="2276"/>
      <c r="BJ32" s="2276"/>
      <c r="BK32" s="2276"/>
      <c r="BL32" s="2276"/>
      <c r="BM32" s="2276"/>
      <c r="BN32" s="2276"/>
      <c r="BO32" s="2276"/>
      <c r="BP32" s="2276"/>
      <c r="BQ32" s="2276"/>
      <c r="BR32" s="2276"/>
      <c r="BS32" s="2276"/>
      <c r="BT32" s="2276"/>
      <c r="BU32" s="2276"/>
      <c r="BV32" s="2276"/>
      <c r="BW32" s="2276"/>
      <c r="BX32" s="2276"/>
      <c r="BY32" s="2276"/>
      <c r="BZ32" s="2276"/>
      <c r="CA32" s="2276"/>
      <c r="CB32" s="2276"/>
      <c r="CC32" s="2276"/>
      <c r="CD32" s="2276"/>
      <c r="CE32" s="2276"/>
      <c r="CF32" s="2276"/>
      <c r="CG32" s="2276"/>
      <c r="CH32" s="2276"/>
      <c r="CI32" s="2276"/>
      <c r="CJ32" s="2276"/>
      <c r="CK32" s="2276"/>
      <c r="CL32" s="2276"/>
      <c r="CM32" s="2276"/>
      <c r="CN32" s="2276"/>
      <c r="CO32" s="2276"/>
      <c r="CP32" s="2276"/>
      <c r="CQ32" s="2276"/>
      <c r="CR32" s="2276"/>
      <c r="CS32" s="2276"/>
      <c r="CT32" s="2276"/>
      <c r="CU32" s="2276"/>
      <c r="CV32" s="2276"/>
      <c r="CW32" s="2276"/>
      <c r="CX32" s="2276"/>
      <c r="CY32" s="2276"/>
      <c r="CZ32" s="2276"/>
      <c r="DA32" s="2276"/>
      <c r="DB32" s="2276"/>
      <c r="DC32" s="2276"/>
      <c r="DD32" s="2276"/>
      <c r="DE32" s="2276"/>
      <c r="DF32" s="2276"/>
      <c r="DG32" s="2276"/>
      <c r="DH32" s="2276"/>
      <c r="DI32" s="2276"/>
      <c r="DJ32" s="2276"/>
      <c r="DK32" s="2276"/>
      <c r="DL32" s="2276"/>
      <c r="DM32" s="2276"/>
      <c r="DN32" s="2276"/>
      <c r="DO32" s="2276"/>
      <c r="DP32" s="2276"/>
      <c r="DQ32" s="2276"/>
      <c r="DR32" s="2276"/>
      <c r="DS32" s="2276"/>
      <c r="DT32" s="2276"/>
      <c r="DU32" s="2276"/>
      <c r="DV32" s="2276"/>
      <c r="DW32" s="2089"/>
    </row>
    <row r="33" spans="1:127" s="2033" customFormat="1" ht="63" customHeight="1">
      <c r="A33" s="2475"/>
      <c r="B33" s="1460" t="str">
        <f t="shared" si="0"/>
        <v>2400001049</v>
      </c>
      <c r="C33" s="1460" t="s">
        <v>6759</v>
      </c>
      <c r="D33" s="2452"/>
      <c r="E33" s="1460"/>
      <c r="F33" s="1460" t="s">
        <v>6761</v>
      </c>
      <c r="G33" s="1460"/>
      <c r="H33" s="1460"/>
      <c r="I33" s="1460" t="s">
        <v>19</v>
      </c>
      <c r="J33" s="2098" t="s">
        <v>286</v>
      </c>
      <c r="K33" s="1598" t="s">
        <v>6767</v>
      </c>
      <c r="L33" s="2274">
        <v>4750</v>
      </c>
      <c r="M33" s="2378" t="s">
        <v>5937</v>
      </c>
      <c r="N33" s="2277" t="s">
        <v>6768</v>
      </c>
      <c r="O33" s="2102">
        <v>1</v>
      </c>
      <c r="P33" s="2276"/>
      <c r="Q33" s="2276"/>
      <c r="R33" s="2276"/>
      <c r="S33" s="2276"/>
      <c r="T33" s="2276"/>
      <c r="U33" s="2276"/>
      <c r="V33" s="2276"/>
      <c r="W33" s="2276"/>
      <c r="X33" s="2276"/>
      <c r="Y33" s="2276"/>
      <c r="Z33" s="2276"/>
      <c r="AA33" s="2276"/>
      <c r="AB33" s="2276"/>
      <c r="AC33" s="2276"/>
      <c r="AD33" s="2276"/>
      <c r="AE33" s="2276"/>
      <c r="AF33" s="2276"/>
      <c r="AG33" s="2276"/>
      <c r="AH33" s="2276"/>
      <c r="AI33" s="2276"/>
      <c r="AJ33" s="2276"/>
      <c r="AK33" s="2276"/>
      <c r="AL33" s="2276"/>
      <c r="AM33" s="2276"/>
      <c r="AN33" s="2276"/>
      <c r="AO33" s="2276"/>
      <c r="AP33" s="2276"/>
      <c r="AQ33" s="2276"/>
      <c r="AR33" s="2276"/>
      <c r="AS33" s="2276"/>
      <c r="AT33" s="2276"/>
      <c r="AU33" s="2276"/>
      <c r="AV33" s="2276"/>
      <c r="AW33" s="2276"/>
      <c r="AX33" s="2276"/>
      <c r="AY33" s="2276"/>
      <c r="AZ33" s="2276"/>
      <c r="BA33" s="2276"/>
      <c r="BB33" s="2276"/>
      <c r="BC33" s="2276"/>
      <c r="BD33" s="2276"/>
      <c r="BE33" s="2276"/>
      <c r="BF33" s="2276"/>
      <c r="BG33" s="2276"/>
      <c r="BH33" s="2276"/>
      <c r="BI33" s="2276"/>
      <c r="BJ33" s="2276"/>
      <c r="BK33" s="2276"/>
      <c r="BL33" s="2276"/>
      <c r="BM33" s="2276"/>
      <c r="BN33" s="2276"/>
      <c r="BO33" s="2276"/>
      <c r="BP33" s="2276"/>
      <c r="BQ33" s="2276"/>
      <c r="BR33" s="2276"/>
      <c r="BS33" s="2276"/>
      <c r="BT33" s="2276"/>
      <c r="BU33" s="2276"/>
      <c r="BV33" s="2276"/>
      <c r="BW33" s="2276"/>
      <c r="BX33" s="2276"/>
      <c r="BY33" s="2276"/>
      <c r="BZ33" s="2276"/>
      <c r="CA33" s="2276"/>
      <c r="CB33" s="2276"/>
      <c r="CC33" s="2276"/>
      <c r="CD33" s="2276"/>
      <c r="CE33" s="2276"/>
      <c r="CF33" s="2276"/>
      <c r="CG33" s="2276"/>
      <c r="CH33" s="2276"/>
      <c r="CI33" s="2276"/>
      <c r="CJ33" s="2276"/>
      <c r="CK33" s="2276"/>
      <c r="CL33" s="2276"/>
      <c r="CM33" s="2276"/>
      <c r="CN33" s="2276"/>
      <c r="CO33" s="2276"/>
      <c r="CP33" s="2276"/>
      <c r="CQ33" s="2276"/>
      <c r="CR33" s="2276"/>
      <c r="CS33" s="2276"/>
      <c r="CT33" s="2276"/>
      <c r="CU33" s="2276"/>
      <c r="CV33" s="2276"/>
      <c r="CW33" s="2276"/>
      <c r="CX33" s="2276"/>
      <c r="CY33" s="2276"/>
      <c r="CZ33" s="2276"/>
      <c r="DA33" s="2276"/>
      <c r="DB33" s="2276"/>
      <c r="DC33" s="2276"/>
      <c r="DD33" s="2276"/>
      <c r="DE33" s="2276"/>
      <c r="DF33" s="2276"/>
      <c r="DG33" s="2276"/>
      <c r="DH33" s="2276"/>
      <c r="DI33" s="2276"/>
      <c r="DJ33" s="2276"/>
      <c r="DK33" s="2276"/>
      <c r="DL33" s="2276"/>
      <c r="DM33" s="2276"/>
      <c r="DN33" s="2276"/>
      <c r="DO33" s="2276"/>
      <c r="DP33" s="2276"/>
      <c r="DQ33" s="2276"/>
      <c r="DR33" s="2276"/>
      <c r="DS33" s="2276"/>
      <c r="DT33" s="2276"/>
      <c r="DU33" s="2276"/>
      <c r="DV33" s="2276"/>
      <c r="DW33" s="2089"/>
    </row>
    <row r="34" spans="1:127" s="2033" customFormat="1" ht="63" customHeight="1">
      <c r="A34" s="2192">
        <v>11</v>
      </c>
      <c r="B34" s="2118" t="str">
        <f t="shared" si="0"/>
        <v>2200001867</v>
      </c>
      <c r="C34" s="2118" t="s">
        <v>98</v>
      </c>
      <c r="D34" s="2453">
        <v>4380</v>
      </c>
      <c r="E34" s="2118" t="s">
        <v>6769</v>
      </c>
      <c r="F34" s="2120" t="s">
        <v>61</v>
      </c>
      <c r="G34" s="1921" t="s">
        <v>6770</v>
      </c>
      <c r="H34" s="2159"/>
      <c r="I34" s="1921" t="s">
        <v>19</v>
      </c>
      <c r="J34" s="1921" t="s">
        <v>1138</v>
      </c>
      <c r="K34" s="1845" t="s">
        <v>6771</v>
      </c>
      <c r="L34" s="2281">
        <v>4380</v>
      </c>
      <c r="M34" s="2030" t="s">
        <v>5454</v>
      </c>
      <c r="N34" s="2130"/>
      <c r="O34" s="2102">
        <v>1</v>
      </c>
      <c r="P34" s="2122"/>
      <c r="Q34" s="2122"/>
      <c r="R34" s="2122"/>
      <c r="S34" s="2122"/>
      <c r="T34" s="2122"/>
      <c r="U34" s="2122"/>
      <c r="V34" s="2122"/>
      <c r="W34" s="2122"/>
      <c r="X34" s="2122"/>
      <c r="Y34" s="2122"/>
      <c r="Z34" s="2122"/>
      <c r="AA34" s="2122"/>
      <c r="AB34" s="2122"/>
      <c r="AC34" s="2122"/>
      <c r="AD34" s="2122"/>
      <c r="AE34" s="2122"/>
      <c r="AF34" s="2122"/>
      <c r="AG34" s="2122"/>
      <c r="AH34" s="2122"/>
      <c r="AI34" s="2122"/>
      <c r="AJ34" s="2122"/>
      <c r="AK34" s="2122"/>
      <c r="AL34" s="2122"/>
      <c r="AM34" s="2122"/>
      <c r="AN34" s="2122"/>
      <c r="AO34" s="2122"/>
      <c r="AP34" s="2122"/>
      <c r="AQ34" s="2122"/>
      <c r="AR34" s="2122"/>
      <c r="AS34" s="2122"/>
      <c r="AT34" s="2122"/>
      <c r="AU34" s="2122"/>
      <c r="AV34" s="2122"/>
      <c r="AW34" s="2122"/>
      <c r="AX34" s="2122"/>
      <c r="AY34" s="2122"/>
      <c r="AZ34" s="2122"/>
      <c r="BA34" s="2122"/>
      <c r="BB34" s="2122"/>
      <c r="BC34" s="2122"/>
      <c r="BD34" s="2122"/>
      <c r="BE34" s="2122"/>
      <c r="BF34" s="2122"/>
      <c r="BG34" s="2122"/>
      <c r="BH34" s="2122"/>
      <c r="BI34" s="2122"/>
      <c r="BJ34" s="2122"/>
      <c r="BK34" s="2122"/>
      <c r="BL34" s="2122"/>
      <c r="BM34" s="2122"/>
      <c r="BN34" s="2122"/>
      <c r="BO34" s="2122"/>
      <c r="BP34" s="2122"/>
      <c r="BQ34" s="2122"/>
      <c r="BR34" s="2122"/>
      <c r="BS34" s="2122"/>
      <c r="BT34" s="2122"/>
      <c r="BU34" s="2122"/>
      <c r="BV34" s="2122"/>
      <c r="BW34" s="2122"/>
      <c r="BX34" s="2122"/>
      <c r="BY34" s="2122"/>
      <c r="BZ34" s="2122"/>
      <c r="CA34" s="2122"/>
      <c r="CB34" s="2122"/>
      <c r="CC34" s="2122"/>
      <c r="CD34" s="2122"/>
      <c r="CE34" s="2122"/>
      <c r="CF34" s="2122"/>
      <c r="CG34" s="2122"/>
      <c r="CH34" s="2122"/>
      <c r="CI34" s="2122"/>
      <c r="CJ34" s="2122"/>
      <c r="CK34" s="2122"/>
      <c r="CL34" s="2122"/>
      <c r="CM34" s="2122"/>
      <c r="CN34" s="2122"/>
      <c r="CO34" s="2122"/>
      <c r="CP34" s="2122"/>
      <c r="CQ34" s="2122"/>
      <c r="CR34" s="2122"/>
      <c r="CS34" s="2122"/>
      <c r="CT34" s="2122"/>
      <c r="CU34" s="2122"/>
      <c r="CV34" s="2122"/>
      <c r="CW34" s="2122"/>
      <c r="CX34" s="2122"/>
      <c r="CY34" s="2122"/>
      <c r="CZ34" s="2122"/>
      <c r="DA34" s="2122"/>
      <c r="DB34" s="2122"/>
      <c r="DC34" s="2122"/>
      <c r="DD34" s="2122"/>
      <c r="DE34" s="2122"/>
      <c r="DF34" s="2122"/>
      <c r="DG34" s="2122"/>
      <c r="DH34" s="2122"/>
      <c r="DI34" s="2122"/>
      <c r="DJ34" s="2122"/>
      <c r="DK34" s="2122"/>
      <c r="DL34" s="2122"/>
      <c r="DM34" s="2122"/>
      <c r="DN34" s="2122"/>
      <c r="DO34" s="2122"/>
      <c r="DP34" s="2122"/>
      <c r="DQ34" s="2122"/>
      <c r="DR34" s="2122"/>
      <c r="DS34" s="2122"/>
      <c r="DT34" s="2122"/>
      <c r="DU34" s="2122"/>
      <c r="DV34" s="2122"/>
    </row>
    <row r="35" spans="1:127" s="2033" customFormat="1" ht="63" customHeight="1">
      <c r="A35" s="2270">
        <v>12</v>
      </c>
      <c r="B35" s="1921" t="str">
        <f t="shared" si="0"/>
        <v>2000002668</v>
      </c>
      <c r="C35" s="1921" t="s">
        <v>3211</v>
      </c>
      <c r="D35" s="2201">
        <v>4200</v>
      </c>
      <c r="E35" s="1921" t="s">
        <v>6772</v>
      </c>
      <c r="F35" s="1921" t="s">
        <v>84</v>
      </c>
      <c r="G35" s="1561" t="s">
        <v>6773</v>
      </c>
      <c r="H35" s="2278" t="s">
        <v>6317</v>
      </c>
      <c r="I35" s="2279" t="s">
        <v>19</v>
      </c>
      <c r="J35" s="1921" t="s">
        <v>20</v>
      </c>
      <c r="K35" s="2194" t="s">
        <v>6774</v>
      </c>
      <c r="L35" s="2280">
        <v>4200</v>
      </c>
      <c r="M35" s="1748" t="s">
        <v>6775</v>
      </c>
      <c r="N35" s="2264"/>
      <c r="O35" s="2102">
        <v>1</v>
      </c>
      <c r="P35" s="2150"/>
      <c r="Q35" s="2150"/>
      <c r="R35" s="2150"/>
      <c r="S35" s="2150"/>
      <c r="T35" s="2150"/>
      <c r="U35" s="2150"/>
      <c r="V35" s="2150"/>
      <c r="W35" s="2150"/>
      <c r="X35" s="2150"/>
      <c r="Y35" s="2150"/>
      <c r="Z35" s="2150"/>
      <c r="AA35" s="2150"/>
      <c r="AB35" s="2150"/>
      <c r="AC35" s="2150"/>
      <c r="AD35" s="2150"/>
      <c r="AE35" s="2150"/>
      <c r="AF35" s="2150"/>
      <c r="AG35" s="2150"/>
      <c r="AH35" s="2150"/>
      <c r="AI35" s="2150"/>
      <c r="AJ35" s="2150"/>
      <c r="AK35" s="2150"/>
      <c r="AL35" s="2150"/>
      <c r="AM35" s="2150"/>
      <c r="AN35" s="2150"/>
      <c r="AO35" s="2150"/>
      <c r="AP35" s="2150"/>
      <c r="AQ35" s="2150"/>
      <c r="AR35" s="2150"/>
      <c r="AS35" s="2150"/>
      <c r="AT35" s="2150"/>
      <c r="AU35" s="2150"/>
      <c r="AV35" s="2150"/>
      <c r="AW35" s="2150"/>
      <c r="AX35" s="2150"/>
      <c r="AY35" s="2150"/>
      <c r="AZ35" s="2150"/>
      <c r="BA35" s="2150"/>
      <c r="BB35" s="2150"/>
      <c r="BC35" s="2150"/>
      <c r="BD35" s="2150"/>
      <c r="BE35" s="2150"/>
      <c r="BF35" s="2150"/>
      <c r="BG35" s="2150"/>
      <c r="BH35" s="2150"/>
      <c r="BI35" s="2150"/>
      <c r="BJ35" s="2150"/>
      <c r="BK35" s="2150"/>
      <c r="BL35" s="2150"/>
      <c r="BM35" s="2150"/>
      <c r="BN35" s="2150"/>
      <c r="BO35" s="2150"/>
      <c r="BP35" s="2150"/>
      <c r="BQ35" s="2150"/>
      <c r="BR35" s="2150"/>
      <c r="BS35" s="2150"/>
      <c r="BT35" s="2150"/>
      <c r="BU35" s="2150"/>
      <c r="BV35" s="2150"/>
      <c r="BW35" s="2150"/>
      <c r="BX35" s="2150"/>
      <c r="BY35" s="2150"/>
      <c r="BZ35" s="2150"/>
      <c r="CA35" s="2150"/>
      <c r="CB35" s="2150"/>
      <c r="CC35" s="2150"/>
      <c r="CD35" s="2150"/>
      <c r="CE35" s="2150"/>
      <c r="CF35" s="2150"/>
      <c r="CG35" s="2150"/>
      <c r="CH35" s="2150"/>
      <c r="CI35" s="2150"/>
      <c r="CJ35" s="2150"/>
      <c r="CK35" s="2150"/>
      <c r="CL35" s="2150"/>
      <c r="CM35" s="2150"/>
      <c r="CN35" s="2150"/>
      <c r="CO35" s="2150"/>
      <c r="CP35" s="2150"/>
      <c r="CQ35" s="2150"/>
      <c r="CR35" s="2150"/>
      <c r="CS35" s="2150"/>
      <c r="CT35" s="2150"/>
      <c r="CU35" s="2150"/>
      <c r="CV35" s="2150"/>
      <c r="CW35" s="2150"/>
      <c r="CX35" s="2150"/>
      <c r="CY35" s="2150"/>
      <c r="CZ35" s="2150"/>
      <c r="DA35" s="2150"/>
      <c r="DB35" s="2150"/>
      <c r="DC35" s="2150"/>
      <c r="DD35" s="2150"/>
      <c r="DE35" s="2150"/>
      <c r="DF35" s="2150"/>
      <c r="DG35" s="2150"/>
      <c r="DH35" s="2150"/>
      <c r="DI35" s="2150"/>
      <c r="DJ35" s="2150"/>
      <c r="DK35" s="2150"/>
      <c r="DL35" s="2150"/>
      <c r="DM35" s="2150"/>
      <c r="DN35" s="2150"/>
      <c r="DO35" s="2150"/>
      <c r="DP35" s="2150"/>
      <c r="DQ35" s="2150"/>
      <c r="DR35" s="2150"/>
      <c r="DS35" s="2150"/>
      <c r="DT35" s="2150"/>
      <c r="DU35" s="2150"/>
      <c r="DV35" s="2150"/>
      <c r="DW35" s="2150"/>
    </row>
    <row r="36" spans="1:127" s="2033" customFormat="1" ht="63" customHeight="1">
      <c r="A36" s="2214">
        <v>13</v>
      </c>
      <c r="B36" s="2118" t="str">
        <f t="shared" ref="B36:B67" si="1">TEXT(LEFT(K36,10),"0000000000")</f>
        <v>2000002666</v>
      </c>
      <c r="C36" s="2118" t="s">
        <v>6218</v>
      </c>
      <c r="D36" s="2453">
        <v>6000</v>
      </c>
      <c r="E36" s="2118" t="s">
        <v>6769</v>
      </c>
      <c r="F36" s="2120" t="s">
        <v>89</v>
      </c>
      <c r="G36" s="1921" t="s">
        <v>6776</v>
      </c>
      <c r="H36" s="2159" t="s">
        <v>6777</v>
      </c>
      <c r="I36" s="2118" t="s">
        <v>19</v>
      </c>
      <c r="J36" s="2186" t="s">
        <v>63</v>
      </c>
      <c r="K36" s="1557" t="s">
        <v>6778</v>
      </c>
      <c r="L36" s="2293">
        <v>6000</v>
      </c>
      <c r="M36" s="2378" t="s">
        <v>5937</v>
      </c>
      <c r="N36" s="2277" t="s">
        <v>3522</v>
      </c>
      <c r="O36" s="2102">
        <v>1</v>
      </c>
      <c r="P36" s="2122"/>
      <c r="Q36" s="2122"/>
      <c r="R36" s="2122"/>
      <c r="S36" s="2122"/>
      <c r="T36" s="2122"/>
      <c r="U36" s="2122"/>
      <c r="V36" s="2122"/>
      <c r="W36" s="2122"/>
      <c r="X36" s="2122"/>
      <c r="Y36" s="2122"/>
      <c r="Z36" s="2122"/>
      <c r="AA36" s="2122"/>
      <c r="AB36" s="2122"/>
      <c r="AC36" s="2122"/>
      <c r="AD36" s="2122"/>
      <c r="AE36" s="2122"/>
      <c r="AF36" s="2122"/>
      <c r="AG36" s="2122"/>
      <c r="AH36" s="2122"/>
      <c r="AI36" s="2122"/>
      <c r="AJ36" s="2122"/>
      <c r="AK36" s="2122"/>
      <c r="AL36" s="2122"/>
      <c r="AM36" s="2122"/>
      <c r="AN36" s="2122"/>
      <c r="AO36" s="2122"/>
      <c r="AP36" s="2122"/>
      <c r="AQ36" s="2122"/>
      <c r="AR36" s="2122"/>
      <c r="AS36" s="2122"/>
      <c r="AT36" s="2122"/>
      <c r="AU36" s="2122"/>
      <c r="AV36" s="2122"/>
      <c r="AW36" s="2122"/>
      <c r="AX36" s="2122"/>
      <c r="AY36" s="2122"/>
      <c r="AZ36" s="2122"/>
      <c r="BA36" s="2122"/>
      <c r="BB36" s="2122"/>
      <c r="BC36" s="2122"/>
      <c r="BD36" s="2122"/>
      <c r="BE36" s="2122"/>
      <c r="BF36" s="2122"/>
      <c r="BG36" s="2122"/>
      <c r="BH36" s="2122"/>
      <c r="BI36" s="2122"/>
      <c r="BJ36" s="2122"/>
      <c r="BK36" s="2122"/>
      <c r="BL36" s="2122"/>
      <c r="BM36" s="2122"/>
      <c r="BN36" s="2122"/>
      <c r="BO36" s="2122"/>
      <c r="BP36" s="2122"/>
      <c r="BQ36" s="2122"/>
      <c r="BR36" s="2122"/>
      <c r="BS36" s="2122"/>
      <c r="BT36" s="2122"/>
      <c r="BU36" s="2122"/>
      <c r="BV36" s="2122"/>
      <c r="BW36" s="2122"/>
      <c r="BX36" s="2122"/>
      <c r="BY36" s="2122"/>
      <c r="BZ36" s="2122"/>
      <c r="CA36" s="2122"/>
      <c r="CB36" s="2122"/>
      <c r="CC36" s="2122"/>
      <c r="CD36" s="2122"/>
      <c r="CE36" s="2122"/>
      <c r="CF36" s="2122"/>
      <c r="CG36" s="2122"/>
      <c r="CH36" s="2122"/>
      <c r="CI36" s="2122"/>
      <c r="CJ36" s="2122"/>
      <c r="CK36" s="2122"/>
      <c r="CL36" s="2122"/>
      <c r="CM36" s="2122"/>
      <c r="CN36" s="2122"/>
      <c r="CO36" s="2122"/>
      <c r="CP36" s="2122"/>
      <c r="CQ36" s="2122"/>
      <c r="CR36" s="2122"/>
      <c r="CS36" s="2122"/>
      <c r="CT36" s="2122"/>
      <c r="CU36" s="2122"/>
      <c r="CV36" s="2122"/>
      <c r="CW36" s="2122"/>
      <c r="CX36" s="2122"/>
      <c r="CY36" s="2122"/>
      <c r="CZ36" s="2122"/>
      <c r="DA36" s="2122"/>
      <c r="DB36" s="2122"/>
      <c r="DC36" s="2122"/>
      <c r="DD36" s="2122"/>
      <c r="DE36" s="2122"/>
      <c r="DF36" s="2122"/>
      <c r="DG36" s="2122"/>
      <c r="DH36" s="2122"/>
      <c r="DI36" s="2122"/>
      <c r="DJ36" s="2122"/>
      <c r="DK36" s="2122"/>
      <c r="DL36" s="2122"/>
      <c r="DM36" s="2122"/>
      <c r="DN36" s="2122"/>
      <c r="DO36" s="2122"/>
      <c r="DP36" s="2122"/>
      <c r="DQ36" s="2122"/>
      <c r="DR36" s="2122"/>
      <c r="DS36" s="2122"/>
      <c r="DT36" s="2122"/>
      <c r="DU36" s="2122"/>
      <c r="DV36" s="2122"/>
    </row>
    <row r="37" spans="1:127" s="2033" customFormat="1" ht="63" customHeight="1">
      <c r="A37" s="2270"/>
      <c r="B37" s="1851" t="str">
        <f t="shared" si="1"/>
        <v>2200001864</v>
      </c>
      <c r="C37" s="1851" t="s">
        <v>6218</v>
      </c>
      <c r="D37" s="2454"/>
      <c r="E37" s="1851"/>
      <c r="F37" s="1872" t="s">
        <v>89</v>
      </c>
      <c r="G37" s="1495"/>
      <c r="H37" s="1947"/>
      <c r="I37" s="1773" t="s">
        <v>19</v>
      </c>
      <c r="J37" s="1495" t="s">
        <v>63</v>
      </c>
      <c r="K37" s="1496" t="s">
        <v>6779</v>
      </c>
      <c r="L37" s="2294">
        <v>90</v>
      </c>
      <c r="M37" s="2295" t="s">
        <v>6756</v>
      </c>
      <c r="N37" s="2277"/>
      <c r="O37" s="2102">
        <v>1</v>
      </c>
      <c r="P37" s="1883"/>
      <c r="Q37" s="1883"/>
      <c r="R37" s="1883"/>
      <c r="S37" s="1883"/>
      <c r="T37" s="1883"/>
      <c r="U37" s="1883"/>
      <c r="V37" s="1883"/>
      <c r="W37" s="1883"/>
      <c r="X37" s="1883"/>
      <c r="Y37" s="1883"/>
      <c r="Z37" s="1883"/>
      <c r="AA37" s="1883"/>
      <c r="AB37" s="1883"/>
      <c r="AC37" s="1883"/>
      <c r="AD37" s="1883"/>
      <c r="AE37" s="1883"/>
      <c r="AF37" s="1883"/>
      <c r="AG37" s="1883"/>
      <c r="AH37" s="1883"/>
      <c r="AI37" s="1883"/>
      <c r="AJ37" s="1883"/>
      <c r="AK37" s="1883"/>
      <c r="AL37" s="1883"/>
      <c r="AM37" s="1883"/>
      <c r="AN37" s="1883"/>
      <c r="AO37" s="1883"/>
      <c r="AP37" s="1883"/>
      <c r="AQ37" s="1883"/>
      <c r="AR37" s="1883"/>
      <c r="AS37" s="1883"/>
      <c r="AT37" s="1883"/>
      <c r="AU37" s="1883"/>
      <c r="AV37" s="1883"/>
      <c r="AW37" s="1883"/>
      <c r="AX37" s="1883"/>
      <c r="AY37" s="1883"/>
      <c r="AZ37" s="1883"/>
      <c r="BA37" s="1883"/>
      <c r="BB37" s="1883"/>
      <c r="BC37" s="1883"/>
      <c r="BD37" s="1883"/>
      <c r="BE37" s="1883"/>
      <c r="BF37" s="1883"/>
      <c r="BG37" s="1883"/>
      <c r="BH37" s="1883"/>
      <c r="BI37" s="1883"/>
      <c r="BJ37" s="1883"/>
      <c r="BK37" s="1883"/>
      <c r="BL37" s="1883"/>
      <c r="BM37" s="1883"/>
      <c r="BN37" s="1883"/>
      <c r="BO37" s="1883"/>
      <c r="BP37" s="1883"/>
      <c r="BQ37" s="1883"/>
      <c r="BR37" s="1883"/>
      <c r="BS37" s="1883"/>
      <c r="BT37" s="1883"/>
      <c r="BU37" s="1883"/>
      <c r="BV37" s="1883"/>
      <c r="BW37" s="1883"/>
      <c r="BX37" s="1883"/>
      <c r="BY37" s="1883"/>
      <c r="BZ37" s="1883"/>
      <c r="CA37" s="1883"/>
      <c r="CB37" s="1883"/>
      <c r="CC37" s="1883"/>
      <c r="CD37" s="1883"/>
      <c r="CE37" s="1883"/>
      <c r="CF37" s="1883"/>
      <c r="CG37" s="1883"/>
      <c r="CH37" s="1883"/>
      <c r="CI37" s="1883"/>
      <c r="CJ37" s="1883"/>
      <c r="CK37" s="1883"/>
      <c r="CL37" s="1883"/>
      <c r="CM37" s="1883"/>
      <c r="CN37" s="1883"/>
      <c r="CO37" s="1883"/>
      <c r="CP37" s="1883"/>
      <c r="CQ37" s="1883"/>
      <c r="CR37" s="1883"/>
      <c r="CS37" s="1883"/>
      <c r="CT37" s="1883"/>
      <c r="CU37" s="1883"/>
      <c r="CV37" s="1883"/>
      <c r="CW37" s="1883"/>
      <c r="CX37" s="1883"/>
      <c r="CY37" s="1883"/>
      <c r="CZ37" s="1883"/>
      <c r="DA37" s="1883"/>
      <c r="DB37" s="1883"/>
      <c r="DC37" s="1883"/>
      <c r="DD37" s="1883"/>
      <c r="DE37" s="1883"/>
      <c r="DF37" s="1883"/>
      <c r="DG37" s="1883"/>
      <c r="DH37" s="1883"/>
      <c r="DI37" s="1883"/>
      <c r="DJ37" s="1883"/>
      <c r="DK37" s="1883"/>
      <c r="DL37" s="1883"/>
      <c r="DM37" s="1883"/>
      <c r="DN37" s="1883"/>
      <c r="DO37" s="1883"/>
      <c r="DP37" s="1883"/>
      <c r="DQ37" s="1883"/>
      <c r="DR37" s="1883"/>
      <c r="DS37" s="1883"/>
      <c r="DT37" s="1883"/>
      <c r="DU37" s="1883"/>
      <c r="DV37" s="1883"/>
      <c r="DW37" s="1994"/>
    </row>
    <row r="38" spans="1:127" s="2033" customFormat="1" ht="63" customHeight="1">
      <c r="A38" s="2214">
        <v>14</v>
      </c>
      <c r="B38" s="2118" t="str">
        <f t="shared" si="1"/>
        <v>2200001883</v>
      </c>
      <c r="C38" s="2118" t="s">
        <v>5319</v>
      </c>
      <c r="D38" s="2455">
        <v>12000</v>
      </c>
      <c r="E38" s="1921" t="s">
        <v>6780</v>
      </c>
      <c r="F38" s="1921" t="s">
        <v>3401</v>
      </c>
      <c r="G38" s="1921" t="s">
        <v>6781</v>
      </c>
      <c r="H38" s="2219" t="s">
        <v>6777</v>
      </c>
      <c r="I38" s="2297" t="s">
        <v>19</v>
      </c>
      <c r="J38" s="2298" t="s">
        <v>1138</v>
      </c>
      <c r="K38" s="1845" t="s">
        <v>6782</v>
      </c>
      <c r="L38" s="2299">
        <v>12000</v>
      </c>
      <c r="M38" s="1495" t="s">
        <v>5937</v>
      </c>
      <c r="N38" s="2264"/>
      <c r="O38" s="2208">
        <v>1</v>
      </c>
      <c r="P38" s="2150"/>
      <c r="Q38" s="2150"/>
      <c r="R38" s="2150"/>
      <c r="S38" s="2150"/>
      <c r="T38" s="2150"/>
      <c r="U38" s="2150"/>
      <c r="V38" s="2150"/>
      <c r="W38" s="2150"/>
      <c r="X38" s="2150"/>
      <c r="Y38" s="2150"/>
      <c r="Z38" s="2150"/>
      <c r="AA38" s="2150"/>
      <c r="AB38" s="2150"/>
      <c r="AC38" s="2150"/>
      <c r="AD38" s="2150"/>
      <c r="AE38" s="2150"/>
      <c r="AF38" s="2150"/>
      <c r="AG38" s="2150"/>
      <c r="AH38" s="2150"/>
      <c r="AI38" s="2150"/>
      <c r="AJ38" s="2150"/>
      <c r="AK38" s="2150"/>
      <c r="AL38" s="2150"/>
      <c r="AM38" s="2150"/>
      <c r="AN38" s="2150"/>
      <c r="AO38" s="2150"/>
      <c r="AP38" s="2150"/>
      <c r="AQ38" s="2150"/>
      <c r="AR38" s="2150"/>
      <c r="AS38" s="2150"/>
      <c r="AT38" s="2150"/>
      <c r="AU38" s="2150"/>
      <c r="AV38" s="2150"/>
      <c r="AW38" s="2150"/>
      <c r="AX38" s="2150"/>
      <c r="AY38" s="2150"/>
      <c r="AZ38" s="2150"/>
      <c r="BA38" s="2150"/>
      <c r="BB38" s="2150"/>
      <c r="BC38" s="2150"/>
      <c r="BD38" s="2150"/>
      <c r="BE38" s="2150"/>
      <c r="BF38" s="2150"/>
      <c r="BG38" s="2150"/>
      <c r="BH38" s="2150"/>
      <c r="BI38" s="2150"/>
      <c r="BJ38" s="2150"/>
      <c r="BK38" s="2150"/>
      <c r="BL38" s="2150"/>
      <c r="BM38" s="2150"/>
      <c r="BN38" s="2150"/>
      <c r="BO38" s="2150"/>
      <c r="BP38" s="2150"/>
      <c r="BQ38" s="2150"/>
      <c r="BR38" s="2150"/>
      <c r="BS38" s="2150"/>
      <c r="BT38" s="2150"/>
      <c r="BU38" s="2150"/>
      <c r="BV38" s="2150"/>
      <c r="BW38" s="2150"/>
      <c r="BX38" s="2150"/>
      <c r="BY38" s="2150"/>
      <c r="BZ38" s="2150"/>
      <c r="CA38" s="2150"/>
      <c r="CB38" s="2150"/>
      <c r="CC38" s="2150"/>
      <c r="CD38" s="2150"/>
      <c r="CE38" s="2150"/>
      <c r="CF38" s="2150"/>
      <c r="CG38" s="2150"/>
      <c r="CH38" s="2150"/>
      <c r="CI38" s="2150"/>
      <c r="CJ38" s="2150"/>
      <c r="CK38" s="2150"/>
      <c r="CL38" s="2150"/>
      <c r="CM38" s="2150"/>
      <c r="CN38" s="2150"/>
      <c r="CO38" s="2150"/>
      <c r="CP38" s="2150"/>
      <c r="CQ38" s="2150"/>
      <c r="CR38" s="2150"/>
      <c r="CS38" s="2150"/>
      <c r="CT38" s="2150"/>
      <c r="CU38" s="2150"/>
      <c r="CV38" s="2150"/>
      <c r="CW38" s="2150"/>
      <c r="CX38" s="2150"/>
      <c r="CY38" s="2150"/>
      <c r="CZ38" s="2150"/>
      <c r="DA38" s="2150"/>
      <c r="DB38" s="2150"/>
      <c r="DC38" s="2150"/>
      <c r="DD38" s="2150"/>
      <c r="DE38" s="2150"/>
      <c r="DF38" s="2150"/>
      <c r="DG38" s="2150"/>
      <c r="DH38" s="2150"/>
      <c r="DI38" s="2150"/>
      <c r="DJ38" s="2150"/>
      <c r="DK38" s="2150"/>
      <c r="DL38" s="2150"/>
      <c r="DM38" s="2150"/>
      <c r="DN38" s="2150"/>
      <c r="DO38" s="2150"/>
      <c r="DP38" s="2150"/>
      <c r="DQ38" s="2150"/>
      <c r="DR38" s="2150"/>
      <c r="DS38" s="2150"/>
      <c r="DT38" s="2150"/>
      <c r="DU38" s="2150"/>
      <c r="DV38" s="2150"/>
      <c r="DW38" s="2150"/>
    </row>
    <row r="39" spans="1:127" s="2033" customFormat="1" ht="104.25" customHeight="1">
      <c r="A39" s="2192">
        <v>15</v>
      </c>
      <c r="B39" s="1921" t="str">
        <f t="shared" si="1"/>
        <v>2000002668</v>
      </c>
      <c r="C39" s="1921" t="s">
        <v>5512</v>
      </c>
      <c r="D39" s="2201">
        <v>4270</v>
      </c>
      <c r="E39" s="2118" t="s">
        <v>6783</v>
      </c>
      <c r="F39" s="1921" t="s">
        <v>84</v>
      </c>
      <c r="G39" s="1921" t="s">
        <v>6784</v>
      </c>
      <c r="H39" s="2159" t="s">
        <v>6777</v>
      </c>
      <c r="I39" s="1921" t="s">
        <v>19</v>
      </c>
      <c r="J39" s="1921" t="s">
        <v>20</v>
      </c>
      <c r="K39" s="2194" t="s">
        <v>6785</v>
      </c>
      <c r="L39" s="2280">
        <v>4200</v>
      </c>
      <c r="M39" s="1748" t="s">
        <v>6786</v>
      </c>
      <c r="N39" s="2264" t="s">
        <v>6787</v>
      </c>
      <c r="O39" s="2102">
        <v>1</v>
      </c>
      <c r="P39" s="2150"/>
      <c r="Q39" s="2150"/>
      <c r="R39" s="2150"/>
      <c r="S39" s="2150"/>
      <c r="T39" s="2150"/>
      <c r="U39" s="2150"/>
      <c r="V39" s="2150"/>
      <c r="W39" s="2150"/>
      <c r="X39" s="2150"/>
      <c r="Y39" s="2150"/>
      <c r="Z39" s="2150"/>
      <c r="AA39" s="2150"/>
      <c r="AB39" s="2150"/>
      <c r="AC39" s="2150"/>
      <c r="AD39" s="2150"/>
      <c r="AE39" s="2150"/>
      <c r="AF39" s="2150"/>
      <c r="AG39" s="2150"/>
      <c r="AH39" s="2150"/>
      <c r="AI39" s="2150"/>
      <c r="AJ39" s="2150"/>
      <c r="AK39" s="2150"/>
      <c r="AL39" s="2150"/>
      <c r="AM39" s="2150"/>
      <c r="AN39" s="2150"/>
      <c r="AO39" s="2150"/>
      <c r="AP39" s="2150"/>
      <c r="AQ39" s="2150"/>
      <c r="AR39" s="2150"/>
      <c r="AS39" s="2150"/>
      <c r="AT39" s="2150"/>
      <c r="AU39" s="2150"/>
      <c r="AV39" s="2150"/>
      <c r="AW39" s="2150"/>
      <c r="AX39" s="2150"/>
      <c r="AY39" s="2150"/>
      <c r="AZ39" s="2150"/>
      <c r="BA39" s="2150"/>
      <c r="BB39" s="2150"/>
      <c r="BC39" s="2150"/>
      <c r="BD39" s="2150"/>
      <c r="BE39" s="2150"/>
      <c r="BF39" s="2150"/>
      <c r="BG39" s="2150"/>
      <c r="BH39" s="2150"/>
      <c r="BI39" s="2150"/>
      <c r="BJ39" s="2150"/>
      <c r="BK39" s="2150"/>
      <c r="BL39" s="2150"/>
      <c r="BM39" s="2150"/>
      <c r="BN39" s="2150"/>
      <c r="BO39" s="2150"/>
      <c r="BP39" s="2150"/>
      <c r="BQ39" s="2150"/>
      <c r="BR39" s="2150"/>
      <c r="BS39" s="2150"/>
      <c r="BT39" s="2150"/>
      <c r="BU39" s="2150"/>
      <c r="BV39" s="2150"/>
      <c r="BW39" s="2150"/>
      <c r="BX39" s="2150"/>
      <c r="BY39" s="2150"/>
      <c r="BZ39" s="2150"/>
      <c r="CA39" s="2150"/>
      <c r="CB39" s="2150"/>
      <c r="CC39" s="2150"/>
      <c r="CD39" s="2150"/>
      <c r="CE39" s="2150"/>
      <c r="CF39" s="2150"/>
      <c r="CG39" s="2150"/>
      <c r="CH39" s="2150"/>
      <c r="CI39" s="2150"/>
      <c r="CJ39" s="2150"/>
      <c r="CK39" s="2150"/>
      <c r="CL39" s="2150"/>
      <c r="CM39" s="2150"/>
      <c r="CN39" s="2150"/>
      <c r="CO39" s="2150"/>
      <c r="CP39" s="2150"/>
      <c r="CQ39" s="2150"/>
      <c r="CR39" s="2150"/>
      <c r="CS39" s="2150"/>
      <c r="CT39" s="2150"/>
      <c r="CU39" s="2150"/>
      <c r="CV39" s="2150"/>
      <c r="CW39" s="2150"/>
      <c r="CX39" s="2150"/>
      <c r="CY39" s="2150"/>
      <c r="CZ39" s="2150"/>
      <c r="DA39" s="2150"/>
      <c r="DB39" s="2150"/>
      <c r="DC39" s="2150"/>
      <c r="DD39" s="2150"/>
      <c r="DE39" s="2150"/>
      <c r="DF39" s="2150"/>
      <c r="DG39" s="2150"/>
      <c r="DH39" s="2150"/>
      <c r="DI39" s="2150"/>
      <c r="DJ39" s="2150"/>
      <c r="DK39" s="2150"/>
      <c r="DL39" s="2150"/>
      <c r="DM39" s="2150"/>
      <c r="DN39" s="2150"/>
      <c r="DO39" s="2150"/>
      <c r="DP39" s="2150"/>
      <c r="DQ39" s="2150"/>
      <c r="DR39" s="2150"/>
      <c r="DS39" s="2150"/>
      <c r="DT39" s="2150"/>
      <c r="DU39" s="2150"/>
      <c r="DV39" s="2150"/>
      <c r="DW39" s="2150"/>
    </row>
    <row r="40" spans="1:127" s="1916" customFormat="1" ht="54.75" customHeight="1">
      <c r="A40" s="3773">
        <v>16</v>
      </c>
      <c r="B40" s="2118" t="str">
        <f t="shared" si="1"/>
        <v>2000002670</v>
      </c>
      <c r="C40" s="2118" t="s">
        <v>3109</v>
      </c>
      <c r="D40" s="2453">
        <v>18500</v>
      </c>
      <c r="E40" s="2118" t="s">
        <v>6788</v>
      </c>
      <c r="F40" s="1561" t="s">
        <v>3401</v>
      </c>
      <c r="G40" s="1921" t="s">
        <v>6789</v>
      </c>
      <c r="H40" s="2159" t="s">
        <v>6777</v>
      </c>
      <c r="I40" s="1921" t="s">
        <v>19</v>
      </c>
      <c r="J40" s="1921" t="s">
        <v>6555</v>
      </c>
      <c r="K40" s="2617" t="s">
        <v>6790</v>
      </c>
      <c r="L40" s="2284">
        <v>3000</v>
      </c>
      <c r="M40" s="2381" t="s">
        <v>5937</v>
      </c>
      <c r="N40" s="2331"/>
      <c r="O40" s="1872">
        <v>1</v>
      </c>
      <c r="P40" s="2122"/>
      <c r="Q40" s="2122"/>
      <c r="R40" s="2122"/>
      <c r="S40" s="2122"/>
      <c r="T40" s="2122"/>
      <c r="U40" s="2122"/>
      <c r="V40" s="2122"/>
      <c r="W40" s="2122"/>
      <c r="X40" s="2122"/>
      <c r="Y40" s="2122"/>
      <c r="Z40" s="2122"/>
      <c r="AA40" s="2122"/>
      <c r="AB40" s="2122"/>
      <c r="AC40" s="2122"/>
      <c r="AD40" s="2122"/>
      <c r="AE40" s="2122"/>
      <c r="AF40" s="2122"/>
      <c r="AG40" s="2122"/>
      <c r="AH40" s="2122"/>
      <c r="AI40" s="2122"/>
      <c r="AJ40" s="2122"/>
      <c r="AK40" s="2122"/>
      <c r="AL40" s="2122"/>
      <c r="AM40" s="2122"/>
      <c r="AN40" s="2122"/>
      <c r="AO40" s="2122"/>
      <c r="AP40" s="2122"/>
      <c r="AQ40" s="2122"/>
      <c r="AR40" s="2122"/>
      <c r="AS40" s="2122"/>
      <c r="AT40" s="2122"/>
      <c r="AU40" s="2122"/>
      <c r="AV40" s="2122"/>
      <c r="AW40" s="2122"/>
      <c r="AX40" s="2122"/>
      <c r="AY40" s="2122"/>
      <c r="AZ40" s="2122"/>
      <c r="BA40" s="2122"/>
      <c r="BB40" s="2122"/>
      <c r="BC40" s="2122"/>
      <c r="BD40" s="2122"/>
      <c r="BE40" s="2122"/>
      <c r="BF40" s="2122"/>
      <c r="BG40" s="2122"/>
      <c r="BH40" s="2122"/>
      <c r="BI40" s="2122"/>
      <c r="BJ40" s="2122"/>
      <c r="BK40" s="2122"/>
      <c r="BL40" s="2122"/>
      <c r="BM40" s="2122"/>
      <c r="BN40" s="2122"/>
      <c r="BO40" s="2122"/>
      <c r="BP40" s="2122"/>
      <c r="BQ40" s="2122"/>
      <c r="BR40" s="2122"/>
      <c r="BS40" s="2122"/>
      <c r="BT40" s="2122"/>
      <c r="BU40" s="2122"/>
      <c r="BV40" s="2122"/>
      <c r="BW40" s="2122"/>
      <c r="BX40" s="2122"/>
      <c r="BY40" s="2122"/>
      <c r="BZ40" s="2122"/>
      <c r="CA40" s="2122"/>
      <c r="CB40" s="2122"/>
      <c r="CC40" s="2122"/>
      <c r="CD40" s="2122"/>
      <c r="CE40" s="2122"/>
      <c r="CF40" s="2122"/>
      <c r="CG40" s="2122"/>
      <c r="CH40" s="2122"/>
      <c r="CI40" s="2122"/>
      <c r="CJ40" s="2122"/>
      <c r="CK40" s="2122"/>
      <c r="CL40" s="2122"/>
      <c r="CM40" s="2122"/>
      <c r="CN40" s="2122"/>
      <c r="CO40" s="2122"/>
      <c r="CP40" s="2122"/>
      <c r="CQ40" s="2122"/>
      <c r="CR40" s="2122"/>
      <c r="CS40" s="2122"/>
      <c r="CT40" s="2122"/>
      <c r="CU40" s="2122"/>
      <c r="CV40" s="2122"/>
      <c r="CW40" s="2122"/>
      <c r="CX40" s="2122"/>
      <c r="CY40" s="2122"/>
      <c r="CZ40" s="2122"/>
      <c r="DA40" s="2122"/>
      <c r="DB40" s="2122"/>
      <c r="DC40" s="2122"/>
      <c r="DD40" s="2122"/>
      <c r="DE40" s="2122"/>
      <c r="DF40" s="2122"/>
      <c r="DG40" s="2122"/>
      <c r="DH40" s="2122"/>
      <c r="DI40" s="2122"/>
      <c r="DJ40" s="2122"/>
      <c r="DK40" s="2122"/>
      <c r="DL40" s="2122"/>
      <c r="DM40" s="2122"/>
      <c r="DN40" s="2122"/>
      <c r="DO40" s="2122"/>
      <c r="DP40" s="2122"/>
      <c r="DQ40" s="2122"/>
      <c r="DR40" s="2122"/>
      <c r="DS40" s="2122"/>
      <c r="DT40" s="2122"/>
      <c r="DU40" s="2122"/>
      <c r="DV40" s="2122"/>
      <c r="DW40" s="2033"/>
    </row>
    <row r="41" spans="1:127" s="1916" customFormat="1" ht="59.25" customHeight="1">
      <c r="A41" s="3767"/>
      <c r="B41" s="1851" t="str">
        <f t="shared" si="1"/>
        <v>2000002682</v>
      </c>
      <c r="C41" s="1851" t="s">
        <v>3109</v>
      </c>
      <c r="D41" s="2454"/>
      <c r="E41" s="1851"/>
      <c r="F41" s="1773" t="s">
        <v>3401</v>
      </c>
      <c r="G41" s="1921"/>
      <c r="H41" s="2025"/>
      <c r="I41" s="1495" t="s">
        <v>19</v>
      </c>
      <c r="J41" s="1495" t="s">
        <v>6555</v>
      </c>
      <c r="K41" s="1770" t="s">
        <v>6791</v>
      </c>
      <c r="L41" s="1770">
        <v>300</v>
      </c>
      <c r="M41" s="1851" t="s">
        <v>5454</v>
      </c>
      <c r="N41" s="2332"/>
      <c r="O41" s="1872">
        <v>1</v>
      </c>
      <c r="P41" s="2122"/>
      <c r="Q41" s="2122"/>
      <c r="R41" s="2122"/>
      <c r="S41" s="2122"/>
      <c r="T41" s="2122"/>
      <c r="U41" s="2122"/>
      <c r="V41" s="2122"/>
      <c r="W41" s="2122"/>
      <c r="X41" s="2122"/>
      <c r="Y41" s="2122"/>
      <c r="Z41" s="2122"/>
      <c r="AA41" s="2122"/>
      <c r="AB41" s="2122"/>
      <c r="AC41" s="2122"/>
      <c r="AD41" s="2122"/>
      <c r="AE41" s="2122"/>
      <c r="AF41" s="2122"/>
      <c r="AG41" s="2122"/>
      <c r="AH41" s="2122"/>
      <c r="AI41" s="2122"/>
      <c r="AJ41" s="2122"/>
      <c r="AK41" s="2122"/>
      <c r="AL41" s="2122"/>
      <c r="AM41" s="2122"/>
      <c r="AN41" s="2122"/>
      <c r="AO41" s="2122"/>
      <c r="AP41" s="2122"/>
      <c r="AQ41" s="2122"/>
      <c r="AR41" s="2122"/>
      <c r="AS41" s="2122"/>
      <c r="AT41" s="2122"/>
      <c r="AU41" s="2122"/>
      <c r="AV41" s="2122"/>
      <c r="AW41" s="2122"/>
      <c r="AX41" s="2122"/>
      <c r="AY41" s="2122"/>
      <c r="AZ41" s="2122"/>
      <c r="BA41" s="2122"/>
      <c r="BB41" s="2122"/>
      <c r="BC41" s="2122"/>
      <c r="BD41" s="2122"/>
      <c r="BE41" s="2122"/>
      <c r="BF41" s="2122"/>
      <c r="BG41" s="2122"/>
      <c r="BH41" s="2122"/>
      <c r="BI41" s="2122"/>
      <c r="BJ41" s="2122"/>
      <c r="BK41" s="2122"/>
      <c r="BL41" s="2122"/>
      <c r="BM41" s="2122"/>
      <c r="BN41" s="2122"/>
      <c r="BO41" s="2122"/>
      <c r="BP41" s="2122"/>
      <c r="BQ41" s="2122"/>
      <c r="BR41" s="2122"/>
      <c r="BS41" s="2122"/>
      <c r="BT41" s="2122"/>
      <c r="BU41" s="2122"/>
      <c r="BV41" s="2122"/>
      <c r="BW41" s="2122"/>
      <c r="BX41" s="2122"/>
      <c r="BY41" s="2122"/>
      <c r="BZ41" s="2122"/>
      <c r="CA41" s="2122"/>
      <c r="CB41" s="2122"/>
      <c r="CC41" s="2122"/>
      <c r="CD41" s="2122"/>
      <c r="CE41" s="2122"/>
      <c r="CF41" s="2122"/>
      <c r="CG41" s="2122"/>
      <c r="CH41" s="2122"/>
      <c r="CI41" s="2122"/>
      <c r="CJ41" s="2122"/>
      <c r="CK41" s="2122"/>
      <c r="CL41" s="2122"/>
      <c r="CM41" s="2122"/>
      <c r="CN41" s="2122"/>
      <c r="CO41" s="2122"/>
      <c r="CP41" s="2122"/>
      <c r="CQ41" s="2122"/>
      <c r="CR41" s="2122"/>
      <c r="CS41" s="2122"/>
      <c r="CT41" s="2122"/>
      <c r="CU41" s="2122"/>
      <c r="CV41" s="2122"/>
      <c r="CW41" s="2122"/>
      <c r="CX41" s="2122"/>
      <c r="CY41" s="2122"/>
      <c r="CZ41" s="2122"/>
      <c r="DA41" s="2122"/>
      <c r="DB41" s="2122"/>
      <c r="DC41" s="2122"/>
      <c r="DD41" s="2122"/>
      <c r="DE41" s="2122"/>
      <c r="DF41" s="2122"/>
      <c r="DG41" s="2122"/>
      <c r="DH41" s="2122"/>
      <c r="DI41" s="2122"/>
      <c r="DJ41" s="2122"/>
      <c r="DK41" s="2122"/>
      <c r="DL41" s="2122"/>
      <c r="DM41" s="2122"/>
      <c r="DN41" s="2122"/>
      <c r="DO41" s="2122"/>
      <c r="DP41" s="2122"/>
      <c r="DQ41" s="2122"/>
      <c r="DR41" s="2122"/>
      <c r="DS41" s="2122"/>
      <c r="DT41" s="2122"/>
      <c r="DU41" s="2122"/>
      <c r="DV41" s="2122"/>
      <c r="DW41" s="2033"/>
    </row>
    <row r="42" spans="1:127" s="1916" customFormat="1" ht="59.25" customHeight="1">
      <c r="A42" s="3767"/>
      <c r="B42" s="1851" t="str">
        <f t="shared" si="1"/>
        <v>2000002687</v>
      </c>
      <c r="C42" s="1851" t="s">
        <v>3109</v>
      </c>
      <c r="D42" s="2454"/>
      <c r="E42" s="1851"/>
      <c r="F42" s="1773" t="s">
        <v>3401</v>
      </c>
      <c r="G42" s="1921"/>
      <c r="H42" s="2159"/>
      <c r="I42" s="1495" t="s">
        <v>19</v>
      </c>
      <c r="J42" s="1495" t="s">
        <v>6555</v>
      </c>
      <c r="K42" s="1994" t="s">
        <v>6792</v>
      </c>
      <c r="L42" s="1883">
        <v>300</v>
      </c>
      <c r="M42" s="1851" t="s">
        <v>5454</v>
      </c>
      <c r="N42" s="2275" t="s">
        <v>6793</v>
      </c>
      <c r="O42" s="1872">
        <v>1</v>
      </c>
      <c r="P42" s="2122"/>
      <c r="Q42" s="2122"/>
      <c r="R42" s="2122"/>
      <c r="S42" s="2122"/>
      <c r="T42" s="2122"/>
      <c r="U42" s="2122"/>
      <c r="V42" s="2122"/>
      <c r="W42" s="2122"/>
      <c r="X42" s="2122"/>
      <c r="Y42" s="2122"/>
      <c r="Z42" s="2122"/>
      <c r="AA42" s="2122"/>
      <c r="AB42" s="2122"/>
      <c r="AC42" s="2122"/>
      <c r="AD42" s="2122"/>
      <c r="AE42" s="2122"/>
      <c r="AF42" s="2122"/>
      <c r="AG42" s="2122"/>
      <c r="AH42" s="2122"/>
      <c r="AI42" s="2122"/>
      <c r="AJ42" s="2122"/>
      <c r="AK42" s="2122"/>
      <c r="AL42" s="2122"/>
      <c r="AM42" s="2122"/>
      <c r="AN42" s="2122"/>
      <c r="AO42" s="2122"/>
      <c r="AP42" s="2122"/>
      <c r="AQ42" s="2122"/>
      <c r="AR42" s="2122"/>
      <c r="AS42" s="2122"/>
      <c r="AT42" s="2122"/>
      <c r="AU42" s="2122"/>
      <c r="AV42" s="2122"/>
      <c r="AW42" s="2122"/>
      <c r="AX42" s="2122"/>
      <c r="AY42" s="2122"/>
      <c r="AZ42" s="2122"/>
      <c r="BA42" s="2122"/>
      <c r="BB42" s="2122"/>
      <c r="BC42" s="2122"/>
      <c r="BD42" s="2122"/>
      <c r="BE42" s="2122"/>
      <c r="BF42" s="2122"/>
      <c r="BG42" s="2122"/>
      <c r="BH42" s="2122"/>
      <c r="BI42" s="2122"/>
      <c r="BJ42" s="2122"/>
      <c r="BK42" s="2122"/>
      <c r="BL42" s="2122"/>
      <c r="BM42" s="2122"/>
      <c r="BN42" s="2122"/>
      <c r="BO42" s="2122"/>
      <c r="BP42" s="2122"/>
      <c r="BQ42" s="2122"/>
      <c r="BR42" s="2122"/>
      <c r="BS42" s="2122"/>
      <c r="BT42" s="2122"/>
      <c r="BU42" s="2122"/>
      <c r="BV42" s="2122"/>
      <c r="BW42" s="2122"/>
      <c r="BX42" s="2122"/>
      <c r="BY42" s="2122"/>
      <c r="BZ42" s="2122"/>
      <c r="CA42" s="2122"/>
      <c r="CB42" s="2122"/>
      <c r="CC42" s="2122"/>
      <c r="CD42" s="2122"/>
      <c r="CE42" s="2122"/>
      <c r="CF42" s="2122"/>
      <c r="CG42" s="2122"/>
      <c r="CH42" s="2122"/>
      <c r="CI42" s="2122"/>
      <c r="CJ42" s="2122"/>
      <c r="CK42" s="2122"/>
      <c r="CL42" s="2122"/>
      <c r="CM42" s="2122"/>
      <c r="CN42" s="2122"/>
      <c r="CO42" s="2122"/>
      <c r="CP42" s="2122"/>
      <c r="CQ42" s="2122"/>
      <c r="CR42" s="2122"/>
      <c r="CS42" s="2122"/>
      <c r="CT42" s="2122"/>
      <c r="CU42" s="2122"/>
      <c r="CV42" s="2122"/>
      <c r="CW42" s="2122"/>
      <c r="CX42" s="2122"/>
      <c r="CY42" s="2122"/>
      <c r="CZ42" s="2122"/>
      <c r="DA42" s="2122"/>
      <c r="DB42" s="2122"/>
      <c r="DC42" s="2122"/>
      <c r="DD42" s="2122"/>
      <c r="DE42" s="2122"/>
      <c r="DF42" s="2122"/>
      <c r="DG42" s="2122"/>
      <c r="DH42" s="2122"/>
      <c r="DI42" s="2122"/>
      <c r="DJ42" s="2122"/>
      <c r="DK42" s="2122"/>
      <c r="DL42" s="2122"/>
      <c r="DM42" s="2122"/>
      <c r="DN42" s="2122"/>
      <c r="DO42" s="2122"/>
      <c r="DP42" s="2122"/>
      <c r="DQ42" s="2122"/>
      <c r="DR42" s="2122"/>
      <c r="DS42" s="2122"/>
      <c r="DT42" s="2122"/>
      <c r="DU42" s="2122"/>
      <c r="DV42" s="2122" t="s">
        <v>4799</v>
      </c>
      <c r="DW42" s="2122"/>
    </row>
    <row r="43" spans="1:127" s="1916" customFormat="1" ht="59.25" customHeight="1">
      <c r="A43" s="3767"/>
      <c r="B43" s="1851" t="str">
        <f t="shared" si="1"/>
        <v>2000002671</v>
      </c>
      <c r="C43" s="1851" t="s">
        <v>3109</v>
      </c>
      <c r="D43" s="2454"/>
      <c r="E43" s="1851"/>
      <c r="F43" s="1773" t="s">
        <v>3401</v>
      </c>
      <c r="G43" s="1921"/>
      <c r="H43" s="2159"/>
      <c r="I43" s="1495" t="s">
        <v>19</v>
      </c>
      <c r="J43" s="1495" t="s">
        <v>6555</v>
      </c>
      <c r="K43" s="1994" t="s">
        <v>6794</v>
      </c>
      <c r="L43" s="1883">
        <v>633</v>
      </c>
      <c r="M43" s="2379" t="s">
        <v>6795</v>
      </c>
      <c r="N43" s="2332"/>
      <c r="O43" s="1872">
        <v>1</v>
      </c>
      <c r="P43" s="2122"/>
      <c r="Q43" s="2122"/>
      <c r="R43" s="2122"/>
      <c r="S43" s="2122"/>
      <c r="T43" s="2122"/>
      <c r="U43" s="2122"/>
      <c r="V43" s="2122"/>
      <c r="W43" s="2122"/>
      <c r="X43" s="2122"/>
      <c r="Y43" s="2122"/>
      <c r="Z43" s="2122"/>
      <c r="AA43" s="2122"/>
      <c r="AB43" s="2122"/>
      <c r="AC43" s="2122"/>
      <c r="AD43" s="2122"/>
      <c r="AE43" s="2122"/>
      <c r="AF43" s="2122"/>
      <c r="AG43" s="2122"/>
      <c r="AH43" s="2122"/>
      <c r="AI43" s="2122"/>
      <c r="AJ43" s="2122"/>
      <c r="AK43" s="2122"/>
      <c r="AL43" s="2122"/>
      <c r="AM43" s="2122"/>
      <c r="AN43" s="2122"/>
      <c r="AO43" s="2122"/>
      <c r="AP43" s="2122"/>
      <c r="AQ43" s="2122"/>
      <c r="AR43" s="2122"/>
      <c r="AS43" s="2122"/>
      <c r="AT43" s="2122"/>
      <c r="AU43" s="2122"/>
      <c r="AV43" s="2122"/>
      <c r="AW43" s="2122"/>
      <c r="AX43" s="2122"/>
      <c r="AY43" s="2122"/>
      <c r="AZ43" s="2122"/>
      <c r="BA43" s="2122"/>
      <c r="BB43" s="2122"/>
      <c r="BC43" s="2122"/>
      <c r="BD43" s="2122"/>
      <c r="BE43" s="2122"/>
      <c r="BF43" s="2122"/>
      <c r="BG43" s="2122"/>
      <c r="BH43" s="2122"/>
      <c r="BI43" s="2122"/>
      <c r="BJ43" s="2122"/>
      <c r="BK43" s="2122"/>
      <c r="BL43" s="2122"/>
      <c r="BM43" s="2122"/>
      <c r="BN43" s="2122"/>
      <c r="BO43" s="2122"/>
      <c r="BP43" s="2122"/>
      <c r="BQ43" s="2122"/>
      <c r="BR43" s="2122"/>
      <c r="BS43" s="2122"/>
      <c r="BT43" s="2122"/>
      <c r="BU43" s="2122"/>
      <c r="BV43" s="2122"/>
      <c r="BW43" s="2122"/>
      <c r="BX43" s="2122"/>
      <c r="BY43" s="2122"/>
      <c r="BZ43" s="2122"/>
      <c r="CA43" s="2122"/>
      <c r="CB43" s="2122"/>
      <c r="CC43" s="2122"/>
      <c r="CD43" s="2122"/>
      <c r="CE43" s="2122"/>
      <c r="CF43" s="2122"/>
      <c r="CG43" s="2122"/>
      <c r="CH43" s="2122"/>
      <c r="CI43" s="2122"/>
      <c r="CJ43" s="2122"/>
      <c r="CK43" s="2122"/>
      <c r="CL43" s="2122"/>
      <c r="CM43" s="2122"/>
      <c r="CN43" s="2122"/>
      <c r="CO43" s="2122"/>
      <c r="CP43" s="2122"/>
      <c r="CQ43" s="2122"/>
      <c r="CR43" s="2122"/>
      <c r="CS43" s="2122"/>
      <c r="CT43" s="2122"/>
      <c r="CU43" s="2122"/>
      <c r="CV43" s="2122"/>
      <c r="CW43" s="2122"/>
      <c r="CX43" s="2122"/>
      <c r="CY43" s="2122"/>
      <c r="CZ43" s="2122"/>
      <c r="DA43" s="2122"/>
      <c r="DB43" s="2122"/>
      <c r="DC43" s="2122"/>
      <c r="DD43" s="2122"/>
      <c r="DE43" s="2122"/>
      <c r="DF43" s="2122"/>
      <c r="DG43" s="2122"/>
      <c r="DH43" s="2122"/>
      <c r="DI43" s="2122"/>
      <c r="DJ43" s="2122"/>
      <c r="DK43" s="2122"/>
      <c r="DL43" s="2122"/>
      <c r="DM43" s="2122"/>
      <c r="DN43" s="2122"/>
      <c r="DO43" s="2122"/>
      <c r="DP43" s="2122"/>
      <c r="DQ43" s="2122"/>
      <c r="DR43" s="2122"/>
      <c r="DS43" s="2122"/>
      <c r="DT43" s="2122"/>
      <c r="DU43" s="2122"/>
      <c r="DV43" s="2122"/>
      <c r="DW43" s="2122"/>
    </row>
    <row r="44" spans="1:127" s="1916" customFormat="1" ht="59.25" customHeight="1">
      <c r="A44" s="3767"/>
      <c r="B44" s="1851" t="str">
        <f t="shared" si="1"/>
        <v>2000002672</v>
      </c>
      <c r="C44" s="1851" t="s">
        <v>3109</v>
      </c>
      <c r="D44" s="2454"/>
      <c r="E44" s="1851"/>
      <c r="F44" s="1773" t="s">
        <v>3401</v>
      </c>
      <c r="G44" s="1921"/>
      <c r="H44" s="2159"/>
      <c r="I44" s="1495" t="s">
        <v>19</v>
      </c>
      <c r="J44" s="1495" t="s">
        <v>6555</v>
      </c>
      <c r="K44" s="1994" t="s">
        <v>6796</v>
      </c>
      <c r="L44" s="1883">
        <v>222</v>
      </c>
      <c r="M44" s="2379" t="s">
        <v>6795</v>
      </c>
      <c r="N44" s="2332"/>
      <c r="O44" s="1872">
        <v>1</v>
      </c>
      <c r="P44" s="2122"/>
      <c r="Q44" s="2122"/>
      <c r="R44" s="2122"/>
      <c r="S44" s="2122"/>
      <c r="T44" s="2122"/>
      <c r="U44" s="2122"/>
      <c r="V44" s="2122"/>
      <c r="W44" s="2122"/>
      <c r="X44" s="2122"/>
      <c r="Y44" s="2122"/>
      <c r="Z44" s="2122"/>
      <c r="AA44" s="2122"/>
      <c r="AB44" s="2122"/>
      <c r="AC44" s="2122"/>
      <c r="AD44" s="2122"/>
      <c r="AE44" s="2122"/>
      <c r="AF44" s="2122"/>
      <c r="AG44" s="2122"/>
      <c r="AH44" s="2122"/>
      <c r="AI44" s="2122"/>
      <c r="AJ44" s="2122"/>
      <c r="AK44" s="2122"/>
      <c r="AL44" s="2122"/>
      <c r="AM44" s="2122"/>
      <c r="AN44" s="2122"/>
      <c r="AO44" s="2122"/>
      <c r="AP44" s="2122"/>
      <c r="AQ44" s="2122"/>
      <c r="AR44" s="2122"/>
      <c r="AS44" s="2122"/>
      <c r="AT44" s="2122"/>
      <c r="AU44" s="2122"/>
      <c r="AV44" s="2122"/>
      <c r="AW44" s="2122"/>
      <c r="AX44" s="2122"/>
      <c r="AY44" s="2122"/>
      <c r="AZ44" s="2122"/>
      <c r="BA44" s="2122"/>
      <c r="BB44" s="2122"/>
      <c r="BC44" s="2122"/>
      <c r="BD44" s="2122"/>
      <c r="BE44" s="2122"/>
      <c r="BF44" s="2122"/>
      <c r="BG44" s="2122"/>
      <c r="BH44" s="2122"/>
      <c r="BI44" s="2122"/>
      <c r="BJ44" s="2122"/>
      <c r="BK44" s="2122"/>
      <c r="BL44" s="2122"/>
      <c r="BM44" s="2122"/>
      <c r="BN44" s="2122"/>
      <c r="BO44" s="2122"/>
      <c r="BP44" s="2122"/>
      <c r="BQ44" s="2122"/>
      <c r="BR44" s="2122"/>
      <c r="BS44" s="2122"/>
      <c r="BT44" s="2122"/>
      <c r="BU44" s="2122"/>
      <c r="BV44" s="2122"/>
      <c r="BW44" s="2122"/>
      <c r="BX44" s="2122"/>
      <c r="BY44" s="2122"/>
      <c r="BZ44" s="2122"/>
      <c r="CA44" s="2122"/>
      <c r="CB44" s="2122"/>
      <c r="CC44" s="2122"/>
      <c r="CD44" s="2122"/>
      <c r="CE44" s="2122"/>
      <c r="CF44" s="2122"/>
      <c r="CG44" s="2122"/>
      <c r="CH44" s="2122"/>
      <c r="CI44" s="2122"/>
      <c r="CJ44" s="2122"/>
      <c r="CK44" s="2122"/>
      <c r="CL44" s="2122"/>
      <c r="CM44" s="2122"/>
      <c r="CN44" s="2122"/>
      <c r="CO44" s="2122"/>
      <c r="CP44" s="2122"/>
      <c r="CQ44" s="2122"/>
      <c r="CR44" s="2122"/>
      <c r="CS44" s="2122"/>
      <c r="CT44" s="2122"/>
      <c r="CU44" s="2122"/>
      <c r="CV44" s="2122"/>
      <c r="CW44" s="2122"/>
      <c r="CX44" s="2122"/>
      <c r="CY44" s="2122"/>
      <c r="CZ44" s="2122"/>
      <c r="DA44" s="2122"/>
      <c r="DB44" s="2122"/>
      <c r="DC44" s="2122"/>
      <c r="DD44" s="2122"/>
      <c r="DE44" s="2122"/>
      <c r="DF44" s="2122"/>
      <c r="DG44" s="2122"/>
      <c r="DH44" s="2122"/>
      <c r="DI44" s="2122"/>
      <c r="DJ44" s="2122"/>
      <c r="DK44" s="2122"/>
      <c r="DL44" s="2122"/>
      <c r="DM44" s="2122"/>
      <c r="DN44" s="2122"/>
      <c r="DO44" s="2122"/>
      <c r="DP44" s="2122"/>
      <c r="DQ44" s="2122"/>
      <c r="DR44" s="2122"/>
      <c r="DS44" s="2122"/>
      <c r="DT44" s="2122"/>
      <c r="DU44" s="2122"/>
      <c r="DV44" s="2122"/>
      <c r="DW44" s="2122"/>
    </row>
    <row r="45" spans="1:127" s="1916" customFormat="1" ht="54" customHeight="1">
      <c r="A45" s="3767"/>
      <c r="B45" s="1851" t="str">
        <f t="shared" si="1"/>
        <v>2000002673</v>
      </c>
      <c r="C45" s="1851" t="s">
        <v>3109</v>
      </c>
      <c r="D45" s="2454"/>
      <c r="E45" s="1851"/>
      <c r="F45" s="1773" t="s">
        <v>3401</v>
      </c>
      <c r="G45" s="1921"/>
      <c r="H45" s="2159"/>
      <c r="I45" s="1495" t="s">
        <v>19</v>
      </c>
      <c r="J45" s="1495" t="s">
        <v>6555</v>
      </c>
      <c r="K45" s="1994" t="s">
        <v>6797</v>
      </c>
      <c r="L45" s="1883">
        <v>385</v>
      </c>
      <c r="M45" s="2379" t="s">
        <v>6795</v>
      </c>
      <c r="N45" s="2332"/>
      <c r="O45" s="1872">
        <v>1</v>
      </c>
      <c r="P45" s="2122"/>
      <c r="Q45" s="2122"/>
      <c r="R45" s="2122"/>
      <c r="S45" s="2122"/>
      <c r="T45" s="2122"/>
      <c r="U45" s="2122"/>
      <c r="V45" s="2122"/>
      <c r="W45" s="2122"/>
      <c r="X45" s="2122"/>
      <c r="Y45" s="2122"/>
      <c r="Z45" s="2122"/>
      <c r="AA45" s="2122"/>
      <c r="AB45" s="2122"/>
      <c r="AC45" s="2122"/>
      <c r="AD45" s="2122"/>
      <c r="AE45" s="2122"/>
      <c r="AF45" s="2122"/>
      <c r="AG45" s="2122"/>
      <c r="AH45" s="2122"/>
      <c r="AI45" s="2122"/>
      <c r="AJ45" s="2122"/>
      <c r="AK45" s="2122"/>
      <c r="AL45" s="2122"/>
      <c r="AM45" s="2122"/>
      <c r="AN45" s="2122"/>
      <c r="AO45" s="2122"/>
      <c r="AP45" s="2122"/>
      <c r="AQ45" s="2122"/>
      <c r="AR45" s="2122"/>
      <c r="AS45" s="2122"/>
      <c r="AT45" s="2122"/>
      <c r="AU45" s="2122"/>
      <c r="AV45" s="2122"/>
      <c r="AW45" s="2122"/>
      <c r="AX45" s="2122"/>
      <c r="AY45" s="2122"/>
      <c r="AZ45" s="2122"/>
      <c r="BA45" s="2122"/>
      <c r="BB45" s="2122"/>
      <c r="BC45" s="2122"/>
      <c r="BD45" s="2122"/>
      <c r="BE45" s="2122"/>
      <c r="BF45" s="2122"/>
      <c r="BG45" s="2122"/>
      <c r="BH45" s="2122"/>
      <c r="BI45" s="2122"/>
      <c r="BJ45" s="2122"/>
      <c r="BK45" s="2122"/>
      <c r="BL45" s="2122"/>
      <c r="BM45" s="2122"/>
      <c r="BN45" s="2122"/>
      <c r="BO45" s="2122"/>
      <c r="BP45" s="2122"/>
      <c r="BQ45" s="2122"/>
      <c r="BR45" s="2122"/>
      <c r="BS45" s="2122"/>
      <c r="BT45" s="2122"/>
      <c r="BU45" s="2122"/>
      <c r="BV45" s="2122"/>
      <c r="BW45" s="2122"/>
      <c r="BX45" s="2122"/>
      <c r="BY45" s="2122"/>
      <c r="BZ45" s="2122"/>
      <c r="CA45" s="2122"/>
      <c r="CB45" s="2122"/>
      <c r="CC45" s="2122"/>
      <c r="CD45" s="2122"/>
      <c r="CE45" s="2122"/>
      <c r="CF45" s="2122"/>
      <c r="CG45" s="2122"/>
      <c r="CH45" s="2122"/>
      <c r="CI45" s="2122"/>
      <c r="CJ45" s="2122"/>
      <c r="CK45" s="2122"/>
      <c r="CL45" s="2122"/>
      <c r="CM45" s="2122"/>
      <c r="CN45" s="2122"/>
      <c r="CO45" s="2122"/>
      <c r="CP45" s="2122"/>
      <c r="CQ45" s="2122"/>
      <c r="CR45" s="2122"/>
      <c r="CS45" s="2122"/>
      <c r="CT45" s="2122"/>
      <c r="CU45" s="2122"/>
      <c r="CV45" s="2122"/>
      <c r="CW45" s="2122"/>
      <c r="CX45" s="2122"/>
      <c r="CY45" s="2122"/>
      <c r="CZ45" s="2122"/>
      <c r="DA45" s="2122"/>
      <c r="DB45" s="2122"/>
      <c r="DC45" s="2122"/>
      <c r="DD45" s="2122"/>
      <c r="DE45" s="2122"/>
      <c r="DF45" s="2122"/>
      <c r="DG45" s="2122"/>
      <c r="DH45" s="2122"/>
      <c r="DI45" s="2122"/>
      <c r="DJ45" s="2122"/>
      <c r="DK45" s="2122"/>
      <c r="DL45" s="2122"/>
      <c r="DM45" s="2122"/>
      <c r="DN45" s="2122"/>
      <c r="DO45" s="2122"/>
      <c r="DP45" s="2122"/>
      <c r="DQ45" s="2122"/>
      <c r="DR45" s="2122"/>
      <c r="DS45" s="2122"/>
      <c r="DT45" s="2122"/>
      <c r="DU45" s="2122"/>
      <c r="DV45" s="2122"/>
      <c r="DW45" s="2122"/>
    </row>
    <row r="46" spans="1:127" s="1916" customFormat="1" ht="54" customHeight="1">
      <c r="A46" s="3767"/>
      <c r="B46" s="1851" t="str">
        <f t="shared" si="1"/>
        <v>2200001867</v>
      </c>
      <c r="C46" s="1851" t="s">
        <v>3109</v>
      </c>
      <c r="D46" s="2454"/>
      <c r="E46" s="1851"/>
      <c r="F46" s="1773" t="s">
        <v>3401</v>
      </c>
      <c r="G46" s="1921"/>
      <c r="H46" s="2159"/>
      <c r="I46" s="1495" t="s">
        <v>19</v>
      </c>
      <c r="J46" s="1495" t="s">
        <v>6555</v>
      </c>
      <c r="K46" s="1497" t="s">
        <v>6798</v>
      </c>
      <c r="L46" s="2273">
        <v>1200</v>
      </c>
      <c r="M46" s="1851" t="s">
        <v>5454</v>
      </c>
      <c r="N46" s="2332"/>
      <c r="O46" s="1872">
        <v>1</v>
      </c>
      <c r="P46" s="2122"/>
      <c r="Q46" s="2122"/>
      <c r="R46" s="2122"/>
      <c r="S46" s="2122"/>
      <c r="T46" s="2122"/>
      <c r="U46" s="2122"/>
      <c r="V46" s="2122"/>
      <c r="W46" s="2122"/>
      <c r="X46" s="2122"/>
      <c r="Y46" s="2122"/>
      <c r="Z46" s="2122"/>
      <c r="AA46" s="2122"/>
      <c r="AB46" s="2122"/>
      <c r="AC46" s="2122"/>
      <c r="AD46" s="2122"/>
      <c r="AE46" s="2122"/>
      <c r="AF46" s="2122"/>
      <c r="AG46" s="2122"/>
      <c r="AH46" s="2122"/>
      <c r="AI46" s="2122"/>
      <c r="AJ46" s="2122"/>
      <c r="AK46" s="2122"/>
      <c r="AL46" s="2122"/>
      <c r="AM46" s="2122"/>
      <c r="AN46" s="2122"/>
      <c r="AO46" s="2122"/>
      <c r="AP46" s="2122"/>
      <c r="AQ46" s="2122"/>
      <c r="AR46" s="2122"/>
      <c r="AS46" s="2122"/>
      <c r="AT46" s="2122"/>
      <c r="AU46" s="2122"/>
      <c r="AV46" s="2122"/>
      <c r="AW46" s="2122"/>
      <c r="AX46" s="2122"/>
      <c r="AY46" s="2122"/>
      <c r="AZ46" s="2122"/>
      <c r="BA46" s="2122"/>
      <c r="BB46" s="2122"/>
      <c r="BC46" s="2122"/>
      <c r="BD46" s="2122"/>
      <c r="BE46" s="2122"/>
      <c r="BF46" s="2122"/>
      <c r="BG46" s="2122"/>
      <c r="BH46" s="2122"/>
      <c r="BI46" s="2122"/>
      <c r="BJ46" s="2122"/>
      <c r="BK46" s="2122"/>
      <c r="BL46" s="2122"/>
      <c r="BM46" s="2122"/>
      <c r="BN46" s="2122"/>
      <c r="BO46" s="2122"/>
      <c r="BP46" s="2122"/>
      <c r="BQ46" s="2122"/>
      <c r="BR46" s="2122"/>
      <c r="BS46" s="2122"/>
      <c r="BT46" s="2122"/>
      <c r="BU46" s="2122"/>
      <c r="BV46" s="2122"/>
      <c r="BW46" s="2122"/>
      <c r="BX46" s="2122"/>
      <c r="BY46" s="2122"/>
      <c r="BZ46" s="2122"/>
      <c r="CA46" s="2122"/>
      <c r="CB46" s="2122"/>
      <c r="CC46" s="2122"/>
      <c r="CD46" s="2122"/>
      <c r="CE46" s="2122"/>
      <c r="CF46" s="2122"/>
      <c r="CG46" s="2122"/>
      <c r="CH46" s="2122"/>
      <c r="CI46" s="2122"/>
      <c r="CJ46" s="2122"/>
      <c r="CK46" s="2122"/>
      <c r="CL46" s="2122"/>
      <c r="CM46" s="2122"/>
      <c r="CN46" s="2122"/>
      <c r="CO46" s="2122"/>
      <c r="CP46" s="2122"/>
      <c r="CQ46" s="2122"/>
      <c r="CR46" s="2122"/>
      <c r="CS46" s="2122"/>
      <c r="CT46" s="2122"/>
      <c r="CU46" s="2122"/>
      <c r="CV46" s="2122"/>
      <c r="CW46" s="2122"/>
      <c r="CX46" s="2122"/>
      <c r="CY46" s="2122"/>
      <c r="CZ46" s="2122"/>
      <c r="DA46" s="2122"/>
      <c r="DB46" s="2122"/>
      <c r="DC46" s="2122"/>
      <c r="DD46" s="2122"/>
      <c r="DE46" s="2122"/>
      <c r="DF46" s="2122"/>
      <c r="DG46" s="2122"/>
      <c r="DH46" s="2122"/>
      <c r="DI46" s="2122"/>
      <c r="DJ46" s="2122"/>
      <c r="DK46" s="2122"/>
      <c r="DL46" s="2122"/>
      <c r="DM46" s="2122"/>
      <c r="DN46" s="2122"/>
      <c r="DO46" s="2122"/>
      <c r="DP46" s="2122"/>
      <c r="DQ46" s="2122"/>
      <c r="DR46" s="2122"/>
      <c r="DS46" s="2122"/>
      <c r="DT46" s="2122"/>
      <c r="DU46" s="2122"/>
      <c r="DV46" s="2122"/>
      <c r="DW46" s="2122"/>
    </row>
    <row r="47" spans="1:127" s="1916" customFormat="1" ht="54" customHeight="1">
      <c r="A47" s="3767"/>
      <c r="B47" s="1851" t="str">
        <f t="shared" si="1"/>
        <v>2000002643</v>
      </c>
      <c r="C47" s="1851" t="s">
        <v>3109</v>
      </c>
      <c r="D47" s="2454"/>
      <c r="E47" s="1851"/>
      <c r="F47" s="1773" t="s">
        <v>3401</v>
      </c>
      <c r="G47" s="1921"/>
      <c r="H47" s="2159"/>
      <c r="I47" s="1495" t="s">
        <v>19</v>
      </c>
      <c r="J47" s="1495" t="s">
        <v>6555</v>
      </c>
      <c r="K47" s="1497" t="s">
        <v>6799</v>
      </c>
      <c r="L47" s="2333">
        <v>7300</v>
      </c>
      <c r="M47" s="2379" t="s">
        <v>6705</v>
      </c>
      <c r="N47" s="2334" t="s">
        <v>6800</v>
      </c>
      <c r="O47" s="1872">
        <v>1</v>
      </c>
      <c r="P47" s="2122"/>
      <c r="Q47" s="2122"/>
      <c r="R47" s="2122"/>
      <c r="S47" s="2122"/>
      <c r="T47" s="2122"/>
      <c r="U47" s="2122"/>
      <c r="V47" s="2122"/>
      <c r="W47" s="2122"/>
      <c r="X47" s="2122"/>
      <c r="Y47" s="2122"/>
      <c r="Z47" s="2122"/>
      <c r="AA47" s="2122"/>
      <c r="AB47" s="2122"/>
      <c r="AC47" s="2122"/>
      <c r="AD47" s="2122"/>
      <c r="AE47" s="2122"/>
      <c r="AF47" s="2122"/>
      <c r="AG47" s="2122"/>
      <c r="AH47" s="2122"/>
      <c r="AI47" s="2122"/>
      <c r="AJ47" s="2122"/>
      <c r="AK47" s="2122"/>
      <c r="AL47" s="2122"/>
      <c r="AM47" s="2122"/>
      <c r="AN47" s="2122"/>
      <c r="AO47" s="2122"/>
      <c r="AP47" s="2122"/>
      <c r="AQ47" s="2122"/>
      <c r="AR47" s="2122"/>
      <c r="AS47" s="2122"/>
      <c r="AT47" s="2122"/>
      <c r="AU47" s="2122"/>
      <c r="AV47" s="2122"/>
      <c r="AW47" s="2122"/>
      <c r="AX47" s="2122"/>
      <c r="AY47" s="2122"/>
      <c r="AZ47" s="2122"/>
      <c r="BA47" s="2122"/>
      <c r="BB47" s="2122"/>
      <c r="BC47" s="2122"/>
      <c r="BD47" s="2122"/>
      <c r="BE47" s="2122"/>
      <c r="BF47" s="2122"/>
      <c r="BG47" s="2122"/>
      <c r="BH47" s="2122"/>
      <c r="BI47" s="2122"/>
      <c r="BJ47" s="2122"/>
      <c r="BK47" s="2122"/>
      <c r="BL47" s="2122"/>
      <c r="BM47" s="2122"/>
      <c r="BN47" s="2122"/>
      <c r="BO47" s="2122"/>
      <c r="BP47" s="2122"/>
      <c r="BQ47" s="2122"/>
      <c r="BR47" s="2122"/>
      <c r="BS47" s="2122"/>
      <c r="BT47" s="2122"/>
      <c r="BU47" s="2122"/>
      <c r="BV47" s="2122"/>
      <c r="BW47" s="2122"/>
      <c r="BX47" s="2122"/>
      <c r="BY47" s="2122"/>
      <c r="BZ47" s="2122"/>
      <c r="CA47" s="2122"/>
      <c r="CB47" s="2122"/>
      <c r="CC47" s="2122"/>
      <c r="CD47" s="2122"/>
      <c r="CE47" s="2122"/>
      <c r="CF47" s="2122"/>
      <c r="CG47" s="2122"/>
      <c r="CH47" s="2122"/>
      <c r="CI47" s="2122"/>
      <c r="CJ47" s="2122"/>
      <c r="CK47" s="2122"/>
      <c r="CL47" s="2122"/>
      <c r="CM47" s="2122"/>
      <c r="CN47" s="2122"/>
      <c r="CO47" s="2122"/>
      <c r="CP47" s="2122"/>
      <c r="CQ47" s="2122"/>
      <c r="CR47" s="2122"/>
      <c r="CS47" s="2122"/>
      <c r="CT47" s="2122"/>
      <c r="CU47" s="2122"/>
      <c r="CV47" s="2122"/>
      <c r="CW47" s="2122"/>
      <c r="CX47" s="2122"/>
      <c r="CY47" s="2122"/>
      <c r="CZ47" s="2122"/>
      <c r="DA47" s="2122"/>
      <c r="DB47" s="2122"/>
      <c r="DC47" s="2122"/>
      <c r="DD47" s="2122"/>
      <c r="DE47" s="2122"/>
      <c r="DF47" s="2122"/>
      <c r="DG47" s="2122"/>
      <c r="DH47" s="2122"/>
      <c r="DI47" s="2122"/>
      <c r="DJ47" s="2122"/>
      <c r="DK47" s="2122"/>
      <c r="DL47" s="2122"/>
      <c r="DM47" s="2122"/>
      <c r="DN47" s="2122"/>
      <c r="DO47" s="2122"/>
      <c r="DP47" s="2122"/>
      <c r="DQ47" s="2122"/>
      <c r="DR47" s="2122"/>
      <c r="DS47" s="2122"/>
      <c r="DT47" s="2122"/>
      <c r="DU47" s="2122"/>
      <c r="DV47" s="2122"/>
      <c r="DW47" s="2122"/>
    </row>
    <row r="48" spans="1:127" s="1916" customFormat="1" ht="54" customHeight="1">
      <c r="A48" s="3768"/>
      <c r="B48" s="1851" t="str">
        <f t="shared" si="1"/>
        <v>2000002680</v>
      </c>
      <c r="C48" s="1851" t="s">
        <v>3109</v>
      </c>
      <c r="D48" s="2454"/>
      <c r="E48" s="1851"/>
      <c r="F48" s="1773" t="s">
        <v>3401</v>
      </c>
      <c r="G48" s="1921"/>
      <c r="H48" s="2159"/>
      <c r="I48" s="1495" t="s">
        <v>19</v>
      </c>
      <c r="J48" s="1495" t="s">
        <v>6555</v>
      </c>
      <c r="K48" s="1600" t="s">
        <v>6801</v>
      </c>
      <c r="L48" s="2335">
        <v>5000</v>
      </c>
      <c r="M48" s="2381" t="s">
        <v>5937</v>
      </c>
      <c r="N48" s="2336"/>
      <c r="O48" s="1872">
        <v>1</v>
      </c>
      <c r="P48" s="2122"/>
      <c r="Q48" s="2122"/>
      <c r="R48" s="2122"/>
      <c r="S48" s="2122"/>
      <c r="T48" s="2122"/>
      <c r="U48" s="2122"/>
      <c r="V48" s="2122"/>
      <c r="W48" s="2122"/>
      <c r="X48" s="2122"/>
      <c r="Y48" s="2122"/>
      <c r="Z48" s="2122"/>
      <c r="AA48" s="2122"/>
      <c r="AB48" s="2122"/>
      <c r="AC48" s="2122"/>
      <c r="AD48" s="2122"/>
      <c r="AE48" s="2122"/>
      <c r="AF48" s="2122"/>
      <c r="AG48" s="2122"/>
      <c r="AH48" s="2122"/>
      <c r="AI48" s="2122"/>
      <c r="AJ48" s="2122"/>
      <c r="AK48" s="2122"/>
      <c r="AL48" s="2122"/>
      <c r="AM48" s="2122"/>
      <c r="AN48" s="2122"/>
      <c r="AO48" s="2122"/>
      <c r="AP48" s="2122"/>
      <c r="AQ48" s="2122"/>
      <c r="AR48" s="2122"/>
      <c r="AS48" s="2122"/>
      <c r="AT48" s="2122"/>
      <c r="AU48" s="2122"/>
      <c r="AV48" s="2122"/>
      <c r="AW48" s="2122"/>
      <c r="AX48" s="2122"/>
      <c r="AY48" s="2122"/>
      <c r="AZ48" s="2122"/>
      <c r="BA48" s="2122"/>
      <c r="BB48" s="2122"/>
      <c r="BC48" s="2122"/>
      <c r="BD48" s="2122"/>
      <c r="BE48" s="2122"/>
      <c r="BF48" s="2122"/>
      <c r="BG48" s="2122"/>
      <c r="BH48" s="2122"/>
      <c r="BI48" s="2122"/>
      <c r="BJ48" s="2122"/>
      <c r="BK48" s="2122"/>
      <c r="BL48" s="2122"/>
      <c r="BM48" s="2122"/>
      <c r="BN48" s="2122"/>
      <c r="BO48" s="2122"/>
      <c r="BP48" s="2122"/>
      <c r="BQ48" s="2122"/>
      <c r="BR48" s="2122"/>
      <c r="BS48" s="2122"/>
      <c r="BT48" s="2122"/>
      <c r="BU48" s="2122"/>
      <c r="BV48" s="2122"/>
      <c r="BW48" s="2122"/>
      <c r="BX48" s="2122"/>
      <c r="BY48" s="2122"/>
      <c r="BZ48" s="2122"/>
      <c r="CA48" s="2122"/>
      <c r="CB48" s="2122"/>
      <c r="CC48" s="2122"/>
      <c r="CD48" s="2122"/>
      <c r="CE48" s="2122"/>
      <c r="CF48" s="2122"/>
      <c r="CG48" s="2122"/>
      <c r="CH48" s="2122"/>
      <c r="CI48" s="2122"/>
      <c r="CJ48" s="2122"/>
      <c r="CK48" s="2122"/>
      <c r="CL48" s="2122"/>
      <c r="CM48" s="2122"/>
      <c r="CN48" s="2122"/>
      <c r="CO48" s="2122"/>
      <c r="CP48" s="2122"/>
      <c r="CQ48" s="2122"/>
      <c r="CR48" s="2122"/>
      <c r="CS48" s="2122"/>
      <c r="CT48" s="2122"/>
      <c r="CU48" s="2122"/>
      <c r="CV48" s="2122"/>
      <c r="CW48" s="2122"/>
      <c r="CX48" s="2122"/>
      <c r="CY48" s="2122"/>
      <c r="CZ48" s="2122"/>
      <c r="DA48" s="2122"/>
      <c r="DB48" s="2122"/>
      <c r="DC48" s="2122"/>
      <c r="DD48" s="2122"/>
      <c r="DE48" s="2122"/>
      <c r="DF48" s="2122"/>
      <c r="DG48" s="2122"/>
      <c r="DH48" s="2122"/>
      <c r="DI48" s="2122"/>
      <c r="DJ48" s="2122"/>
      <c r="DK48" s="2122"/>
      <c r="DL48" s="2122"/>
      <c r="DM48" s="2122"/>
      <c r="DN48" s="2122"/>
      <c r="DO48" s="2122"/>
      <c r="DP48" s="2122"/>
      <c r="DQ48" s="2122"/>
      <c r="DR48" s="2122"/>
      <c r="DS48" s="2122"/>
      <c r="DT48" s="2122"/>
      <c r="DU48" s="2122"/>
      <c r="DV48" s="2122"/>
      <c r="DW48" s="2122"/>
    </row>
    <row r="49" spans="1:127" s="2079" customFormat="1" ht="60" customHeight="1">
      <c r="A49" s="3749">
        <v>17</v>
      </c>
      <c r="B49" s="1921" t="str">
        <f t="shared" si="1"/>
        <v>2000002667</v>
      </c>
      <c r="C49" s="1921" t="s">
        <v>93</v>
      </c>
      <c r="D49" s="2456">
        <v>3000</v>
      </c>
      <c r="E49" s="2187" t="s">
        <v>6802</v>
      </c>
      <c r="F49" s="2187" t="s">
        <v>84</v>
      </c>
      <c r="G49" s="2187" t="s">
        <v>6803</v>
      </c>
      <c r="H49" s="2187"/>
      <c r="I49" s="2187" t="s">
        <v>19</v>
      </c>
      <c r="J49" s="2187" t="s">
        <v>123</v>
      </c>
      <c r="K49" s="2161" t="s">
        <v>6804</v>
      </c>
      <c r="L49" s="2300">
        <v>2500</v>
      </c>
      <c r="M49" s="1875" t="s">
        <v>6805</v>
      </c>
      <c r="N49" s="2301" t="s">
        <v>6806</v>
      </c>
      <c r="O49" s="2102">
        <v>1</v>
      </c>
      <c r="P49" s="2150"/>
      <c r="Q49" s="2181"/>
      <c r="R49" s="2150"/>
      <c r="S49" s="2150"/>
      <c r="T49" s="2150"/>
      <c r="U49" s="2150"/>
      <c r="V49" s="2150"/>
      <c r="W49" s="2150"/>
      <c r="X49" s="2150"/>
      <c r="Y49" s="2150"/>
      <c r="Z49" s="2150"/>
      <c r="AA49" s="2150"/>
      <c r="AB49" s="2150"/>
      <c r="AC49" s="2150"/>
      <c r="AD49" s="2150"/>
      <c r="AE49" s="2150"/>
      <c r="AF49" s="2150"/>
      <c r="AG49" s="2150"/>
      <c r="AH49" s="2150"/>
      <c r="AI49" s="2150"/>
      <c r="AJ49" s="2150"/>
      <c r="AK49" s="2150"/>
      <c r="AL49" s="2150"/>
      <c r="AM49" s="2150"/>
      <c r="AN49" s="2150"/>
      <c r="AO49" s="2150"/>
      <c r="AP49" s="2150"/>
      <c r="AQ49" s="2150"/>
      <c r="AR49" s="2150"/>
      <c r="AS49" s="2150"/>
      <c r="AT49" s="2150"/>
      <c r="AU49" s="2150"/>
      <c r="AV49" s="2150"/>
      <c r="AW49" s="2150"/>
      <c r="AX49" s="2150"/>
      <c r="AY49" s="2150"/>
      <c r="AZ49" s="2150"/>
      <c r="BA49" s="2150"/>
      <c r="BB49" s="2150"/>
      <c r="BC49" s="2150"/>
      <c r="BD49" s="2150"/>
      <c r="BE49" s="2150"/>
      <c r="BF49" s="2150"/>
      <c r="BG49" s="2150"/>
      <c r="BH49" s="2150"/>
      <c r="BI49" s="2150"/>
      <c r="BJ49" s="2150"/>
      <c r="BK49" s="2150"/>
      <c r="BL49" s="2150"/>
      <c r="BM49" s="2150"/>
      <c r="BN49" s="2150"/>
      <c r="BO49" s="2150"/>
      <c r="BP49" s="2150"/>
      <c r="BQ49" s="2150"/>
      <c r="BR49" s="2150"/>
      <c r="BS49" s="2150"/>
      <c r="BT49" s="2150"/>
      <c r="BU49" s="2150"/>
      <c r="BV49" s="2150"/>
      <c r="BW49" s="2150"/>
      <c r="BX49" s="2150"/>
      <c r="BY49" s="2150"/>
      <c r="BZ49" s="2150"/>
      <c r="CA49" s="2150"/>
      <c r="CB49" s="2150"/>
      <c r="CC49" s="2150"/>
      <c r="CD49" s="2150"/>
      <c r="CE49" s="2150"/>
      <c r="CF49" s="2150"/>
      <c r="CG49" s="2150"/>
      <c r="CH49" s="2150"/>
      <c r="CI49" s="2150"/>
      <c r="CJ49" s="2150"/>
      <c r="CK49" s="2150"/>
      <c r="CL49" s="2150"/>
      <c r="CM49" s="2150"/>
      <c r="CN49" s="2150"/>
      <c r="CO49" s="2150"/>
      <c r="CP49" s="2150"/>
      <c r="CQ49" s="2150"/>
      <c r="CR49" s="2150"/>
      <c r="CS49" s="2150"/>
      <c r="CT49" s="2150"/>
      <c r="CU49" s="2150"/>
      <c r="CV49" s="2150"/>
      <c r="CW49" s="2150"/>
      <c r="CX49" s="2150"/>
      <c r="CY49" s="2150"/>
      <c r="CZ49" s="2150"/>
      <c r="DA49" s="2150"/>
      <c r="DB49" s="2150"/>
      <c r="DC49" s="2150"/>
      <c r="DD49" s="2150"/>
      <c r="DE49" s="2150"/>
      <c r="DF49" s="2150"/>
      <c r="DG49" s="2150"/>
      <c r="DH49" s="2150"/>
      <c r="DI49" s="2150"/>
      <c r="DJ49" s="2150"/>
      <c r="DK49" s="2150"/>
      <c r="DL49" s="2150"/>
      <c r="DM49" s="2150"/>
      <c r="DN49" s="2150"/>
      <c r="DO49" s="2150"/>
      <c r="DP49" s="2150"/>
      <c r="DQ49" s="2150"/>
      <c r="DR49" s="2150"/>
      <c r="DS49" s="2150"/>
      <c r="DT49" s="2150"/>
      <c r="DU49" s="2150"/>
      <c r="DV49" s="2150"/>
      <c r="DW49" s="2150"/>
    </row>
    <row r="50" spans="1:127" s="2079" customFormat="1" ht="86.25" customHeight="1">
      <c r="A50" s="3750"/>
      <c r="B50" s="1495" t="str">
        <f t="shared" si="1"/>
        <v>2000002681</v>
      </c>
      <c r="C50" s="1495" t="s">
        <v>93</v>
      </c>
      <c r="D50" s="2457"/>
      <c r="E50" s="1495"/>
      <c r="F50" s="1495" t="s">
        <v>84</v>
      </c>
      <c r="G50" s="1495"/>
      <c r="H50" s="1937"/>
      <c r="I50" s="1495" t="s">
        <v>19</v>
      </c>
      <c r="J50" s="1495" t="s">
        <v>63</v>
      </c>
      <c r="K50" s="1981" t="s">
        <v>6807</v>
      </c>
      <c r="L50" s="2302">
        <v>500</v>
      </c>
      <c r="M50" s="1495" t="s">
        <v>5937</v>
      </c>
      <c r="N50" s="2691" t="s">
        <v>6808</v>
      </c>
      <c r="O50" s="2102">
        <v>1</v>
      </c>
      <c r="P50" s="1883"/>
      <c r="Q50" s="1883"/>
      <c r="R50" s="1883"/>
      <c r="S50" s="1883"/>
      <c r="T50" s="1883"/>
      <c r="U50" s="1883"/>
      <c r="V50" s="1883"/>
      <c r="W50" s="1883"/>
      <c r="X50" s="1883"/>
      <c r="Y50" s="1883"/>
      <c r="Z50" s="1883"/>
      <c r="AA50" s="1883"/>
      <c r="AB50" s="1883"/>
      <c r="AC50" s="1883"/>
      <c r="AD50" s="1883"/>
      <c r="AE50" s="1883"/>
      <c r="AF50" s="1883"/>
      <c r="AG50" s="1883"/>
      <c r="AH50" s="1883"/>
      <c r="AI50" s="1883"/>
      <c r="AJ50" s="1883"/>
      <c r="AK50" s="1883"/>
      <c r="AL50" s="1883"/>
      <c r="AM50" s="1883"/>
      <c r="AN50" s="1883"/>
      <c r="AO50" s="1883"/>
      <c r="AP50" s="1883"/>
      <c r="AQ50" s="1883"/>
      <c r="AR50" s="1883"/>
      <c r="AS50" s="1883"/>
      <c r="AT50" s="1883"/>
      <c r="AU50" s="1883"/>
      <c r="AV50" s="1883"/>
      <c r="AW50" s="1883"/>
      <c r="AX50" s="1883"/>
      <c r="AY50" s="1883"/>
      <c r="AZ50" s="1883"/>
      <c r="BA50" s="1883"/>
      <c r="BB50" s="1883"/>
      <c r="BC50" s="1883"/>
      <c r="BD50" s="1883"/>
      <c r="BE50" s="1883"/>
      <c r="BF50" s="1883"/>
      <c r="BG50" s="1883"/>
      <c r="BH50" s="1883"/>
      <c r="BI50" s="1883"/>
      <c r="BJ50" s="1883"/>
      <c r="BK50" s="1883"/>
      <c r="BL50" s="1883"/>
      <c r="BM50" s="1883"/>
      <c r="BN50" s="1883"/>
      <c r="BO50" s="1883"/>
      <c r="BP50" s="1883"/>
      <c r="BQ50" s="1883"/>
      <c r="BR50" s="1883"/>
      <c r="BS50" s="1883"/>
      <c r="BT50" s="1883"/>
      <c r="BU50" s="1883"/>
      <c r="BV50" s="1883"/>
      <c r="BW50" s="1883"/>
      <c r="BX50" s="1883"/>
      <c r="BY50" s="1883"/>
      <c r="BZ50" s="1883"/>
      <c r="CA50" s="1883"/>
      <c r="CB50" s="1883"/>
      <c r="CC50" s="1883"/>
      <c r="CD50" s="1883"/>
      <c r="CE50" s="1883"/>
      <c r="CF50" s="1883"/>
      <c r="CG50" s="1883"/>
      <c r="CH50" s="1883"/>
      <c r="CI50" s="1883"/>
      <c r="CJ50" s="1883"/>
      <c r="CK50" s="1883"/>
      <c r="CL50" s="1883"/>
      <c r="CM50" s="1883"/>
      <c r="CN50" s="1883"/>
      <c r="CO50" s="1883"/>
      <c r="CP50" s="1883"/>
      <c r="CQ50" s="1883"/>
      <c r="CR50" s="1883"/>
      <c r="CS50" s="1883"/>
      <c r="CT50" s="1883"/>
      <c r="CU50" s="1883"/>
      <c r="CV50" s="1883"/>
      <c r="CW50" s="1883"/>
      <c r="CX50" s="1883"/>
      <c r="CY50" s="1883"/>
      <c r="CZ50" s="1883"/>
      <c r="DA50" s="1883"/>
      <c r="DB50" s="1883"/>
      <c r="DC50" s="1883"/>
      <c r="DD50" s="1883"/>
      <c r="DE50" s="1883"/>
      <c r="DF50" s="1883"/>
      <c r="DG50" s="1883"/>
      <c r="DH50" s="1883"/>
      <c r="DI50" s="1883"/>
      <c r="DJ50" s="1883"/>
      <c r="DK50" s="1883"/>
      <c r="DL50" s="1883"/>
      <c r="DM50" s="1883"/>
      <c r="DN50" s="1883"/>
      <c r="DO50" s="1883"/>
      <c r="DP50" s="1883"/>
      <c r="DQ50" s="1883"/>
      <c r="DR50" s="1883"/>
      <c r="DS50" s="1883"/>
      <c r="DT50" s="1883"/>
      <c r="DU50" s="1883"/>
      <c r="DV50" s="1883"/>
      <c r="DW50" s="2033"/>
    </row>
    <row r="51" spans="1:127" s="2079" customFormat="1" ht="65.25" customHeight="1">
      <c r="A51" s="3773">
        <v>18</v>
      </c>
      <c r="B51" s="2118" t="str">
        <f t="shared" si="1"/>
        <v>2200001867</v>
      </c>
      <c r="C51" s="2118" t="s">
        <v>6809</v>
      </c>
      <c r="D51" s="2178">
        <v>28000</v>
      </c>
      <c r="E51" s="2118" t="s">
        <v>6810</v>
      </c>
      <c r="F51" s="2120" t="s">
        <v>3401</v>
      </c>
      <c r="G51" s="2118" t="s">
        <v>6811</v>
      </c>
      <c r="H51" s="2159" t="s">
        <v>6777</v>
      </c>
      <c r="I51" s="2118" t="s">
        <v>19</v>
      </c>
      <c r="J51" s="2118" t="s">
        <v>6555</v>
      </c>
      <c r="K51" s="2402" t="s">
        <v>6812</v>
      </c>
      <c r="L51" s="2273">
        <v>26000</v>
      </c>
      <c r="M51" s="2030" t="s">
        <v>5454</v>
      </c>
      <c r="N51" s="2130"/>
      <c r="O51" s="2102">
        <v>1</v>
      </c>
      <c r="P51" s="2122"/>
      <c r="Q51" s="2122"/>
      <c r="R51" s="2122"/>
      <c r="S51" s="2122"/>
      <c r="T51" s="2122"/>
      <c r="U51" s="2122"/>
      <c r="V51" s="2122"/>
      <c r="W51" s="2122"/>
      <c r="X51" s="2122"/>
      <c r="Y51" s="2122"/>
      <c r="Z51" s="2122"/>
      <c r="AA51" s="2122"/>
      <c r="AB51" s="2122"/>
      <c r="AC51" s="2122"/>
      <c r="AD51" s="2122"/>
      <c r="AE51" s="2122"/>
      <c r="AF51" s="2122"/>
      <c r="AG51" s="2122"/>
      <c r="AH51" s="2122"/>
      <c r="AI51" s="2122"/>
      <c r="AJ51" s="2122"/>
      <c r="AK51" s="2122"/>
      <c r="AL51" s="2122"/>
      <c r="AM51" s="2122"/>
      <c r="AN51" s="2122"/>
      <c r="AO51" s="2122"/>
      <c r="AP51" s="2122"/>
      <c r="AQ51" s="2122"/>
      <c r="AR51" s="2122"/>
      <c r="AS51" s="2122"/>
      <c r="AT51" s="2122"/>
      <c r="AU51" s="2122"/>
      <c r="AV51" s="2122"/>
      <c r="AW51" s="2122"/>
      <c r="AX51" s="2122"/>
      <c r="AY51" s="2122"/>
      <c r="AZ51" s="2122"/>
      <c r="BA51" s="2122"/>
      <c r="BB51" s="2122"/>
      <c r="BC51" s="2122"/>
      <c r="BD51" s="2122"/>
      <c r="BE51" s="2122"/>
      <c r="BF51" s="2122"/>
      <c r="BG51" s="2122"/>
      <c r="BH51" s="2122"/>
      <c r="BI51" s="2122"/>
      <c r="BJ51" s="2122"/>
      <c r="BK51" s="2122"/>
      <c r="BL51" s="2122"/>
      <c r="BM51" s="2122"/>
      <c r="BN51" s="2122"/>
      <c r="BO51" s="2122"/>
      <c r="BP51" s="2122"/>
      <c r="BQ51" s="2122"/>
      <c r="BR51" s="2122"/>
      <c r="BS51" s="2122"/>
      <c r="BT51" s="2122"/>
      <c r="BU51" s="2122"/>
      <c r="BV51" s="2122"/>
      <c r="BW51" s="2122"/>
      <c r="BX51" s="2122"/>
      <c r="BY51" s="2122"/>
      <c r="BZ51" s="2122"/>
      <c r="CA51" s="2122"/>
      <c r="CB51" s="2122"/>
      <c r="CC51" s="2122"/>
      <c r="CD51" s="2122"/>
      <c r="CE51" s="2122"/>
      <c r="CF51" s="2122"/>
      <c r="CG51" s="2122"/>
      <c r="CH51" s="2122"/>
      <c r="CI51" s="2122"/>
      <c r="CJ51" s="2122"/>
      <c r="CK51" s="2122"/>
      <c r="CL51" s="2122"/>
      <c r="CM51" s="2122"/>
      <c r="CN51" s="2122"/>
      <c r="CO51" s="2122"/>
      <c r="CP51" s="2122"/>
      <c r="CQ51" s="2122"/>
      <c r="CR51" s="2122"/>
      <c r="CS51" s="2122"/>
      <c r="CT51" s="2122"/>
      <c r="CU51" s="2122"/>
      <c r="CV51" s="2122"/>
      <c r="CW51" s="2122"/>
      <c r="CX51" s="2122"/>
      <c r="CY51" s="2122"/>
      <c r="CZ51" s="2122"/>
      <c r="DA51" s="2122"/>
      <c r="DB51" s="2122"/>
      <c r="DC51" s="2122"/>
      <c r="DD51" s="2122"/>
      <c r="DE51" s="2122"/>
      <c r="DF51" s="2122"/>
      <c r="DG51" s="2122"/>
      <c r="DH51" s="2122"/>
      <c r="DI51" s="2122"/>
      <c r="DJ51" s="2122"/>
      <c r="DK51" s="2122"/>
      <c r="DL51" s="2122"/>
      <c r="DM51" s="2122"/>
      <c r="DN51" s="2122"/>
      <c r="DO51" s="2122"/>
      <c r="DP51" s="2122"/>
      <c r="DQ51" s="2122"/>
      <c r="DR51" s="2122"/>
      <c r="DS51" s="2122"/>
      <c r="DT51" s="2122"/>
      <c r="DU51" s="2122"/>
      <c r="DV51" s="2122"/>
      <c r="DW51" s="2122"/>
    </row>
    <row r="52" spans="1:127" s="2079" customFormat="1" ht="54" customHeight="1">
      <c r="A52" s="3768"/>
      <c r="B52" s="1495" t="str">
        <f t="shared" si="1"/>
        <v>2200001863</v>
      </c>
      <c r="C52" s="1495" t="s">
        <v>6809</v>
      </c>
      <c r="D52" s="2203"/>
      <c r="E52" s="1851"/>
      <c r="F52" s="1872" t="s">
        <v>3401</v>
      </c>
      <c r="G52" s="1495"/>
      <c r="H52" s="1495"/>
      <c r="I52" s="1495" t="s">
        <v>19</v>
      </c>
      <c r="J52" s="1495" t="s">
        <v>6555</v>
      </c>
      <c r="K52" s="2329" t="s">
        <v>6813</v>
      </c>
      <c r="L52" s="2330">
        <v>1700</v>
      </c>
      <c r="M52" s="2295" t="s">
        <v>6756</v>
      </c>
      <c r="N52" s="2265" t="s">
        <v>6814</v>
      </c>
      <c r="O52" s="2102">
        <v>1</v>
      </c>
      <c r="P52" s="1548"/>
      <c r="Q52" s="1548"/>
      <c r="R52" s="1548"/>
      <c r="S52" s="1548"/>
      <c r="T52" s="1548"/>
      <c r="U52" s="1548"/>
      <c r="V52" s="1548"/>
      <c r="W52" s="1548"/>
      <c r="X52" s="1548"/>
      <c r="Y52" s="1548"/>
      <c r="Z52" s="1548"/>
      <c r="AA52" s="1548"/>
      <c r="AB52" s="1548"/>
      <c r="AC52" s="1548"/>
      <c r="AD52" s="1548"/>
      <c r="AE52" s="1548"/>
      <c r="AF52" s="1548"/>
      <c r="AG52" s="1548"/>
      <c r="AH52" s="1548"/>
      <c r="AI52" s="1548"/>
      <c r="AJ52" s="1548"/>
      <c r="AK52" s="1548"/>
      <c r="AL52" s="1548"/>
      <c r="AM52" s="1548"/>
      <c r="AN52" s="1548"/>
      <c r="AO52" s="1548"/>
      <c r="AP52" s="1548"/>
      <c r="AQ52" s="1548"/>
      <c r="AR52" s="1548"/>
      <c r="AS52" s="1548"/>
      <c r="AT52" s="1548"/>
      <c r="AU52" s="1548"/>
      <c r="AV52" s="1548"/>
      <c r="AW52" s="1548"/>
      <c r="AX52" s="1548"/>
      <c r="AY52" s="1548"/>
      <c r="AZ52" s="1548"/>
      <c r="BA52" s="1548"/>
      <c r="BB52" s="1548"/>
      <c r="BC52" s="1548"/>
      <c r="BD52" s="1548"/>
      <c r="BE52" s="1548"/>
      <c r="BF52" s="1548"/>
      <c r="BG52" s="1548"/>
      <c r="BH52" s="1548"/>
      <c r="BI52" s="1548"/>
      <c r="BJ52" s="1548"/>
      <c r="BK52" s="1548"/>
      <c r="BL52" s="1548"/>
      <c r="BM52" s="1548"/>
      <c r="BN52" s="1548"/>
      <c r="BO52" s="1548"/>
      <c r="BP52" s="1548"/>
      <c r="BQ52" s="1548"/>
      <c r="BR52" s="1548"/>
      <c r="BS52" s="1548"/>
      <c r="BT52" s="1548"/>
      <c r="BU52" s="1548"/>
      <c r="BV52" s="1548"/>
      <c r="BW52" s="1548"/>
      <c r="BX52" s="1548"/>
      <c r="BY52" s="1548"/>
      <c r="BZ52" s="1548"/>
      <c r="CA52" s="1548"/>
      <c r="CB52" s="1548"/>
      <c r="CC52" s="1548"/>
      <c r="CD52" s="1548"/>
      <c r="CE52" s="1548"/>
      <c r="CF52" s="1548"/>
      <c r="CG52" s="1548"/>
      <c r="CH52" s="1548"/>
      <c r="CI52" s="1548"/>
      <c r="CJ52" s="1548"/>
      <c r="CK52" s="1548"/>
      <c r="CL52" s="1548"/>
      <c r="CM52" s="1548"/>
      <c r="CN52" s="1548"/>
      <c r="CO52" s="1548"/>
      <c r="CP52" s="1548"/>
      <c r="CQ52" s="1548"/>
      <c r="CR52" s="1548"/>
      <c r="CS52" s="1548"/>
      <c r="CT52" s="1548"/>
      <c r="CU52" s="1548"/>
      <c r="CV52" s="1548"/>
      <c r="CW52" s="1548"/>
      <c r="CX52" s="1548"/>
      <c r="CY52" s="1548"/>
      <c r="CZ52" s="1548"/>
      <c r="DA52" s="1548"/>
      <c r="DB52" s="1548"/>
      <c r="DC52" s="1548"/>
      <c r="DD52" s="1548"/>
      <c r="DE52" s="1548"/>
      <c r="DF52" s="1548"/>
      <c r="DG52" s="1548"/>
      <c r="DH52" s="1548"/>
      <c r="DI52" s="1548"/>
      <c r="DJ52" s="1548"/>
      <c r="DK52" s="1548"/>
      <c r="DL52" s="1548"/>
      <c r="DM52" s="1548"/>
      <c r="DN52" s="1548"/>
      <c r="DO52" s="1548"/>
      <c r="DP52" s="1548"/>
      <c r="DQ52" s="1548"/>
      <c r="DR52" s="1548"/>
      <c r="DS52" s="1548"/>
      <c r="DT52" s="1548"/>
      <c r="DU52" s="1548"/>
      <c r="DV52" s="1548"/>
      <c r="DW52" s="1548"/>
    </row>
    <row r="53" spans="1:127" s="2079" customFormat="1" ht="54" customHeight="1">
      <c r="A53" s="3780">
        <v>19</v>
      </c>
      <c r="B53" s="2297" t="str">
        <f t="shared" si="1"/>
        <v>2400001069</v>
      </c>
      <c r="C53" s="2297" t="s">
        <v>3859</v>
      </c>
      <c r="D53" s="2458">
        <v>5900</v>
      </c>
      <c r="E53" s="2297" t="s">
        <v>6810</v>
      </c>
      <c r="F53" s="2297" t="s">
        <v>3421</v>
      </c>
      <c r="G53" s="2297" t="s">
        <v>6815</v>
      </c>
      <c r="H53" s="2318"/>
      <c r="I53" s="1921" t="s">
        <v>19</v>
      </c>
      <c r="J53" s="1921" t="s">
        <v>267</v>
      </c>
      <c r="K53" s="2319" t="s">
        <v>6816</v>
      </c>
      <c r="L53" s="2314">
        <v>50</v>
      </c>
      <c r="M53" s="2378" t="s">
        <v>5937</v>
      </c>
      <c r="N53" s="2315" t="s">
        <v>6817</v>
      </c>
      <c r="O53" s="1939">
        <v>1</v>
      </c>
      <c r="P53" s="2150"/>
      <c r="Q53" s="2316"/>
      <c r="R53" s="2129"/>
      <c r="S53" s="2129"/>
      <c r="T53" s="2129"/>
      <c r="U53" s="2129"/>
      <c r="V53" s="2129"/>
      <c r="W53" s="2129"/>
      <c r="X53" s="2129"/>
      <c r="Y53" s="2129"/>
      <c r="Z53" s="2129"/>
      <c r="AA53" s="2129"/>
      <c r="AB53" s="2129"/>
      <c r="AC53" s="2129"/>
      <c r="AD53" s="2129"/>
      <c r="AE53" s="2129"/>
      <c r="AF53" s="2129"/>
      <c r="AG53" s="2129"/>
      <c r="AH53" s="2129"/>
      <c r="AI53" s="2129"/>
      <c r="AJ53" s="2129"/>
      <c r="AK53" s="2129"/>
      <c r="AL53" s="2129"/>
      <c r="AM53" s="2129"/>
      <c r="AN53" s="2129"/>
      <c r="AO53" s="2129"/>
      <c r="AP53" s="2129"/>
      <c r="AQ53" s="2129"/>
      <c r="AR53" s="2129"/>
      <c r="AS53" s="2129"/>
      <c r="AT53" s="2129"/>
      <c r="AU53" s="2129"/>
      <c r="AV53" s="2129"/>
      <c r="AW53" s="2129"/>
      <c r="AX53" s="2129"/>
      <c r="AY53" s="2129"/>
      <c r="AZ53" s="2129"/>
      <c r="BA53" s="2129"/>
      <c r="BB53" s="2129"/>
      <c r="BC53" s="2129"/>
      <c r="BD53" s="2129"/>
      <c r="BE53" s="2129"/>
      <c r="BF53" s="2129"/>
      <c r="BG53" s="2129"/>
      <c r="BH53" s="2129"/>
      <c r="BI53" s="2129"/>
      <c r="BJ53" s="2129"/>
      <c r="BK53" s="2129"/>
      <c r="BL53" s="2129"/>
      <c r="BM53" s="2129"/>
      <c r="BN53" s="2129"/>
      <c r="BO53" s="2129"/>
      <c r="BP53" s="2129"/>
      <c r="BQ53" s="2129"/>
      <c r="BR53" s="2129"/>
      <c r="BS53" s="2129"/>
      <c r="BT53" s="2129"/>
      <c r="BU53" s="2129"/>
      <c r="BV53" s="2129"/>
      <c r="BW53" s="2129"/>
      <c r="BX53" s="2129"/>
      <c r="BY53" s="2129"/>
      <c r="BZ53" s="2129"/>
      <c r="CA53" s="2129"/>
      <c r="CB53" s="2129"/>
      <c r="CC53" s="2129"/>
      <c r="CD53" s="2129"/>
      <c r="CE53" s="2129"/>
      <c r="CF53" s="2129"/>
      <c r="CG53" s="2129"/>
      <c r="CH53" s="2129"/>
      <c r="CI53" s="2129"/>
      <c r="CJ53" s="2129"/>
      <c r="CK53" s="2129"/>
      <c r="CL53" s="2129"/>
      <c r="CM53" s="2129"/>
      <c r="CN53" s="2129"/>
      <c r="CO53" s="2129"/>
      <c r="CP53" s="2129"/>
      <c r="CQ53" s="2129"/>
      <c r="CR53" s="2129"/>
      <c r="CS53" s="2129"/>
      <c r="CT53" s="2129"/>
      <c r="CU53" s="2129"/>
      <c r="CV53" s="2129"/>
      <c r="CW53" s="2129"/>
      <c r="CX53" s="2129"/>
      <c r="CY53" s="2129"/>
      <c r="CZ53" s="2129"/>
      <c r="DA53" s="2129"/>
      <c r="DB53" s="2129"/>
      <c r="DC53" s="2129"/>
      <c r="DD53" s="2129"/>
      <c r="DE53" s="2129"/>
      <c r="DF53" s="2129"/>
      <c r="DG53" s="2129"/>
      <c r="DH53" s="2129"/>
      <c r="DI53" s="2129"/>
      <c r="DJ53" s="2129"/>
      <c r="DK53" s="2129"/>
      <c r="DL53" s="2129"/>
      <c r="DM53" s="2129"/>
      <c r="DN53" s="2129"/>
      <c r="DO53" s="2129"/>
      <c r="DP53" s="2129"/>
      <c r="DQ53" s="2129"/>
      <c r="DR53" s="2129"/>
      <c r="DS53" s="2129"/>
      <c r="DT53" s="2129"/>
      <c r="DU53" s="2129"/>
      <c r="DV53" s="2129"/>
    </row>
    <row r="54" spans="1:127" s="2197" customFormat="1" ht="54" customHeight="1">
      <c r="A54" s="3781"/>
      <c r="B54" s="2303" t="str">
        <f t="shared" si="1"/>
        <v>2400001070</v>
      </c>
      <c r="C54" s="2303" t="s">
        <v>3859</v>
      </c>
      <c r="D54" s="2459"/>
      <c r="E54" s="2303"/>
      <c r="F54" s="2303" t="s">
        <v>3421</v>
      </c>
      <c r="G54" s="2303"/>
      <c r="H54" s="2309"/>
      <c r="I54" s="1495" t="s">
        <v>19</v>
      </c>
      <c r="J54" s="1495" t="s">
        <v>267</v>
      </c>
      <c r="K54" s="2313" t="s">
        <v>6818</v>
      </c>
      <c r="L54" s="2314">
        <v>405</v>
      </c>
      <c r="M54" s="2378" t="s">
        <v>5937</v>
      </c>
      <c r="N54" s="2692" t="s">
        <v>6817</v>
      </c>
      <c r="O54" s="1939">
        <v>1</v>
      </c>
      <c r="P54" s="1548"/>
      <c r="Q54" s="1985"/>
      <c r="R54" s="1945"/>
      <c r="S54" s="1945"/>
      <c r="T54" s="1945"/>
      <c r="U54" s="1945"/>
      <c r="V54" s="1945"/>
      <c r="W54" s="1945"/>
      <c r="X54" s="1945"/>
      <c r="Y54" s="1945"/>
      <c r="Z54" s="1945"/>
      <c r="AA54" s="1945"/>
      <c r="AB54" s="1945"/>
      <c r="AC54" s="1945"/>
      <c r="AD54" s="1945"/>
      <c r="AE54" s="1945"/>
      <c r="AF54" s="1945"/>
      <c r="AG54" s="1945"/>
      <c r="AH54" s="1945"/>
      <c r="AI54" s="1945"/>
      <c r="AJ54" s="1945"/>
      <c r="AK54" s="1945"/>
      <c r="AL54" s="1945"/>
      <c r="AM54" s="1945"/>
      <c r="AN54" s="1945"/>
      <c r="AO54" s="1945"/>
      <c r="AP54" s="1945"/>
      <c r="AQ54" s="1945"/>
      <c r="AR54" s="1945"/>
      <c r="AS54" s="1945"/>
      <c r="AT54" s="1945"/>
      <c r="AU54" s="1945"/>
      <c r="AV54" s="1945"/>
      <c r="AW54" s="1945"/>
      <c r="AX54" s="1945"/>
      <c r="AY54" s="1945"/>
      <c r="AZ54" s="1945"/>
      <c r="BA54" s="1945"/>
      <c r="BB54" s="1945"/>
      <c r="BC54" s="1945"/>
      <c r="BD54" s="1945"/>
      <c r="BE54" s="1945"/>
      <c r="BF54" s="1945"/>
      <c r="BG54" s="1945"/>
      <c r="BH54" s="1945"/>
      <c r="BI54" s="1945"/>
      <c r="BJ54" s="1945"/>
      <c r="BK54" s="1945"/>
      <c r="BL54" s="1945"/>
      <c r="BM54" s="1945"/>
      <c r="BN54" s="1945"/>
      <c r="BO54" s="1945"/>
      <c r="BP54" s="1945"/>
      <c r="BQ54" s="1945"/>
      <c r="BR54" s="1945"/>
      <c r="BS54" s="1945"/>
      <c r="BT54" s="1945"/>
      <c r="BU54" s="1945"/>
      <c r="BV54" s="1945"/>
      <c r="BW54" s="1945"/>
      <c r="BX54" s="1945"/>
      <c r="BY54" s="1945"/>
      <c r="BZ54" s="1945"/>
      <c r="CA54" s="1945"/>
      <c r="CB54" s="1945"/>
      <c r="CC54" s="1945"/>
      <c r="CD54" s="1945"/>
      <c r="CE54" s="1945"/>
      <c r="CF54" s="1945"/>
      <c r="CG54" s="1945"/>
      <c r="CH54" s="1945"/>
      <c r="CI54" s="1945"/>
      <c r="CJ54" s="1945"/>
      <c r="CK54" s="1945"/>
      <c r="CL54" s="1945"/>
      <c r="CM54" s="1945"/>
      <c r="CN54" s="1945"/>
      <c r="CO54" s="1945"/>
      <c r="CP54" s="1945"/>
      <c r="CQ54" s="1945"/>
      <c r="CR54" s="1945"/>
      <c r="CS54" s="1945"/>
      <c r="CT54" s="1945"/>
      <c r="CU54" s="1945"/>
      <c r="CV54" s="1945"/>
      <c r="CW54" s="1945"/>
      <c r="CX54" s="1945"/>
      <c r="CY54" s="1945"/>
      <c r="CZ54" s="1945"/>
      <c r="DA54" s="1945"/>
      <c r="DB54" s="1945"/>
      <c r="DC54" s="1945"/>
      <c r="DD54" s="1945"/>
      <c r="DE54" s="1945"/>
      <c r="DF54" s="1945"/>
      <c r="DG54" s="1945"/>
      <c r="DH54" s="1945"/>
      <c r="DI54" s="1945"/>
      <c r="DJ54" s="1945"/>
      <c r="DK54" s="1945"/>
      <c r="DL54" s="1945"/>
      <c r="DM54" s="1945"/>
      <c r="DN54" s="1945"/>
      <c r="DO54" s="1945"/>
      <c r="DP54" s="1945"/>
      <c r="DQ54" s="1945"/>
      <c r="DR54" s="1945"/>
      <c r="DS54" s="1945"/>
      <c r="DT54" s="1945"/>
      <c r="DU54" s="1945"/>
      <c r="DV54" s="1945"/>
    </row>
    <row r="55" spans="1:127" s="2197" customFormat="1" ht="70.5" customHeight="1">
      <c r="A55" s="3781"/>
      <c r="B55" s="2303" t="str">
        <f t="shared" si="1"/>
        <v>2400001071</v>
      </c>
      <c r="C55" s="2303" t="s">
        <v>3859</v>
      </c>
      <c r="D55" s="2459"/>
      <c r="E55" s="2303"/>
      <c r="F55" s="2303" t="s">
        <v>3421</v>
      </c>
      <c r="G55" s="2303"/>
      <c r="H55" s="2309"/>
      <c r="I55" s="1495" t="s">
        <v>19</v>
      </c>
      <c r="J55" s="1495" t="s">
        <v>267</v>
      </c>
      <c r="K55" s="2313" t="s">
        <v>6819</v>
      </c>
      <c r="L55" s="2314">
        <v>550</v>
      </c>
      <c r="M55" s="2382" t="s">
        <v>5937</v>
      </c>
      <c r="N55" s="2692" t="s">
        <v>6817</v>
      </c>
      <c r="O55" s="1939">
        <v>1</v>
      </c>
      <c r="P55" s="1548"/>
      <c r="Q55" s="1985"/>
      <c r="R55" s="1945"/>
      <c r="S55" s="1945"/>
      <c r="T55" s="1945"/>
      <c r="U55" s="1945"/>
      <c r="V55" s="1945"/>
      <c r="W55" s="1945"/>
      <c r="X55" s="1945"/>
      <c r="Y55" s="1945"/>
      <c r="Z55" s="1945"/>
      <c r="AA55" s="1945"/>
      <c r="AB55" s="1945"/>
      <c r="AC55" s="1945"/>
      <c r="AD55" s="1945"/>
      <c r="AE55" s="1945"/>
      <c r="AF55" s="1945"/>
      <c r="AG55" s="1945"/>
      <c r="AH55" s="1945"/>
      <c r="AI55" s="1945"/>
      <c r="AJ55" s="1945"/>
      <c r="AK55" s="1945"/>
      <c r="AL55" s="1945"/>
      <c r="AM55" s="1945"/>
      <c r="AN55" s="1945"/>
      <c r="AO55" s="1945"/>
      <c r="AP55" s="1945"/>
      <c r="AQ55" s="1945"/>
      <c r="AR55" s="1945"/>
      <c r="AS55" s="1945"/>
      <c r="AT55" s="1945"/>
      <c r="AU55" s="1945"/>
      <c r="AV55" s="1945"/>
      <c r="AW55" s="1945"/>
      <c r="AX55" s="1945"/>
      <c r="AY55" s="1945"/>
      <c r="AZ55" s="1945"/>
      <c r="BA55" s="1945"/>
      <c r="BB55" s="1945"/>
      <c r="BC55" s="1945"/>
      <c r="BD55" s="1945"/>
      <c r="BE55" s="1945"/>
      <c r="BF55" s="1945"/>
      <c r="BG55" s="1945"/>
      <c r="BH55" s="1945"/>
      <c r="BI55" s="1945"/>
      <c r="BJ55" s="1945"/>
      <c r="BK55" s="1945"/>
      <c r="BL55" s="1945"/>
      <c r="BM55" s="1945"/>
      <c r="BN55" s="1945"/>
      <c r="BO55" s="1945"/>
      <c r="BP55" s="1945"/>
      <c r="BQ55" s="1945"/>
      <c r="BR55" s="1945"/>
      <c r="BS55" s="1945"/>
      <c r="BT55" s="1945"/>
      <c r="BU55" s="1945"/>
      <c r="BV55" s="1945"/>
      <c r="BW55" s="1945"/>
      <c r="BX55" s="1945"/>
      <c r="BY55" s="1945"/>
      <c r="BZ55" s="1945"/>
      <c r="CA55" s="1945"/>
      <c r="CB55" s="1945"/>
      <c r="CC55" s="1945"/>
      <c r="CD55" s="1945"/>
      <c r="CE55" s="1945"/>
      <c r="CF55" s="1945"/>
      <c r="CG55" s="1945"/>
      <c r="CH55" s="1945"/>
      <c r="CI55" s="1945"/>
      <c r="CJ55" s="1945"/>
      <c r="CK55" s="1945"/>
      <c r="CL55" s="1945"/>
      <c r="CM55" s="1945"/>
      <c r="CN55" s="1945"/>
      <c r="CO55" s="1945"/>
      <c r="CP55" s="1945"/>
      <c r="CQ55" s="1945"/>
      <c r="CR55" s="1945"/>
      <c r="CS55" s="1945"/>
      <c r="CT55" s="1945"/>
      <c r="CU55" s="1945"/>
      <c r="CV55" s="1945"/>
      <c r="CW55" s="1945"/>
      <c r="CX55" s="1945"/>
      <c r="CY55" s="1945"/>
      <c r="CZ55" s="1945"/>
      <c r="DA55" s="1945"/>
      <c r="DB55" s="1945"/>
      <c r="DC55" s="1945"/>
      <c r="DD55" s="1945"/>
      <c r="DE55" s="1945"/>
      <c r="DF55" s="1945"/>
      <c r="DG55" s="1945"/>
      <c r="DH55" s="1945"/>
      <c r="DI55" s="1945"/>
      <c r="DJ55" s="1945"/>
      <c r="DK55" s="1945"/>
      <c r="DL55" s="1945"/>
      <c r="DM55" s="1945"/>
      <c r="DN55" s="1945"/>
      <c r="DO55" s="1945"/>
      <c r="DP55" s="1945"/>
      <c r="DQ55" s="1945"/>
      <c r="DR55" s="1945"/>
      <c r="DS55" s="1945"/>
      <c r="DT55" s="1945"/>
      <c r="DU55" s="1945"/>
      <c r="DV55" s="1945"/>
    </row>
    <row r="56" spans="1:127" s="2079" customFormat="1" ht="70.5" customHeight="1">
      <c r="A56" s="3781"/>
      <c r="B56" s="2303" t="str">
        <f t="shared" si="1"/>
        <v>2400001072</v>
      </c>
      <c r="C56" s="2303" t="s">
        <v>3859</v>
      </c>
      <c r="D56" s="2459"/>
      <c r="E56" s="2303"/>
      <c r="F56" s="2303" t="s">
        <v>3421</v>
      </c>
      <c r="G56" s="2303"/>
      <c r="H56" s="2309"/>
      <c r="I56" s="1495" t="s">
        <v>19</v>
      </c>
      <c r="J56" s="1495" t="s">
        <v>267</v>
      </c>
      <c r="K56" s="2313" t="s">
        <v>6820</v>
      </c>
      <c r="L56" s="2314">
        <v>480</v>
      </c>
      <c r="M56" s="2378" t="s">
        <v>5937</v>
      </c>
      <c r="N56" s="2315" t="s">
        <v>6817</v>
      </c>
      <c r="O56" s="2102">
        <v>1</v>
      </c>
      <c r="P56" s="2150"/>
      <c r="Q56" s="2316"/>
      <c r="R56" s="2129"/>
      <c r="S56" s="2129"/>
      <c r="T56" s="2129"/>
      <c r="U56" s="2129"/>
      <c r="V56" s="2129"/>
      <c r="W56" s="2129"/>
      <c r="X56" s="2129"/>
      <c r="Y56" s="2129"/>
      <c r="Z56" s="2129"/>
      <c r="AA56" s="2129"/>
      <c r="AB56" s="2129"/>
      <c r="AC56" s="2129"/>
      <c r="AD56" s="2129"/>
      <c r="AE56" s="2129"/>
      <c r="AF56" s="2129"/>
      <c r="AG56" s="2129"/>
      <c r="AH56" s="2129"/>
      <c r="AI56" s="2129"/>
      <c r="AJ56" s="2129"/>
      <c r="AK56" s="2129"/>
      <c r="AL56" s="2129"/>
      <c r="AM56" s="2129"/>
      <c r="AN56" s="2129"/>
      <c r="AO56" s="2129"/>
      <c r="AP56" s="2129"/>
      <c r="AQ56" s="2129"/>
      <c r="AR56" s="2129"/>
      <c r="AS56" s="2129"/>
      <c r="AT56" s="2129"/>
      <c r="AU56" s="2129"/>
      <c r="AV56" s="2129"/>
      <c r="AW56" s="2129"/>
      <c r="AX56" s="2129"/>
      <c r="AY56" s="2129"/>
      <c r="AZ56" s="2129"/>
      <c r="BA56" s="2129"/>
      <c r="BB56" s="2129"/>
      <c r="BC56" s="2129"/>
      <c r="BD56" s="2129"/>
      <c r="BE56" s="2129"/>
      <c r="BF56" s="2129"/>
      <c r="BG56" s="2129"/>
      <c r="BH56" s="2129"/>
      <c r="BI56" s="2129"/>
      <c r="BJ56" s="2129"/>
      <c r="BK56" s="2129"/>
      <c r="BL56" s="2129"/>
      <c r="BM56" s="2129"/>
      <c r="BN56" s="2129"/>
      <c r="BO56" s="2129"/>
      <c r="BP56" s="2129"/>
      <c r="BQ56" s="2129"/>
      <c r="BR56" s="2129"/>
      <c r="BS56" s="2129"/>
      <c r="BT56" s="2129"/>
      <c r="BU56" s="2129"/>
      <c r="BV56" s="2129"/>
      <c r="BW56" s="2129"/>
      <c r="BX56" s="2129"/>
      <c r="BY56" s="2129"/>
      <c r="BZ56" s="2129"/>
      <c r="CA56" s="2129"/>
      <c r="CB56" s="2129"/>
      <c r="CC56" s="2129"/>
      <c r="CD56" s="2129"/>
      <c r="CE56" s="2129"/>
      <c r="CF56" s="2129"/>
      <c r="CG56" s="2129"/>
      <c r="CH56" s="2129"/>
      <c r="CI56" s="2129"/>
      <c r="CJ56" s="2129"/>
      <c r="CK56" s="2129"/>
      <c r="CL56" s="2129"/>
      <c r="CM56" s="2129"/>
      <c r="CN56" s="2129"/>
      <c r="CO56" s="2129"/>
      <c r="CP56" s="2129"/>
      <c r="CQ56" s="2129"/>
      <c r="CR56" s="2129"/>
      <c r="CS56" s="2129"/>
      <c r="CT56" s="2129"/>
      <c r="CU56" s="2129"/>
      <c r="CV56" s="2129"/>
      <c r="CW56" s="2129"/>
      <c r="CX56" s="2129"/>
      <c r="CY56" s="2129"/>
      <c r="CZ56" s="2129"/>
      <c r="DA56" s="2129"/>
      <c r="DB56" s="2129"/>
      <c r="DC56" s="2129"/>
      <c r="DD56" s="2129"/>
      <c r="DE56" s="2129"/>
      <c r="DF56" s="2129"/>
      <c r="DG56" s="2129"/>
      <c r="DH56" s="2129"/>
      <c r="DI56" s="2129"/>
      <c r="DJ56" s="2129"/>
      <c r="DK56" s="2129"/>
      <c r="DL56" s="2129"/>
      <c r="DM56" s="2129"/>
      <c r="DN56" s="2129"/>
      <c r="DO56" s="2129"/>
      <c r="DP56" s="2129"/>
      <c r="DQ56" s="2129"/>
      <c r="DR56" s="2129"/>
      <c r="DS56" s="2129"/>
      <c r="DT56" s="2129"/>
      <c r="DU56" s="2129"/>
      <c r="DV56" s="2129"/>
    </row>
    <row r="57" spans="1:127" s="2079" customFormat="1" ht="85.5" customHeight="1">
      <c r="A57" s="3781"/>
      <c r="B57" s="2303" t="str">
        <f t="shared" si="1"/>
        <v>2400001073</v>
      </c>
      <c r="C57" s="2303" t="s">
        <v>3859</v>
      </c>
      <c r="D57" s="2459"/>
      <c r="E57" s="2303"/>
      <c r="F57" s="2303" t="s">
        <v>3421</v>
      </c>
      <c r="G57" s="2303"/>
      <c r="H57" s="2309"/>
      <c r="I57" s="1495" t="s">
        <v>19</v>
      </c>
      <c r="J57" s="1495" t="s">
        <v>267</v>
      </c>
      <c r="K57" s="2313" t="s">
        <v>6821</v>
      </c>
      <c r="L57" s="2314">
        <v>70</v>
      </c>
      <c r="M57" s="2378" t="s">
        <v>5937</v>
      </c>
      <c r="N57" s="2315" t="s">
        <v>6817</v>
      </c>
      <c r="O57" s="2102">
        <v>1</v>
      </c>
      <c r="P57" s="2150"/>
      <c r="Q57" s="2316"/>
      <c r="R57" s="2129"/>
      <c r="S57" s="2129"/>
      <c r="T57" s="2129"/>
      <c r="U57" s="2129"/>
      <c r="V57" s="2129"/>
      <c r="W57" s="2129"/>
      <c r="X57" s="2129"/>
      <c r="Y57" s="2129"/>
      <c r="Z57" s="2129"/>
      <c r="AA57" s="2129"/>
      <c r="AB57" s="2129"/>
      <c r="AC57" s="2129"/>
      <c r="AD57" s="2129"/>
      <c r="AE57" s="2129"/>
      <c r="AF57" s="2129"/>
      <c r="AG57" s="2129"/>
      <c r="AH57" s="2129"/>
      <c r="AI57" s="2129"/>
      <c r="AJ57" s="2129"/>
      <c r="AK57" s="2129"/>
      <c r="AL57" s="2129"/>
      <c r="AM57" s="2129"/>
      <c r="AN57" s="2129"/>
      <c r="AO57" s="2129"/>
      <c r="AP57" s="2129"/>
      <c r="AQ57" s="2129"/>
      <c r="AR57" s="2129"/>
      <c r="AS57" s="2129"/>
      <c r="AT57" s="2129"/>
      <c r="AU57" s="2129"/>
      <c r="AV57" s="2129"/>
      <c r="AW57" s="2129"/>
      <c r="AX57" s="2129"/>
      <c r="AY57" s="2129"/>
      <c r="AZ57" s="2129"/>
      <c r="BA57" s="2129"/>
      <c r="BB57" s="2129"/>
      <c r="BC57" s="2129"/>
      <c r="BD57" s="2129"/>
      <c r="BE57" s="2129"/>
      <c r="BF57" s="2129"/>
      <c r="BG57" s="2129"/>
      <c r="BH57" s="2129"/>
      <c r="BI57" s="2129"/>
      <c r="BJ57" s="2129"/>
      <c r="BK57" s="2129"/>
      <c r="BL57" s="2129"/>
      <c r="BM57" s="2129"/>
      <c r="BN57" s="2129"/>
      <c r="BO57" s="2129"/>
      <c r="BP57" s="2129"/>
      <c r="BQ57" s="2129"/>
      <c r="BR57" s="2129"/>
      <c r="BS57" s="2129"/>
      <c r="BT57" s="2129"/>
      <c r="BU57" s="2129"/>
      <c r="BV57" s="2129"/>
      <c r="BW57" s="2129"/>
      <c r="BX57" s="2129"/>
      <c r="BY57" s="2129"/>
      <c r="BZ57" s="2129"/>
      <c r="CA57" s="2129"/>
      <c r="CB57" s="2129"/>
      <c r="CC57" s="2129"/>
      <c r="CD57" s="2129"/>
      <c r="CE57" s="2129"/>
      <c r="CF57" s="2129"/>
      <c r="CG57" s="2129"/>
      <c r="CH57" s="2129"/>
      <c r="CI57" s="2129"/>
      <c r="CJ57" s="2129"/>
      <c r="CK57" s="2129"/>
      <c r="CL57" s="2129"/>
      <c r="CM57" s="2129"/>
      <c r="CN57" s="2129"/>
      <c r="CO57" s="2129"/>
      <c r="CP57" s="2129"/>
      <c r="CQ57" s="2129"/>
      <c r="CR57" s="2129"/>
      <c r="CS57" s="2129"/>
      <c r="CT57" s="2129"/>
      <c r="CU57" s="2129"/>
      <c r="CV57" s="2129"/>
      <c r="CW57" s="2129"/>
      <c r="CX57" s="2129"/>
      <c r="CY57" s="2129"/>
      <c r="CZ57" s="2129"/>
      <c r="DA57" s="2129"/>
      <c r="DB57" s="2129"/>
      <c r="DC57" s="2129"/>
      <c r="DD57" s="2129"/>
      <c r="DE57" s="2129"/>
      <c r="DF57" s="2129"/>
      <c r="DG57" s="2129"/>
      <c r="DH57" s="2129"/>
      <c r="DI57" s="2129"/>
      <c r="DJ57" s="2129"/>
      <c r="DK57" s="2129"/>
      <c r="DL57" s="2129"/>
      <c r="DM57" s="2129"/>
      <c r="DN57" s="2129"/>
      <c r="DO57" s="2129"/>
      <c r="DP57" s="2129"/>
      <c r="DQ57" s="2129"/>
      <c r="DR57" s="2129"/>
      <c r="DS57" s="2129"/>
      <c r="DT57" s="2129"/>
      <c r="DU57" s="2129"/>
      <c r="DV57" s="2129"/>
    </row>
    <row r="58" spans="1:127" s="2033" customFormat="1" ht="51" customHeight="1">
      <c r="A58" s="3781"/>
      <c r="B58" s="2303" t="str">
        <f t="shared" si="1"/>
        <v>2400001039</v>
      </c>
      <c r="C58" s="2303" t="s">
        <v>3859</v>
      </c>
      <c r="D58" s="2460"/>
      <c r="E58" s="2303"/>
      <c r="F58" s="2303" t="s">
        <v>3421</v>
      </c>
      <c r="G58" s="1460"/>
      <c r="H58" s="1460"/>
      <c r="I58" s="2303" t="s">
        <v>19</v>
      </c>
      <c r="J58" s="2309" t="s">
        <v>267</v>
      </c>
      <c r="K58" s="1774" t="s">
        <v>6822</v>
      </c>
      <c r="L58" s="2274">
        <v>205</v>
      </c>
      <c r="M58" s="2295" t="s">
        <v>5937</v>
      </c>
      <c r="N58" s="2315" t="s">
        <v>6817</v>
      </c>
      <c r="O58" s="2101">
        <v>1</v>
      </c>
      <c r="P58" s="1548"/>
      <c r="Q58" s="1982"/>
      <c r="R58" s="1883"/>
      <c r="S58" s="1883"/>
      <c r="T58" s="1883"/>
      <c r="U58" s="1883"/>
      <c r="V58" s="1883"/>
      <c r="W58" s="1883"/>
      <c r="X58" s="1883"/>
      <c r="Y58" s="1883"/>
      <c r="Z58" s="1883"/>
      <c r="AA58" s="1883"/>
      <c r="AB58" s="1883"/>
      <c r="AC58" s="1883"/>
      <c r="AD58" s="1883"/>
      <c r="AE58" s="1883"/>
      <c r="AF58" s="1883"/>
      <c r="AG58" s="1883"/>
      <c r="AH58" s="1883"/>
      <c r="AI58" s="1883"/>
      <c r="AJ58" s="1883"/>
      <c r="AK58" s="1883"/>
      <c r="AL58" s="1883"/>
      <c r="AM58" s="1883"/>
      <c r="AN58" s="1883"/>
      <c r="AO58" s="1883"/>
      <c r="AP58" s="1883"/>
      <c r="AQ58" s="1883"/>
      <c r="AR58" s="1883"/>
      <c r="AS58" s="1883"/>
      <c r="AT58" s="1883"/>
      <c r="AU58" s="1883"/>
      <c r="AV58" s="1883"/>
      <c r="AW58" s="1883"/>
      <c r="AX58" s="1883"/>
      <c r="AY58" s="1883"/>
      <c r="AZ58" s="1883"/>
      <c r="BA58" s="1883"/>
      <c r="BB58" s="1883"/>
      <c r="BC58" s="1883"/>
      <c r="BD58" s="1883"/>
      <c r="BE58" s="1883"/>
      <c r="BF58" s="1883"/>
      <c r="BG58" s="1883"/>
      <c r="BH58" s="1883"/>
      <c r="BI58" s="1883"/>
      <c r="BJ58" s="1883"/>
      <c r="BK58" s="1883"/>
      <c r="BL58" s="1883"/>
      <c r="BM58" s="1883"/>
      <c r="BN58" s="1883"/>
      <c r="BO58" s="1883"/>
      <c r="BP58" s="1883"/>
      <c r="BQ58" s="1883"/>
      <c r="BR58" s="1883"/>
      <c r="BS58" s="1883"/>
      <c r="BT58" s="1883"/>
      <c r="BU58" s="1883"/>
      <c r="BV58" s="1883"/>
      <c r="BW58" s="1883"/>
      <c r="BX58" s="1883"/>
      <c r="BY58" s="1883"/>
      <c r="BZ58" s="1883"/>
      <c r="CA58" s="1883"/>
      <c r="CB58" s="1883"/>
      <c r="CC58" s="1883"/>
      <c r="CD58" s="1883"/>
      <c r="CE58" s="1883"/>
      <c r="CF58" s="1883"/>
      <c r="CG58" s="1883"/>
      <c r="CH58" s="1883"/>
      <c r="CI58" s="1883"/>
      <c r="CJ58" s="1883"/>
      <c r="CK58" s="1883"/>
      <c r="CL58" s="1883"/>
      <c r="CM58" s="1883"/>
      <c r="CN58" s="1883"/>
      <c r="CO58" s="1883"/>
      <c r="CP58" s="1883"/>
      <c r="CQ58" s="1883"/>
      <c r="CR58" s="1883"/>
      <c r="CS58" s="1883"/>
      <c r="CT58" s="1883"/>
      <c r="CU58" s="1883"/>
      <c r="CV58" s="1883"/>
      <c r="CW58" s="1883"/>
      <c r="CX58" s="1883"/>
      <c r="CY58" s="1883"/>
      <c r="CZ58" s="1883"/>
      <c r="DA58" s="1883"/>
      <c r="DB58" s="1883"/>
      <c r="DC58" s="1883"/>
      <c r="DD58" s="1883"/>
      <c r="DE58" s="1883"/>
      <c r="DF58" s="1883"/>
      <c r="DG58" s="1883"/>
      <c r="DH58" s="1883"/>
      <c r="DI58" s="1883"/>
      <c r="DJ58" s="1883"/>
      <c r="DK58" s="1883"/>
      <c r="DL58" s="1883"/>
      <c r="DM58" s="1883"/>
      <c r="DN58" s="1883"/>
      <c r="DO58" s="1883"/>
      <c r="DP58" s="1883"/>
      <c r="DQ58" s="1883"/>
      <c r="DR58" s="1883"/>
      <c r="DS58" s="1883"/>
      <c r="DT58" s="1883"/>
      <c r="DU58" s="1883"/>
      <c r="DV58" s="1883"/>
    </row>
    <row r="59" spans="1:127" s="2079" customFormat="1" ht="51" customHeight="1">
      <c r="A59" s="3781"/>
      <c r="B59" s="2303" t="str">
        <f t="shared" si="1"/>
        <v>2400001040</v>
      </c>
      <c r="C59" s="2303" t="s">
        <v>3859</v>
      </c>
      <c r="D59" s="2460"/>
      <c r="E59" s="2303"/>
      <c r="F59" s="2303" t="s">
        <v>3421</v>
      </c>
      <c r="G59" s="1460"/>
      <c r="H59" s="1460"/>
      <c r="I59" s="2303" t="s">
        <v>19</v>
      </c>
      <c r="J59" s="2309" t="s">
        <v>267</v>
      </c>
      <c r="K59" s="1774" t="s">
        <v>6823</v>
      </c>
      <c r="L59" s="2274">
        <v>505</v>
      </c>
      <c r="M59" s="2378" t="s">
        <v>5937</v>
      </c>
      <c r="N59" s="2315" t="s">
        <v>6817</v>
      </c>
      <c r="O59" s="2101">
        <v>1</v>
      </c>
      <c r="P59" s="1945"/>
      <c r="Q59" s="1945"/>
      <c r="R59" s="1945"/>
      <c r="S59" s="1945"/>
      <c r="T59" s="1945"/>
      <c r="U59" s="1945"/>
      <c r="V59" s="1945"/>
      <c r="W59" s="1945"/>
      <c r="X59" s="1945"/>
      <c r="Y59" s="1945"/>
      <c r="Z59" s="1945"/>
      <c r="AA59" s="1945"/>
      <c r="AB59" s="1945"/>
      <c r="AC59" s="1945"/>
      <c r="AD59" s="1945"/>
      <c r="AE59" s="1945"/>
      <c r="AF59" s="1945"/>
      <c r="AG59" s="1945"/>
      <c r="AH59" s="1945"/>
      <c r="AI59" s="1945"/>
      <c r="AJ59" s="1945"/>
      <c r="AK59" s="1945"/>
      <c r="AL59" s="1945"/>
      <c r="AM59" s="1945"/>
      <c r="AN59" s="1945"/>
      <c r="AO59" s="1945"/>
      <c r="AP59" s="1945"/>
      <c r="AQ59" s="1945"/>
      <c r="AR59" s="1945"/>
      <c r="AS59" s="1945"/>
      <c r="AT59" s="1945"/>
      <c r="AU59" s="1945"/>
      <c r="AV59" s="1945"/>
      <c r="AW59" s="1945"/>
      <c r="AX59" s="1945"/>
      <c r="AY59" s="1945"/>
      <c r="AZ59" s="1945"/>
      <c r="BA59" s="1945"/>
      <c r="BB59" s="1945"/>
      <c r="BC59" s="1945"/>
      <c r="BD59" s="1945"/>
      <c r="BE59" s="1945"/>
      <c r="BF59" s="1945"/>
      <c r="BG59" s="1945"/>
      <c r="BH59" s="1945"/>
      <c r="BI59" s="1945"/>
      <c r="BJ59" s="1945"/>
      <c r="BK59" s="1945"/>
      <c r="BL59" s="1945"/>
      <c r="BM59" s="1945"/>
      <c r="BN59" s="1945"/>
      <c r="BO59" s="1945"/>
      <c r="BP59" s="1945"/>
      <c r="BQ59" s="1945"/>
      <c r="BR59" s="1945"/>
      <c r="BS59" s="1945"/>
      <c r="BT59" s="1945"/>
      <c r="BU59" s="1945"/>
      <c r="BV59" s="1945"/>
      <c r="BW59" s="1945"/>
      <c r="BX59" s="1945"/>
      <c r="BY59" s="1945"/>
      <c r="BZ59" s="1945"/>
      <c r="CA59" s="1945"/>
      <c r="CB59" s="1945"/>
      <c r="CC59" s="1945"/>
      <c r="CD59" s="1945"/>
      <c r="CE59" s="1945"/>
      <c r="CF59" s="1945"/>
      <c r="CG59" s="1945"/>
      <c r="CH59" s="1945"/>
      <c r="CI59" s="1945"/>
      <c r="CJ59" s="1945"/>
      <c r="CK59" s="1945"/>
      <c r="CL59" s="1945"/>
      <c r="CM59" s="1945"/>
      <c r="CN59" s="1945"/>
      <c r="CO59" s="1945"/>
      <c r="CP59" s="1945"/>
      <c r="CQ59" s="1945"/>
      <c r="CR59" s="1945"/>
      <c r="CS59" s="1945"/>
      <c r="CT59" s="1945"/>
      <c r="CU59" s="1945"/>
      <c r="CV59" s="1945"/>
      <c r="CW59" s="1945"/>
      <c r="CX59" s="1945"/>
      <c r="CY59" s="1945"/>
      <c r="CZ59" s="1945"/>
      <c r="DA59" s="1945"/>
      <c r="DB59" s="1945"/>
      <c r="DC59" s="1945"/>
      <c r="DD59" s="1945"/>
      <c r="DE59" s="1945"/>
      <c r="DF59" s="1945"/>
      <c r="DG59" s="1945"/>
      <c r="DH59" s="1945"/>
      <c r="DI59" s="1945"/>
      <c r="DJ59" s="1945"/>
      <c r="DK59" s="1945"/>
      <c r="DL59" s="1945"/>
      <c r="DM59" s="1945"/>
      <c r="DN59" s="1945"/>
      <c r="DO59" s="1945"/>
      <c r="DP59" s="1945"/>
      <c r="DQ59" s="1945"/>
      <c r="DR59" s="1945"/>
      <c r="DS59" s="1945"/>
      <c r="DT59" s="1945"/>
      <c r="DU59" s="1945"/>
      <c r="DV59" s="1945"/>
    </row>
    <row r="60" spans="1:127" s="2079" customFormat="1" ht="51" customHeight="1">
      <c r="A60" s="3781"/>
      <c r="B60" s="2303" t="str">
        <f t="shared" si="1"/>
        <v>2400001053</v>
      </c>
      <c r="C60" s="2303" t="s">
        <v>3859</v>
      </c>
      <c r="D60" s="2460"/>
      <c r="E60" s="2303"/>
      <c r="F60" s="2303" t="s">
        <v>3421</v>
      </c>
      <c r="G60" s="1460"/>
      <c r="H60" s="1460"/>
      <c r="I60" s="2303" t="s">
        <v>19</v>
      </c>
      <c r="J60" s="2309" t="s">
        <v>267</v>
      </c>
      <c r="K60" s="1770" t="s">
        <v>6824</v>
      </c>
      <c r="L60" s="2317">
        <v>200</v>
      </c>
      <c r="M60" s="2383" t="s">
        <v>5937</v>
      </c>
      <c r="N60" s="2315" t="s">
        <v>6817</v>
      </c>
      <c r="O60" s="2101">
        <v>1</v>
      </c>
      <c r="P60" s="1548"/>
      <c r="Q60" s="1985"/>
      <c r="R60" s="1945"/>
      <c r="S60" s="1945"/>
      <c r="T60" s="1945"/>
      <c r="U60" s="1945"/>
      <c r="V60" s="1945"/>
      <c r="W60" s="1945"/>
      <c r="X60" s="1945"/>
      <c r="Y60" s="1945"/>
      <c r="Z60" s="1945"/>
      <c r="AA60" s="1945"/>
      <c r="AB60" s="1945"/>
      <c r="AC60" s="1945"/>
      <c r="AD60" s="1945"/>
      <c r="AE60" s="1945"/>
      <c r="AF60" s="1945"/>
      <c r="AG60" s="1945"/>
      <c r="AH60" s="1945"/>
      <c r="AI60" s="1945"/>
      <c r="AJ60" s="1945"/>
      <c r="AK60" s="1945"/>
      <c r="AL60" s="1945"/>
      <c r="AM60" s="1945"/>
      <c r="AN60" s="1945"/>
      <c r="AO60" s="1945"/>
      <c r="AP60" s="1945"/>
      <c r="AQ60" s="1945"/>
      <c r="AR60" s="1945"/>
      <c r="AS60" s="1945"/>
      <c r="AT60" s="1945"/>
      <c r="AU60" s="1945"/>
      <c r="AV60" s="1945"/>
      <c r="AW60" s="1945"/>
      <c r="AX60" s="1945"/>
      <c r="AY60" s="1945"/>
      <c r="AZ60" s="1945"/>
      <c r="BA60" s="1945"/>
      <c r="BB60" s="1945"/>
      <c r="BC60" s="1945"/>
      <c r="BD60" s="1945"/>
      <c r="BE60" s="1945"/>
      <c r="BF60" s="1945"/>
      <c r="BG60" s="1945"/>
      <c r="BH60" s="1945"/>
      <c r="BI60" s="1945"/>
      <c r="BJ60" s="1945"/>
      <c r="BK60" s="1945"/>
      <c r="BL60" s="1945"/>
      <c r="BM60" s="1945"/>
      <c r="BN60" s="1945"/>
      <c r="BO60" s="1945"/>
      <c r="BP60" s="1945"/>
      <c r="BQ60" s="1945"/>
      <c r="BR60" s="1945"/>
      <c r="BS60" s="1945"/>
      <c r="BT60" s="1945"/>
      <c r="BU60" s="1945"/>
      <c r="BV60" s="1945"/>
      <c r="BW60" s="1945"/>
      <c r="BX60" s="1945"/>
      <c r="BY60" s="1945"/>
      <c r="BZ60" s="1945"/>
      <c r="CA60" s="1945"/>
      <c r="CB60" s="1945"/>
      <c r="CC60" s="1945"/>
      <c r="CD60" s="1945"/>
      <c r="CE60" s="1945"/>
      <c r="CF60" s="1945"/>
      <c r="CG60" s="1945"/>
      <c r="CH60" s="1945"/>
      <c r="CI60" s="1945"/>
      <c r="CJ60" s="1945"/>
      <c r="CK60" s="1945"/>
      <c r="CL60" s="1945"/>
      <c r="CM60" s="1945"/>
      <c r="CN60" s="1945"/>
      <c r="CO60" s="1945"/>
      <c r="CP60" s="1945"/>
      <c r="CQ60" s="1945"/>
      <c r="CR60" s="1945"/>
      <c r="CS60" s="1945"/>
      <c r="CT60" s="1945"/>
      <c r="CU60" s="1945"/>
      <c r="CV60" s="1945"/>
      <c r="CW60" s="1945"/>
      <c r="CX60" s="1945"/>
      <c r="CY60" s="1945"/>
      <c r="CZ60" s="1945"/>
      <c r="DA60" s="1945"/>
      <c r="DB60" s="1945"/>
      <c r="DC60" s="1945"/>
      <c r="DD60" s="1945"/>
      <c r="DE60" s="1945"/>
      <c r="DF60" s="1945"/>
      <c r="DG60" s="1945"/>
      <c r="DH60" s="1945"/>
      <c r="DI60" s="1945"/>
      <c r="DJ60" s="1945"/>
      <c r="DK60" s="1945"/>
      <c r="DL60" s="1945"/>
      <c r="DM60" s="1945"/>
      <c r="DN60" s="1945"/>
      <c r="DO60" s="1945"/>
      <c r="DP60" s="1945"/>
      <c r="DQ60" s="1945"/>
      <c r="DR60" s="1945"/>
      <c r="DS60" s="1945"/>
      <c r="DT60" s="1945"/>
      <c r="DU60" s="1945"/>
      <c r="DV60" s="1945"/>
    </row>
    <row r="61" spans="1:127" s="2079" customFormat="1" ht="51" customHeight="1">
      <c r="A61" s="3781"/>
      <c r="B61" s="2303" t="str">
        <f t="shared" si="1"/>
        <v>2400001054</v>
      </c>
      <c r="C61" s="2303" t="s">
        <v>3859</v>
      </c>
      <c r="D61" s="2460"/>
      <c r="E61" s="2303"/>
      <c r="F61" s="2303" t="s">
        <v>3421</v>
      </c>
      <c r="G61" s="1460"/>
      <c r="H61" s="1460"/>
      <c r="I61" s="2303" t="s">
        <v>19</v>
      </c>
      <c r="J61" s="2309" t="s">
        <v>267</v>
      </c>
      <c r="K61" s="1770" t="s">
        <v>6825</v>
      </c>
      <c r="L61" s="2274">
        <v>80</v>
      </c>
      <c r="M61" s="2382" t="s">
        <v>5937</v>
      </c>
      <c r="N61" s="2315" t="s">
        <v>6817</v>
      </c>
      <c r="O61" s="2101">
        <v>1</v>
      </c>
      <c r="P61" s="1945"/>
      <c r="Q61" s="1945"/>
      <c r="R61" s="1945"/>
      <c r="S61" s="1945"/>
      <c r="T61" s="1945"/>
      <c r="U61" s="1945"/>
      <c r="V61" s="1945"/>
      <c r="W61" s="1945"/>
      <c r="X61" s="1945"/>
      <c r="Y61" s="1945"/>
      <c r="Z61" s="1945"/>
      <c r="AA61" s="1945"/>
      <c r="AB61" s="1945"/>
      <c r="AC61" s="1945"/>
      <c r="AD61" s="1945"/>
      <c r="AE61" s="1945"/>
      <c r="AF61" s="1945"/>
      <c r="AG61" s="1945"/>
      <c r="AH61" s="1945"/>
      <c r="AI61" s="1945"/>
      <c r="AJ61" s="1945"/>
      <c r="AK61" s="1945"/>
      <c r="AL61" s="1945"/>
      <c r="AM61" s="1945"/>
      <c r="AN61" s="1945"/>
      <c r="AO61" s="1945"/>
      <c r="AP61" s="1945"/>
      <c r="AQ61" s="1945"/>
      <c r="AR61" s="1945"/>
      <c r="AS61" s="1945"/>
      <c r="AT61" s="1945"/>
      <c r="AU61" s="1945"/>
      <c r="AV61" s="1945"/>
      <c r="AW61" s="1945"/>
      <c r="AX61" s="1945"/>
      <c r="AY61" s="1945"/>
      <c r="AZ61" s="1945"/>
      <c r="BA61" s="1945"/>
      <c r="BB61" s="1945"/>
      <c r="BC61" s="1945"/>
      <c r="BD61" s="1945"/>
      <c r="BE61" s="1945"/>
      <c r="BF61" s="1945"/>
      <c r="BG61" s="1945"/>
      <c r="BH61" s="1945"/>
      <c r="BI61" s="1945"/>
      <c r="BJ61" s="1945"/>
      <c r="BK61" s="1945"/>
      <c r="BL61" s="1945"/>
      <c r="BM61" s="1945"/>
      <c r="BN61" s="1945"/>
      <c r="BO61" s="1945"/>
      <c r="BP61" s="1945"/>
      <c r="BQ61" s="1945"/>
      <c r="BR61" s="1945"/>
      <c r="BS61" s="1945"/>
      <c r="BT61" s="1945"/>
      <c r="BU61" s="1945"/>
      <c r="BV61" s="1945"/>
      <c r="BW61" s="1945"/>
      <c r="BX61" s="1945"/>
      <c r="BY61" s="1945"/>
      <c r="BZ61" s="1945"/>
      <c r="CA61" s="1945"/>
      <c r="CB61" s="1945"/>
      <c r="CC61" s="1945"/>
      <c r="CD61" s="1945"/>
      <c r="CE61" s="1945"/>
      <c r="CF61" s="1945"/>
      <c r="CG61" s="1945"/>
      <c r="CH61" s="1945"/>
      <c r="CI61" s="1945"/>
      <c r="CJ61" s="1945"/>
      <c r="CK61" s="1945"/>
      <c r="CL61" s="1945"/>
      <c r="CM61" s="1945"/>
      <c r="CN61" s="1945"/>
      <c r="CO61" s="1945"/>
      <c r="CP61" s="1945"/>
      <c r="CQ61" s="1945"/>
      <c r="CR61" s="1945"/>
      <c r="CS61" s="1945"/>
      <c r="CT61" s="1945"/>
      <c r="CU61" s="1945"/>
      <c r="CV61" s="1945"/>
      <c r="CW61" s="1945"/>
      <c r="CX61" s="1945"/>
      <c r="CY61" s="1945"/>
      <c r="CZ61" s="1945"/>
      <c r="DA61" s="1945"/>
      <c r="DB61" s="1945"/>
      <c r="DC61" s="1945"/>
      <c r="DD61" s="1945"/>
      <c r="DE61" s="1945"/>
      <c r="DF61" s="1945"/>
      <c r="DG61" s="1945"/>
      <c r="DH61" s="1945"/>
      <c r="DI61" s="1945"/>
      <c r="DJ61" s="1945"/>
      <c r="DK61" s="1945"/>
      <c r="DL61" s="1945"/>
      <c r="DM61" s="1945"/>
      <c r="DN61" s="1945"/>
      <c r="DO61" s="1945"/>
      <c r="DP61" s="1945"/>
      <c r="DQ61" s="1945"/>
      <c r="DR61" s="1945"/>
      <c r="DS61" s="1945"/>
      <c r="DT61" s="1945"/>
      <c r="DU61" s="1945"/>
      <c r="DV61" s="1945"/>
    </row>
    <row r="62" spans="1:127" s="2079" customFormat="1" ht="51" customHeight="1">
      <c r="A62" s="3781"/>
      <c r="B62" s="2303" t="str">
        <f t="shared" si="1"/>
        <v>2400001056</v>
      </c>
      <c r="C62" s="2303" t="s">
        <v>3859</v>
      </c>
      <c r="D62" s="2460"/>
      <c r="E62" s="2303"/>
      <c r="F62" s="2303" t="s">
        <v>3421</v>
      </c>
      <c r="G62" s="1460"/>
      <c r="H62" s="1460"/>
      <c r="I62" s="2303" t="s">
        <v>19</v>
      </c>
      <c r="J62" s="2309" t="s">
        <v>267</v>
      </c>
      <c r="K62" s="1994" t="s">
        <v>6826</v>
      </c>
      <c r="L62" s="2274">
        <v>132</v>
      </c>
      <c r="M62" s="2382" t="s">
        <v>5937</v>
      </c>
      <c r="N62" s="2310" t="s">
        <v>6827</v>
      </c>
      <c r="O62" s="2101">
        <v>1</v>
      </c>
      <c r="P62" s="1548"/>
      <c r="Q62" s="1985"/>
      <c r="R62" s="1945"/>
      <c r="S62" s="1945"/>
      <c r="T62" s="1945"/>
      <c r="U62" s="1945"/>
      <c r="V62" s="1945"/>
      <c r="W62" s="1945"/>
      <c r="X62" s="1945"/>
      <c r="Y62" s="1945"/>
      <c r="Z62" s="1945"/>
      <c r="AA62" s="1945"/>
      <c r="AB62" s="1945"/>
      <c r="AC62" s="1945"/>
      <c r="AD62" s="1945"/>
      <c r="AE62" s="1945"/>
      <c r="AF62" s="1945"/>
      <c r="AG62" s="1945"/>
      <c r="AH62" s="1945"/>
      <c r="AI62" s="1945"/>
      <c r="AJ62" s="1945"/>
      <c r="AK62" s="1945"/>
      <c r="AL62" s="1945"/>
      <c r="AM62" s="1945"/>
      <c r="AN62" s="1945"/>
      <c r="AO62" s="1945"/>
      <c r="AP62" s="1945"/>
      <c r="AQ62" s="1945"/>
      <c r="AR62" s="1945"/>
      <c r="AS62" s="1945"/>
      <c r="AT62" s="1945"/>
      <c r="AU62" s="1945"/>
      <c r="AV62" s="1945"/>
      <c r="AW62" s="1945"/>
      <c r="AX62" s="1945"/>
      <c r="AY62" s="1945"/>
      <c r="AZ62" s="1945"/>
      <c r="BA62" s="1945"/>
      <c r="BB62" s="1945"/>
      <c r="BC62" s="1945"/>
      <c r="BD62" s="1945"/>
      <c r="BE62" s="1945"/>
      <c r="BF62" s="1945"/>
      <c r="BG62" s="1945"/>
      <c r="BH62" s="1945"/>
      <c r="BI62" s="1945"/>
      <c r="BJ62" s="1945"/>
      <c r="BK62" s="1945"/>
      <c r="BL62" s="1945"/>
      <c r="BM62" s="1945"/>
      <c r="BN62" s="1945"/>
      <c r="BO62" s="1945"/>
      <c r="BP62" s="1945"/>
      <c r="BQ62" s="1945"/>
      <c r="BR62" s="1945"/>
      <c r="BS62" s="1945"/>
      <c r="BT62" s="1945"/>
      <c r="BU62" s="1945"/>
      <c r="BV62" s="1945"/>
      <c r="BW62" s="1945"/>
      <c r="BX62" s="1945"/>
      <c r="BY62" s="1945"/>
      <c r="BZ62" s="1945"/>
      <c r="CA62" s="1945"/>
      <c r="CB62" s="1945"/>
      <c r="CC62" s="1945"/>
      <c r="CD62" s="1945"/>
      <c r="CE62" s="1945"/>
      <c r="CF62" s="1945"/>
      <c r="CG62" s="1945"/>
      <c r="CH62" s="1945"/>
      <c r="CI62" s="1945"/>
      <c r="CJ62" s="1945"/>
      <c r="CK62" s="1945"/>
      <c r="CL62" s="1945"/>
      <c r="CM62" s="1945"/>
      <c r="CN62" s="1945"/>
      <c r="CO62" s="1945"/>
      <c r="CP62" s="1945"/>
      <c r="CQ62" s="1945"/>
      <c r="CR62" s="1945"/>
      <c r="CS62" s="1945"/>
      <c r="CT62" s="1945"/>
      <c r="CU62" s="1945"/>
      <c r="CV62" s="1945"/>
      <c r="CW62" s="1945"/>
      <c r="CX62" s="1945"/>
      <c r="CY62" s="1945"/>
      <c r="CZ62" s="1945"/>
      <c r="DA62" s="1945"/>
      <c r="DB62" s="1945"/>
      <c r="DC62" s="1945"/>
      <c r="DD62" s="1945"/>
      <c r="DE62" s="1945"/>
      <c r="DF62" s="1945"/>
      <c r="DG62" s="1945"/>
      <c r="DH62" s="1945"/>
      <c r="DI62" s="1945"/>
      <c r="DJ62" s="1945"/>
      <c r="DK62" s="1945"/>
      <c r="DL62" s="1945"/>
      <c r="DM62" s="1945"/>
      <c r="DN62" s="1945"/>
      <c r="DO62" s="1945"/>
      <c r="DP62" s="1945"/>
      <c r="DQ62" s="1945"/>
      <c r="DR62" s="1945"/>
      <c r="DS62" s="1945"/>
      <c r="DT62" s="1945"/>
      <c r="DU62" s="1945"/>
      <c r="DV62" s="1945"/>
    </row>
    <row r="63" spans="1:127" s="2079" customFormat="1" ht="51" customHeight="1">
      <c r="A63" s="3781"/>
      <c r="B63" s="2303" t="str">
        <f t="shared" si="1"/>
        <v>2400001057</v>
      </c>
      <c r="C63" s="2303" t="s">
        <v>3859</v>
      </c>
      <c r="D63" s="2460"/>
      <c r="E63" s="2303"/>
      <c r="F63" s="2303" t="s">
        <v>3421</v>
      </c>
      <c r="G63" s="1460"/>
      <c r="H63" s="1460"/>
      <c r="I63" s="2303" t="s">
        <v>19</v>
      </c>
      <c r="J63" s="2309" t="s">
        <v>267</v>
      </c>
      <c r="K63" s="1994" t="s">
        <v>6828</v>
      </c>
      <c r="L63" s="2274">
        <v>88</v>
      </c>
      <c r="M63" s="2382" t="s">
        <v>5937</v>
      </c>
      <c r="N63" s="2310" t="s">
        <v>6827</v>
      </c>
      <c r="O63" s="2101">
        <v>1</v>
      </c>
      <c r="P63" s="1548"/>
      <c r="Q63" s="1985"/>
      <c r="R63" s="1945"/>
      <c r="S63" s="1945"/>
      <c r="T63" s="1945"/>
      <c r="U63" s="1945"/>
      <c r="V63" s="1945"/>
      <c r="W63" s="1945"/>
      <c r="X63" s="1945"/>
      <c r="Y63" s="1945"/>
      <c r="Z63" s="1945"/>
      <c r="AA63" s="1945"/>
      <c r="AB63" s="1945"/>
      <c r="AC63" s="1945"/>
      <c r="AD63" s="1945"/>
      <c r="AE63" s="1945"/>
      <c r="AF63" s="1945"/>
      <c r="AG63" s="1945"/>
      <c r="AH63" s="1945"/>
      <c r="AI63" s="1945"/>
      <c r="AJ63" s="1945"/>
      <c r="AK63" s="1945"/>
      <c r="AL63" s="1945"/>
      <c r="AM63" s="1945"/>
      <c r="AN63" s="1945"/>
      <c r="AO63" s="1945"/>
      <c r="AP63" s="1945"/>
      <c r="AQ63" s="1945"/>
      <c r="AR63" s="1945"/>
      <c r="AS63" s="1945"/>
      <c r="AT63" s="1945"/>
      <c r="AU63" s="1945"/>
      <c r="AV63" s="1945"/>
      <c r="AW63" s="1945"/>
      <c r="AX63" s="1945"/>
      <c r="AY63" s="1945"/>
      <c r="AZ63" s="1945"/>
      <c r="BA63" s="1945"/>
      <c r="BB63" s="1945"/>
      <c r="BC63" s="1945"/>
      <c r="BD63" s="1945"/>
      <c r="BE63" s="1945"/>
      <c r="BF63" s="1945"/>
      <c r="BG63" s="1945"/>
      <c r="BH63" s="1945"/>
      <c r="BI63" s="1945"/>
      <c r="BJ63" s="1945"/>
      <c r="BK63" s="1945"/>
      <c r="BL63" s="1945"/>
      <c r="BM63" s="1945"/>
      <c r="BN63" s="1945"/>
      <c r="BO63" s="1945"/>
      <c r="BP63" s="1945"/>
      <c r="BQ63" s="1945"/>
      <c r="BR63" s="1945"/>
      <c r="BS63" s="1945"/>
      <c r="BT63" s="1945"/>
      <c r="BU63" s="1945"/>
      <c r="BV63" s="1945"/>
      <c r="BW63" s="1945"/>
      <c r="BX63" s="1945"/>
      <c r="BY63" s="1945"/>
      <c r="BZ63" s="1945"/>
      <c r="CA63" s="1945"/>
      <c r="CB63" s="1945"/>
      <c r="CC63" s="1945"/>
      <c r="CD63" s="1945"/>
      <c r="CE63" s="1945"/>
      <c r="CF63" s="1945"/>
      <c r="CG63" s="1945"/>
      <c r="CH63" s="1945"/>
      <c r="CI63" s="1945"/>
      <c r="CJ63" s="1945"/>
      <c r="CK63" s="1945"/>
      <c r="CL63" s="1945"/>
      <c r="CM63" s="1945"/>
      <c r="CN63" s="1945"/>
      <c r="CO63" s="1945"/>
      <c r="CP63" s="1945"/>
      <c r="CQ63" s="1945"/>
      <c r="CR63" s="1945"/>
      <c r="CS63" s="1945"/>
      <c r="CT63" s="1945"/>
      <c r="CU63" s="1945"/>
      <c r="CV63" s="1945"/>
      <c r="CW63" s="1945"/>
      <c r="CX63" s="1945"/>
      <c r="CY63" s="1945"/>
      <c r="CZ63" s="1945"/>
      <c r="DA63" s="1945"/>
      <c r="DB63" s="1945"/>
      <c r="DC63" s="1945"/>
      <c r="DD63" s="1945"/>
      <c r="DE63" s="1945"/>
      <c r="DF63" s="1945"/>
      <c r="DG63" s="1945"/>
      <c r="DH63" s="1945"/>
      <c r="DI63" s="1945"/>
      <c r="DJ63" s="1945"/>
      <c r="DK63" s="1945"/>
      <c r="DL63" s="1945"/>
      <c r="DM63" s="1945"/>
      <c r="DN63" s="1945"/>
      <c r="DO63" s="1945"/>
      <c r="DP63" s="1945"/>
      <c r="DQ63" s="1945"/>
      <c r="DR63" s="1945"/>
      <c r="DS63" s="1945"/>
      <c r="DT63" s="1945"/>
      <c r="DU63" s="1945"/>
      <c r="DV63" s="1945"/>
    </row>
    <row r="64" spans="1:127" s="2079" customFormat="1" ht="51" customHeight="1">
      <c r="A64" s="3781"/>
      <c r="B64" s="2303" t="str">
        <f t="shared" si="1"/>
        <v>2400001058</v>
      </c>
      <c r="C64" s="2303" t="s">
        <v>3859</v>
      </c>
      <c r="D64" s="2460"/>
      <c r="E64" s="2303"/>
      <c r="F64" s="2303" t="s">
        <v>3421</v>
      </c>
      <c r="G64" s="1460"/>
      <c r="H64" s="1460"/>
      <c r="I64" s="2303" t="s">
        <v>19</v>
      </c>
      <c r="J64" s="2309" t="s">
        <v>267</v>
      </c>
      <c r="K64" s="1994" t="s">
        <v>6829</v>
      </c>
      <c r="L64" s="2274">
        <v>200</v>
      </c>
      <c r="M64" s="2382" t="s">
        <v>5937</v>
      </c>
      <c r="N64" s="2310" t="s">
        <v>6827</v>
      </c>
      <c r="O64" s="2101">
        <v>1</v>
      </c>
      <c r="P64" s="1548"/>
      <c r="Q64" s="1985"/>
      <c r="R64" s="1945"/>
      <c r="S64" s="1945"/>
      <c r="T64" s="1945"/>
      <c r="U64" s="1945"/>
      <c r="V64" s="1945"/>
      <c r="W64" s="1945"/>
      <c r="X64" s="1945"/>
      <c r="Y64" s="1945"/>
      <c r="Z64" s="1945"/>
      <c r="AA64" s="1945"/>
      <c r="AB64" s="1945"/>
      <c r="AC64" s="1945"/>
      <c r="AD64" s="1945"/>
      <c r="AE64" s="1945"/>
      <c r="AF64" s="1945"/>
      <c r="AG64" s="1945"/>
      <c r="AH64" s="1945"/>
      <c r="AI64" s="1945"/>
      <c r="AJ64" s="1945"/>
      <c r="AK64" s="1945"/>
      <c r="AL64" s="1945"/>
      <c r="AM64" s="1945"/>
      <c r="AN64" s="1945"/>
      <c r="AO64" s="1945"/>
      <c r="AP64" s="1945"/>
      <c r="AQ64" s="1945"/>
      <c r="AR64" s="1945"/>
      <c r="AS64" s="1945"/>
      <c r="AT64" s="1945"/>
      <c r="AU64" s="1945"/>
      <c r="AV64" s="1945"/>
      <c r="AW64" s="1945"/>
      <c r="AX64" s="1945"/>
      <c r="AY64" s="1945"/>
      <c r="AZ64" s="1945"/>
      <c r="BA64" s="1945"/>
      <c r="BB64" s="1945"/>
      <c r="BC64" s="1945"/>
      <c r="BD64" s="1945"/>
      <c r="BE64" s="1945"/>
      <c r="BF64" s="1945"/>
      <c r="BG64" s="1945"/>
      <c r="BH64" s="1945"/>
      <c r="BI64" s="1945"/>
      <c r="BJ64" s="1945"/>
      <c r="BK64" s="1945"/>
      <c r="BL64" s="1945"/>
      <c r="BM64" s="1945"/>
      <c r="BN64" s="1945"/>
      <c r="BO64" s="1945"/>
      <c r="BP64" s="1945"/>
      <c r="BQ64" s="1945"/>
      <c r="BR64" s="1945"/>
      <c r="BS64" s="1945"/>
      <c r="BT64" s="1945"/>
      <c r="BU64" s="1945"/>
      <c r="BV64" s="1945"/>
      <c r="BW64" s="1945"/>
      <c r="BX64" s="1945"/>
      <c r="BY64" s="1945"/>
      <c r="BZ64" s="1945"/>
      <c r="CA64" s="1945"/>
      <c r="CB64" s="1945"/>
      <c r="CC64" s="1945"/>
      <c r="CD64" s="1945"/>
      <c r="CE64" s="1945"/>
      <c r="CF64" s="1945"/>
      <c r="CG64" s="1945"/>
      <c r="CH64" s="1945"/>
      <c r="CI64" s="1945"/>
      <c r="CJ64" s="1945"/>
      <c r="CK64" s="1945"/>
      <c r="CL64" s="1945"/>
      <c r="CM64" s="1945"/>
      <c r="CN64" s="1945"/>
      <c r="CO64" s="1945"/>
      <c r="CP64" s="1945"/>
      <c r="CQ64" s="1945"/>
      <c r="CR64" s="1945"/>
      <c r="CS64" s="1945"/>
      <c r="CT64" s="1945"/>
      <c r="CU64" s="1945"/>
      <c r="CV64" s="1945"/>
      <c r="CW64" s="1945"/>
      <c r="CX64" s="1945"/>
      <c r="CY64" s="1945"/>
      <c r="CZ64" s="1945"/>
      <c r="DA64" s="1945"/>
      <c r="DB64" s="1945"/>
      <c r="DC64" s="1945"/>
      <c r="DD64" s="1945"/>
      <c r="DE64" s="1945"/>
      <c r="DF64" s="1945"/>
      <c r="DG64" s="1945"/>
      <c r="DH64" s="1945"/>
      <c r="DI64" s="1945"/>
      <c r="DJ64" s="1945"/>
      <c r="DK64" s="1945"/>
      <c r="DL64" s="1945"/>
      <c r="DM64" s="1945"/>
      <c r="DN64" s="1945"/>
      <c r="DO64" s="1945"/>
      <c r="DP64" s="1945"/>
      <c r="DQ64" s="1945"/>
      <c r="DR64" s="1945"/>
      <c r="DS64" s="1945"/>
      <c r="DT64" s="1945"/>
      <c r="DU64" s="1945"/>
      <c r="DV64" s="1945"/>
    </row>
    <row r="65" spans="1:127" s="2079" customFormat="1" ht="51" customHeight="1">
      <c r="A65" s="3781"/>
      <c r="B65" s="2303" t="str">
        <f t="shared" si="1"/>
        <v>2400001059</v>
      </c>
      <c r="C65" s="2303" t="s">
        <v>3859</v>
      </c>
      <c r="D65" s="2460"/>
      <c r="E65" s="2303"/>
      <c r="F65" s="2303" t="s">
        <v>3421</v>
      </c>
      <c r="G65" s="1460"/>
      <c r="H65" s="1460"/>
      <c r="I65" s="2303" t="s">
        <v>19</v>
      </c>
      <c r="J65" s="2309" t="s">
        <v>267</v>
      </c>
      <c r="K65" s="1994" t="s">
        <v>6830</v>
      </c>
      <c r="L65" s="2274">
        <v>50</v>
      </c>
      <c r="M65" s="2382" t="s">
        <v>5937</v>
      </c>
      <c r="N65" s="2310" t="s">
        <v>6827</v>
      </c>
      <c r="O65" s="2101">
        <v>1</v>
      </c>
      <c r="P65" s="1548"/>
      <c r="Q65" s="1985"/>
      <c r="R65" s="1945"/>
      <c r="S65" s="1945"/>
      <c r="T65" s="1945"/>
      <c r="U65" s="1945"/>
      <c r="V65" s="1945"/>
      <c r="W65" s="1945"/>
      <c r="X65" s="1945"/>
      <c r="Y65" s="1945"/>
      <c r="Z65" s="1945"/>
      <c r="AA65" s="1945"/>
      <c r="AB65" s="1945"/>
      <c r="AC65" s="1945"/>
      <c r="AD65" s="1945"/>
      <c r="AE65" s="1945"/>
      <c r="AF65" s="1945"/>
      <c r="AG65" s="1945"/>
      <c r="AH65" s="1945"/>
      <c r="AI65" s="1945"/>
      <c r="AJ65" s="1945"/>
      <c r="AK65" s="1945"/>
      <c r="AL65" s="1945"/>
      <c r="AM65" s="1945"/>
      <c r="AN65" s="1945"/>
      <c r="AO65" s="1945"/>
      <c r="AP65" s="1945"/>
      <c r="AQ65" s="1945"/>
      <c r="AR65" s="1945"/>
      <c r="AS65" s="1945"/>
      <c r="AT65" s="1945"/>
      <c r="AU65" s="1945"/>
      <c r="AV65" s="1945"/>
      <c r="AW65" s="1945"/>
      <c r="AX65" s="1945"/>
      <c r="AY65" s="1945"/>
      <c r="AZ65" s="1945"/>
      <c r="BA65" s="1945"/>
      <c r="BB65" s="1945"/>
      <c r="BC65" s="1945"/>
      <c r="BD65" s="1945"/>
      <c r="BE65" s="1945"/>
      <c r="BF65" s="1945"/>
      <c r="BG65" s="1945"/>
      <c r="BH65" s="1945"/>
      <c r="BI65" s="1945"/>
      <c r="BJ65" s="1945"/>
      <c r="BK65" s="1945"/>
      <c r="BL65" s="1945"/>
      <c r="BM65" s="1945"/>
      <c r="BN65" s="1945"/>
      <c r="BO65" s="1945"/>
      <c r="BP65" s="1945"/>
      <c r="BQ65" s="1945"/>
      <c r="BR65" s="1945"/>
      <c r="BS65" s="1945"/>
      <c r="BT65" s="1945"/>
      <c r="BU65" s="1945"/>
      <c r="BV65" s="1945"/>
      <c r="BW65" s="1945"/>
      <c r="BX65" s="1945"/>
      <c r="BY65" s="1945"/>
      <c r="BZ65" s="1945"/>
      <c r="CA65" s="1945"/>
      <c r="CB65" s="1945"/>
      <c r="CC65" s="1945"/>
      <c r="CD65" s="1945"/>
      <c r="CE65" s="1945"/>
      <c r="CF65" s="1945"/>
      <c r="CG65" s="1945"/>
      <c r="CH65" s="1945"/>
      <c r="CI65" s="1945"/>
      <c r="CJ65" s="1945"/>
      <c r="CK65" s="1945"/>
      <c r="CL65" s="1945"/>
      <c r="CM65" s="1945"/>
      <c r="CN65" s="1945"/>
      <c r="CO65" s="1945"/>
      <c r="CP65" s="1945"/>
      <c r="CQ65" s="1945"/>
      <c r="CR65" s="1945"/>
      <c r="CS65" s="1945"/>
      <c r="CT65" s="1945"/>
      <c r="CU65" s="1945"/>
      <c r="CV65" s="1945"/>
      <c r="CW65" s="1945"/>
      <c r="CX65" s="1945"/>
      <c r="CY65" s="1945"/>
      <c r="CZ65" s="1945"/>
      <c r="DA65" s="1945"/>
      <c r="DB65" s="1945"/>
      <c r="DC65" s="1945"/>
      <c r="DD65" s="1945"/>
      <c r="DE65" s="1945"/>
      <c r="DF65" s="1945"/>
      <c r="DG65" s="1945"/>
      <c r="DH65" s="1945"/>
      <c r="DI65" s="1945"/>
      <c r="DJ65" s="1945"/>
      <c r="DK65" s="1945"/>
      <c r="DL65" s="1945"/>
      <c r="DM65" s="1945"/>
      <c r="DN65" s="1945"/>
      <c r="DO65" s="1945"/>
      <c r="DP65" s="1945"/>
      <c r="DQ65" s="1945"/>
      <c r="DR65" s="1945"/>
      <c r="DS65" s="1945"/>
      <c r="DT65" s="1945"/>
      <c r="DU65" s="1945"/>
      <c r="DV65" s="1945"/>
    </row>
    <row r="66" spans="1:127" s="2079" customFormat="1" ht="51" customHeight="1">
      <c r="A66" s="3781"/>
      <c r="B66" s="2303" t="str">
        <f t="shared" si="1"/>
        <v>2400001060</v>
      </c>
      <c r="C66" s="2303" t="s">
        <v>3859</v>
      </c>
      <c r="D66" s="2460"/>
      <c r="E66" s="2303"/>
      <c r="F66" s="2303" t="s">
        <v>3421</v>
      </c>
      <c r="G66" s="1460"/>
      <c r="H66" s="1460"/>
      <c r="I66" s="2303" t="s">
        <v>19</v>
      </c>
      <c r="J66" s="2309" t="s">
        <v>267</v>
      </c>
      <c r="K66" s="1994" t="s">
        <v>6831</v>
      </c>
      <c r="L66" s="2274">
        <v>200</v>
      </c>
      <c r="M66" s="2382" t="s">
        <v>5937</v>
      </c>
      <c r="N66" s="2310" t="s">
        <v>6827</v>
      </c>
      <c r="O66" s="2101">
        <v>1</v>
      </c>
      <c r="P66" s="1548"/>
      <c r="Q66" s="1985"/>
      <c r="R66" s="1945"/>
      <c r="S66" s="1945"/>
      <c r="T66" s="1945"/>
      <c r="U66" s="1945"/>
      <c r="V66" s="1945"/>
      <c r="W66" s="1945"/>
      <c r="X66" s="1945"/>
      <c r="Y66" s="1945"/>
      <c r="Z66" s="1945"/>
      <c r="AA66" s="1945"/>
      <c r="AB66" s="1945"/>
      <c r="AC66" s="1945"/>
      <c r="AD66" s="1945"/>
      <c r="AE66" s="1945"/>
      <c r="AF66" s="1945"/>
      <c r="AG66" s="1945"/>
      <c r="AH66" s="1945"/>
      <c r="AI66" s="1945"/>
      <c r="AJ66" s="1945"/>
      <c r="AK66" s="1945"/>
      <c r="AL66" s="1945"/>
      <c r="AM66" s="1945"/>
      <c r="AN66" s="1945"/>
      <c r="AO66" s="1945"/>
      <c r="AP66" s="1945"/>
      <c r="AQ66" s="1945"/>
      <c r="AR66" s="1945"/>
      <c r="AS66" s="1945"/>
      <c r="AT66" s="1945"/>
      <c r="AU66" s="1945"/>
      <c r="AV66" s="1945"/>
      <c r="AW66" s="1945"/>
      <c r="AX66" s="1945"/>
      <c r="AY66" s="1945"/>
      <c r="AZ66" s="1945"/>
      <c r="BA66" s="1945"/>
      <c r="BB66" s="1945"/>
      <c r="BC66" s="1945"/>
      <c r="BD66" s="1945"/>
      <c r="BE66" s="1945"/>
      <c r="BF66" s="1945"/>
      <c r="BG66" s="1945"/>
      <c r="BH66" s="1945"/>
      <c r="BI66" s="1945"/>
      <c r="BJ66" s="1945"/>
      <c r="BK66" s="1945"/>
      <c r="BL66" s="1945"/>
      <c r="BM66" s="1945"/>
      <c r="BN66" s="1945"/>
      <c r="BO66" s="1945"/>
      <c r="BP66" s="1945"/>
      <c r="BQ66" s="1945"/>
      <c r="BR66" s="1945"/>
      <c r="BS66" s="1945"/>
      <c r="BT66" s="1945"/>
      <c r="BU66" s="1945"/>
      <c r="BV66" s="1945"/>
      <c r="BW66" s="1945"/>
      <c r="BX66" s="1945"/>
      <c r="BY66" s="1945"/>
      <c r="BZ66" s="1945"/>
      <c r="CA66" s="1945"/>
      <c r="CB66" s="1945"/>
      <c r="CC66" s="1945"/>
      <c r="CD66" s="1945"/>
      <c r="CE66" s="1945"/>
      <c r="CF66" s="1945"/>
      <c r="CG66" s="1945"/>
      <c r="CH66" s="1945"/>
      <c r="CI66" s="1945"/>
      <c r="CJ66" s="1945"/>
      <c r="CK66" s="1945"/>
      <c r="CL66" s="1945"/>
      <c r="CM66" s="1945"/>
      <c r="CN66" s="1945"/>
      <c r="CO66" s="1945"/>
      <c r="CP66" s="1945"/>
      <c r="CQ66" s="1945"/>
      <c r="CR66" s="1945"/>
      <c r="CS66" s="1945"/>
      <c r="CT66" s="1945"/>
      <c r="CU66" s="1945"/>
      <c r="CV66" s="1945"/>
      <c r="CW66" s="1945"/>
      <c r="CX66" s="1945"/>
      <c r="CY66" s="1945"/>
      <c r="CZ66" s="1945"/>
      <c r="DA66" s="1945"/>
      <c r="DB66" s="1945"/>
      <c r="DC66" s="1945"/>
      <c r="DD66" s="1945"/>
      <c r="DE66" s="1945"/>
      <c r="DF66" s="1945"/>
      <c r="DG66" s="1945"/>
      <c r="DH66" s="1945"/>
      <c r="DI66" s="1945"/>
      <c r="DJ66" s="1945"/>
      <c r="DK66" s="1945"/>
      <c r="DL66" s="1945"/>
      <c r="DM66" s="1945"/>
      <c r="DN66" s="1945"/>
      <c r="DO66" s="1945"/>
      <c r="DP66" s="1945"/>
      <c r="DQ66" s="1945"/>
      <c r="DR66" s="1945"/>
      <c r="DS66" s="1945"/>
      <c r="DT66" s="1945"/>
      <c r="DU66" s="1945"/>
      <c r="DV66" s="1945"/>
    </row>
    <row r="67" spans="1:127" s="2079" customFormat="1" ht="51" customHeight="1">
      <c r="A67" s="3781"/>
      <c r="B67" s="2303" t="str">
        <f t="shared" si="1"/>
        <v>2400001061</v>
      </c>
      <c r="C67" s="2303" t="s">
        <v>3859</v>
      </c>
      <c r="D67" s="2460"/>
      <c r="E67" s="2303"/>
      <c r="F67" s="2303" t="s">
        <v>3421</v>
      </c>
      <c r="G67" s="1460"/>
      <c r="H67" s="1460"/>
      <c r="I67" s="2303" t="s">
        <v>19</v>
      </c>
      <c r="J67" s="2309" t="s">
        <v>267</v>
      </c>
      <c r="K67" s="1994" t="s">
        <v>6832</v>
      </c>
      <c r="L67" s="2274">
        <v>40</v>
      </c>
      <c r="M67" s="2382" t="s">
        <v>5937</v>
      </c>
      <c r="N67" s="2310" t="s">
        <v>6827</v>
      </c>
      <c r="O67" s="2101">
        <v>1</v>
      </c>
      <c r="P67" s="1548"/>
      <c r="Q67" s="1985"/>
      <c r="R67" s="1945"/>
      <c r="S67" s="1945"/>
      <c r="T67" s="1945"/>
      <c r="U67" s="1945"/>
      <c r="V67" s="1945"/>
      <c r="W67" s="1945"/>
      <c r="X67" s="1945"/>
      <c r="Y67" s="1945"/>
      <c r="Z67" s="1945"/>
      <c r="AA67" s="1945"/>
      <c r="AB67" s="1945"/>
      <c r="AC67" s="1945"/>
      <c r="AD67" s="1945"/>
      <c r="AE67" s="1945"/>
      <c r="AF67" s="1945"/>
      <c r="AG67" s="1945"/>
      <c r="AH67" s="1945"/>
      <c r="AI67" s="1945"/>
      <c r="AJ67" s="1945"/>
      <c r="AK67" s="1945"/>
      <c r="AL67" s="1945"/>
      <c r="AM67" s="1945"/>
      <c r="AN67" s="1945"/>
      <c r="AO67" s="1945"/>
      <c r="AP67" s="1945"/>
      <c r="AQ67" s="1945"/>
      <c r="AR67" s="1945"/>
      <c r="AS67" s="1945"/>
      <c r="AT67" s="1945"/>
      <c r="AU67" s="1945"/>
      <c r="AV67" s="1945"/>
      <c r="AW67" s="1945"/>
      <c r="AX67" s="1945"/>
      <c r="AY67" s="1945"/>
      <c r="AZ67" s="1945"/>
      <c r="BA67" s="1945"/>
      <c r="BB67" s="1945"/>
      <c r="BC67" s="1945"/>
      <c r="BD67" s="1945"/>
      <c r="BE67" s="1945"/>
      <c r="BF67" s="1945"/>
      <c r="BG67" s="1945"/>
      <c r="BH67" s="1945"/>
      <c r="BI67" s="1945"/>
      <c r="BJ67" s="1945"/>
      <c r="BK67" s="1945"/>
      <c r="BL67" s="1945"/>
      <c r="BM67" s="1945"/>
      <c r="BN67" s="1945"/>
      <c r="BO67" s="1945"/>
      <c r="BP67" s="1945"/>
      <c r="BQ67" s="1945"/>
      <c r="BR67" s="1945"/>
      <c r="BS67" s="1945"/>
      <c r="BT67" s="1945"/>
      <c r="BU67" s="1945"/>
      <c r="BV67" s="1945"/>
      <c r="BW67" s="1945"/>
      <c r="BX67" s="1945"/>
      <c r="BY67" s="1945"/>
      <c r="BZ67" s="1945"/>
      <c r="CA67" s="1945"/>
      <c r="CB67" s="1945"/>
      <c r="CC67" s="1945"/>
      <c r="CD67" s="1945"/>
      <c r="CE67" s="1945"/>
      <c r="CF67" s="1945"/>
      <c r="CG67" s="1945"/>
      <c r="CH67" s="1945"/>
      <c r="CI67" s="1945"/>
      <c r="CJ67" s="1945"/>
      <c r="CK67" s="1945"/>
      <c r="CL67" s="1945"/>
      <c r="CM67" s="1945"/>
      <c r="CN67" s="1945"/>
      <c r="CO67" s="1945"/>
      <c r="CP67" s="1945"/>
      <c r="CQ67" s="1945"/>
      <c r="CR67" s="1945"/>
      <c r="CS67" s="1945"/>
      <c r="CT67" s="1945"/>
      <c r="CU67" s="1945"/>
      <c r="CV67" s="1945"/>
      <c r="CW67" s="1945"/>
      <c r="CX67" s="1945"/>
      <c r="CY67" s="1945"/>
      <c r="CZ67" s="1945"/>
      <c r="DA67" s="1945"/>
      <c r="DB67" s="1945"/>
      <c r="DC67" s="1945"/>
      <c r="DD67" s="1945"/>
      <c r="DE67" s="1945"/>
      <c r="DF67" s="1945"/>
      <c r="DG67" s="1945"/>
      <c r="DH67" s="1945"/>
      <c r="DI67" s="1945"/>
      <c r="DJ67" s="1945"/>
      <c r="DK67" s="1945"/>
      <c r="DL67" s="1945"/>
      <c r="DM67" s="1945"/>
      <c r="DN67" s="1945"/>
      <c r="DO67" s="1945"/>
      <c r="DP67" s="1945"/>
      <c r="DQ67" s="1945"/>
      <c r="DR67" s="1945"/>
      <c r="DS67" s="1945"/>
      <c r="DT67" s="1945"/>
      <c r="DU67" s="1945"/>
      <c r="DV67" s="1945"/>
    </row>
    <row r="68" spans="1:127" s="2087" customFormat="1" ht="60" customHeight="1">
      <c r="A68" s="3781"/>
      <c r="B68" s="2303" t="str">
        <f t="shared" ref="B68:B99" si="2">TEXT(LEFT(K68,10),"0000000000")</f>
        <v>2400001033</v>
      </c>
      <c r="C68" s="2303" t="s">
        <v>3859</v>
      </c>
      <c r="D68" s="2452"/>
      <c r="E68" s="2303"/>
      <c r="F68" s="2303" t="s">
        <v>3421</v>
      </c>
      <c r="G68" s="1460"/>
      <c r="H68" s="1460"/>
      <c r="I68" s="1460" t="s">
        <v>19</v>
      </c>
      <c r="J68" s="2098" t="s">
        <v>5438</v>
      </c>
      <c r="K68" s="2304" t="s">
        <v>6833</v>
      </c>
      <c r="L68" s="2311">
        <v>500</v>
      </c>
      <c r="M68" s="2378" t="s">
        <v>5937</v>
      </c>
      <c r="N68" s="2307" t="s">
        <v>6834</v>
      </c>
      <c r="O68" s="2101">
        <v>1</v>
      </c>
      <c r="P68" s="2150"/>
      <c r="Q68" s="2312"/>
      <c r="R68" s="2128"/>
      <c r="S68" s="2128"/>
      <c r="T68" s="2128"/>
      <c r="U68" s="2128"/>
      <c r="V68" s="2128"/>
      <c r="W68" s="2128"/>
      <c r="X68" s="2128"/>
      <c r="Y68" s="2128"/>
      <c r="Z68" s="2128"/>
      <c r="AA68" s="2128"/>
      <c r="AB68" s="2128"/>
      <c r="AC68" s="2128"/>
      <c r="AD68" s="2128"/>
      <c r="AE68" s="2128"/>
      <c r="AF68" s="2128"/>
      <c r="AG68" s="2128"/>
      <c r="AH68" s="2128"/>
      <c r="AI68" s="2128"/>
      <c r="AJ68" s="2128"/>
      <c r="AK68" s="2128"/>
      <c r="AL68" s="2128"/>
      <c r="AM68" s="2128"/>
      <c r="AN68" s="2128"/>
      <c r="AO68" s="2128"/>
      <c r="AP68" s="2128"/>
      <c r="AQ68" s="2128"/>
      <c r="AR68" s="2128"/>
      <c r="AS68" s="2128"/>
      <c r="AT68" s="2128"/>
      <c r="AU68" s="2128"/>
      <c r="AV68" s="2128"/>
      <c r="AW68" s="2128"/>
      <c r="AX68" s="2128"/>
      <c r="AY68" s="2128"/>
      <c r="AZ68" s="2128"/>
      <c r="BA68" s="2128"/>
      <c r="BB68" s="2128"/>
      <c r="BC68" s="2128"/>
      <c r="BD68" s="2128"/>
      <c r="BE68" s="2128"/>
      <c r="BF68" s="2128"/>
      <c r="BG68" s="2128"/>
      <c r="BH68" s="2128"/>
      <c r="BI68" s="2128"/>
      <c r="BJ68" s="2128"/>
      <c r="BK68" s="2128"/>
      <c r="BL68" s="2128"/>
      <c r="BM68" s="2128"/>
      <c r="BN68" s="2128"/>
      <c r="BO68" s="2128"/>
      <c r="BP68" s="2128"/>
      <c r="BQ68" s="2128"/>
      <c r="BR68" s="2128"/>
      <c r="BS68" s="2128"/>
      <c r="BT68" s="2128"/>
      <c r="BU68" s="2128"/>
      <c r="BV68" s="2128"/>
      <c r="BW68" s="2128"/>
      <c r="BX68" s="2128"/>
      <c r="BY68" s="2128"/>
      <c r="BZ68" s="2128"/>
      <c r="CA68" s="2128"/>
      <c r="CB68" s="2128"/>
      <c r="CC68" s="2128"/>
      <c r="CD68" s="2128"/>
      <c r="CE68" s="2128"/>
      <c r="CF68" s="2128"/>
      <c r="CG68" s="2128"/>
      <c r="CH68" s="2128"/>
      <c r="CI68" s="2128"/>
      <c r="CJ68" s="2128"/>
      <c r="CK68" s="2128"/>
      <c r="CL68" s="2128"/>
      <c r="CM68" s="2128"/>
      <c r="CN68" s="2128"/>
      <c r="CO68" s="2128"/>
      <c r="CP68" s="2128"/>
      <c r="CQ68" s="2128"/>
      <c r="CR68" s="2128"/>
      <c r="CS68" s="2128"/>
      <c r="CT68" s="2128"/>
      <c r="CU68" s="2128"/>
      <c r="CV68" s="2128"/>
      <c r="CW68" s="2128"/>
      <c r="CX68" s="2128"/>
      <c r="CY68" s="2128"/>
      <c r="CZ68" s="2128"/>
      <c r="DA68" s="2128"/>
      <c r="DB68" s="2128"/>
      <c r="DC68" s="2128"/>
      <c r="DD68" s="2128"/>
      <c r="DE68" s="2128"/>
      <c r="DF68" s="2128"/>
      <c r="DG68" s="2128"/>
      <c r="DH68" s="2128"/>
      <c r="DI68" s="2128"/>
      <c r="DJ68" s="2128"/>
      <c r="DK68" s="2128"/>
      <c r="DL68" s="2128"/>
      <c r="DM68" s="2128"/>
      <c r="DN68" s="2128"/>
      <c r="DO68" s="2128"/>
      <c r="DP68" s="2128"/>
      <c r="DQ68" s="2128"/>
      <c r="DR68" s="2128"/>
      <c r="DS68" s="2128"/>
      <c r="DT68" s="2128"/>
      <c r="DU68" s="2128"/>
      <c r="DV68" s="2128"/>
    </row>
    <row r="69" spans="1:127" s="2033" customFormat="1" ht="51" customHeight="1">
      <c r="A69" s="3781"/>
      <c r="B69" s="2303" t="str">
        <f t="shared" si="2"/>
        <v>2400001036</v>
      </c>
      <c r="C69" s="2303" t="s">
        <v>3859</v>
      </c>
      <c r="D69" s="2460"/>
      <c r="E69" s="2303"/>
      <c r="F69" s="2303" t="s">
        <v>3421</v>
      </c>
      <c r="G69" s="1460"/>
      <c r="H69" s="1460"/>
      <c r="I69" s="1460" t="s">
        <v>19</v>
      </c>
      <c r="J69" s="2098" t="s">
        <v>5438</v>
      </c>
      <c r="K69" s="2304" t="s">
        <v>6835</v>
      </c>
      <c r="L69" s="2305">
        <v>700</v>
      </c>
      <c r="M69" s="2383" t="s">
        <v>5937</v>
      </c>
      <c r="N69" s="2306" t="s">
        <v>6834</v>
      </c>
      <c r="O69" s="2101">
        <v>1</v>
      </c>
      <c r="P69" s="1548"/>
      <c r="Q69" s="1982"/>
      <c r="R69" s="1883"/>
      <c r="S69" s="1883"/>
      <c r="T69" s="1883"/>
      <c r="U69" s="1883"/>
      <c r="V69" s="1883"/>
      <c r="W69" s="1883"/>
      <c r="X69" s="1883"/>
      <c r="Y69" s="1883"/>
      <c r="Z69" s="1883"/>
      <c r="AA69" s="1883"/>
      <c r="AB69" s="1883"/>
      <c r="AC69" s="1883"/>
      <c r="AD69" s="1883"/>
      <c r="AE69" s="1883"/>
      <c r="AF69" s="1883"/>
      <c r="AG69" s="1883"/>
      <c r="AH69" s="1883"/>
      <c r="AI69" s="1883"/>
      <c r="AJ69" s="1883"/>
      <c r="AK69" s="1883"/>
      <c r="AL69" s="1883"/>
      <c r="AM69" s="1883"/>
      <c r="AN69" s="1883"/>
      <c r="AO69" s="1883"/>
      <c r="AP69" s="1883"/>
      <c r="AQ69" s="1883"/>
      <c r="AR69" s="1883"/>
      <c r="AS69" s="1883"/>
      <c r="AT69" s="1883"/>
      <c r="AU69" s="1883"/>
      <c r="AV69" s="1883"/>
      <c r="AW69" s="1883"/>
      <c r="AX69" s="1883"/>
      <c r="AY69" s="1883"/>
      <c r="AZ69" s="1883"/>
      <c r="BA69" s="1883"/>
      <c r="BB69" s="1883"/>
      <c r="BC69" s="1883"/>
      <c r="BD69" s="1883"/>
      <c r="BE69" s="1883"/>
      <c r="BF69" s="1883"/>
      <c r="BG69" s="1883"/>
      <c r="BH69" s="1883"/>
      <c r="BI69" s="1883"/>
      <c r="BJ69" s="1883"/>
      <c r="BK69" s="1883"/>
      <c r="BL69" s="1883"/>
      <c r="BM69" s="1883"/>
      <c r="BN69" s="1883"/>
      <c r="BO69" s="1883"/>
      <c r="BP69" s="1883"/>
      <c r="BQ69" s="1883"/>
      <c r="BR69" s="1883"/>
      <c r="BS69" s="1883"/>
      <c r="BT69" s="1883"/>
      <c r="BU69" s="1883"/>
      <c r="BV69" s="1883"/>
      <c r="BW69" s="1883"/>
      <c r="BX69" s="1883"/>
      <c r="BY69" s="1883"/>
      <c r="BZ69" s="1883"/>
      <c r="CA69" s="1883"/>
      <c r="CB69" s="1883"/>
      <c r="CC69" s="1883"/>
      <c r="CD69" s="1883"/>
      <c r="CE69" s="1883"/>
      <c r="CF69" s="1883"/>
      <c r="CG69" s="1883"/>
      <c r="CH69" s="1883"/>
      <c r="CI69" s="1883"/>
      <c r="CJ69" s="1883"/>
      <c r="CK69" s="1883"/>
      <c r="CL69" s="1883"/>
      <c r="CM69" s="1883"/>
      <c r="CN69" s="1883"/>
      <c r="CO69" s="1883"/>
      <c r="CP69" s="1883"/>
      <c r="CQ69" s="1883"/>
      <c r="CR69" s="1883"/>
      <c r="CS69" s="1883"/>
      <c r="CT69" s="1883"/>
      <c r="CU69" s="1883"/>
      <c r="CV69" s="1883"/>
      <c r="CW69" s="1883"/>
      <c r="CX69" s="1883"/>
      <c r="CY69" s="1883"/>
      <c r="CZ69" s="1883"/>
      <c r="DA69" s="1883"/>
      <c r="DB69" s="1883"/>
      <c r="DC69" s="1883"/>
      <c r="DD69" s="1883"/>
      <c r="DE69" s="1883"/>
      <c r="DF69" s="1883"/>
      <c r="DG69" s="1883"/>
      <c r="DH69" s="1883"/>
      <c r="DI69" s="1883"/>
      <c r="DJ69" s="1883"/>
      <c r="DK69" s="1883"/>
      <c r="DL69" s="1883"/>
      <c r="DM69" s="1883"/>
      <c r="DN69" s="1883"/>
      <c r="DO69" s="1883"/>
      <c r="DP69" s="1883"/>
      <c r="DQ69" s="1883"/>
      <c r="DR69" s="1883"/>
      <c r="DS69" s="1883"/>
      <c r="DT69" s="1883"/>
      <c r="DU69" s="1883"/>
      <c r="DV69" s="1883"/>
    </row>
    <row r="70" spans="1:127" s="2003" customFormat="1" ht="51" customHeight="1">
      <c r="A70" s="3782"/>
      <c r="B70" s="2303" t="str">
        <f t="shared" si="2"/>
        <v>2400001037</v>
      </c>
      <c r="C70" s="2303" t="s">
        <v>3859</v>
      </c>
      <c r="D70" s="2452"/>
      <c r="E70" s="2303"/>
      <c r="F70" s="2303" t="s">
        <v>3421</v>
      </c>
      <c r="G70" s="1460"/>
      <c r="H70" s="1460"/>
      <c r="I70" s="1460" t="s">
        <v>19</v>
      </c>
      <c r="J70" s="2098" t="s">
        <v>5438</v>
      </c>
      <c r="K70" s="2304" t="s">
        <v>6836</v>
      </c>
      <c r="L70" s="2305">
        <v>1800</v>
      </c>
      <c r="M70" s="2382" t="s">
        <v>5937</v>
      </c>
      <c r="N70" s="2307" t="s">
        <v>6837</v>
      </c>
      <c r="O70" s="2101">
        <v>1</v>
      </c>
      <c r="P70" s="2150"/>
      <c r="Q70" s="2308"/>
      <c r="R70" s="2127"/>
      <c r="S70" s="2127"/>
      <c r="T70" s="2127"/>
      <c r="U70" s="2127"/>
      <c r="V70" s="2127"/>
      <c r="W70" s="2127"/>
      <c r="X70" s="2127"/>
      <c r="Y70" s="2127"/>
      <c r="Z70" s="2127"/>
      <c r="AA70" s="2127"/>
      <c r="AB70" s="2127"/>
      <c r="AC70" s="2127"/>
      <c r="AD70" s="2127"/>
      <c r="AE70" s="2127"/>
      <c r="AF70" s="2127"/>
      <c r="AG70" s="2127"/>
      <c r="AH70" s="2127"/>
      <c r="AI70" s="2127"/>
      <c r="AJ70" s="2127"/>
      <c r="AK70" s="2127"/>
      <c r="AL70" s="2127"/>
      <c r="AM70" s="2127"/>
      <c r="AN70" s="2127"/>
      <c r="AO70" s="2127"/>
      <c r="AP70" s="2127"/>
      <c r="AQ70" s="2127"/>
      <c r="AR70" s="2127"/>
      <c r="AS70" s="2127"/>
      <c r="AT70" s="2127"/>
      <c r="AU70" s="2127"/>
      <c r="AV70" s="2127"/>
      <c r="AW70" s="2127"/>
      <c r="AX70" s="2127"/>
      <c r="AY70" s="2127"/>
      <c r="AZ70" s="2127"/>
      <c r="BA70" s="2127"/>
      <c r="BB70" s="2127"/>
      <c r="BC70" s="2127"/>
      <c r="BD70" s="2127"/>
      <c r="BE70" s="2127"/>
      <c r="BF70" s="2127"/>
      <c r="BG70" s="2127"/>
      <c r="BH70" s="2127"/>
      <c r="BI70" s="2127"/>
      <c r="BJ70" s="2127"/>
      <c r="BK70" s="2127"/>
      <c r="BL70" s="2127"/>
      <c r="BM70" s="2127"/>
      <c r="BN70" s="2127"/>
      <c r="BO70" s="2127"/>
      <c r="BP70" s="2127"/>
      <c r="BQ70" s="2127"/>
      <c r="BR70" s="2127"/>
      <c r="BS70" s="2127"/>
      <c r="BT70" s="2127"/>
      <c r="BU70" s="2127"/>
      <c r="BV70" s="2127"/>
      <c r="BW70" s="2127"/>
      <c r="BX70" s="2127"/>
      <c r="BY70" s="2127"/>
      <c r="BZ70" s="2127"/>
      <c r="CA70" s="2127"/>
      <c r="CB70" s="2127"/>
      <c r="CC70" s="2127"/>
      <c r="CD70" s="2127"/>
      <c r="CE70" s="2127"/>
      <c r="CF70" s="2127"/>
      <c r="CG70" s="2127"/>
      <c r="CH70" s="2127"/>
      <c r="CI70" s="2127"/>
      <c r="CJ70" s="2127"/>
      <c r="CK70" s="2127"/>
      <c r="CL70" s="2127"/>
      <c r="CM70" s="2127"/>
      <c r="CN70" s="2127"/>
      <c r="CO70" s="2127"/>
      <c r="CP70" s="2127"/>
      <c r="CQ70" s="2127"/>
      <c r="CR70" s="2127"/>
      <c r="CS70" s="2127"/>
      <c r="CT70" s="2127"/>
      <c r="CU70" s="2127"/>
      <c r="CV70" s="2127"/>
      <c r="CW70" s="2127"/>
      <c r="CX70" s="2127"/>
      <c r="CY70" s="2127"/>
      <c r="CZ70" s="2127"/>
      <c r="DA70" s="2127"/>
      <c r="DB70" s="2127"/>
      <c r="DC70" s="2127"/>
      <c r="DD70" s="2127"/>
      <c r="DE70" s="2127"/>
      <c r="DF70" s="2127"/>
      <c r="DG70" s="2127"/>
      <c r="DH70" s="2127"/>
      <c r="DI70" s="2127"/>
      <c r="DJ70" s="2127"/>
      <c r="DK70" s="2127"/>
      <c r="DL70" s="2127"/>
      <c r="DM70" s="2127"/>
      <c r="DN70" s="2127"/>
      <c r="DO70" s="2127"/>
      <c r="DP70" s="2127"/>
      <c r="DQ70" s="2127"/>
      <c r="DR70" s="2127"/>
      <c r="DS70" s="2127"/>
      <c r="DT70" s="2127"/>
      <c r="DU70" s="2127"/>
      <c r="DV70" s="2127"/>
    </row>
    <row r="71" spans="1:127" s="2079" customFormat="1" ht="62.25" customHeight="1">
      <c r="A71" s="2192">
        <v>20</v>
      </c>
      <c r="B71" s="1921" t="str">
        <f t="shared" si="2"/>
        <v>2200001873</v>
      </c>
      <c r="C71" s="1921" t="s">
        <v>3491</v>
      </c>
      <c r="D71" s="2461">
        <v>4300</v>
      </c>
      <c r="E71" s="2118" t="s">
        <v>6838</v>
      </c>
      <c r="F71" s="2120" t="s">
        <v>3401</v>
      </c>
      <c r="G71" s="2118" t="s">
        <v>6839</v>
      </c>
      <c r="H71" s="2219"/>
      <c r="I71" s="2187" t="s">
        <v>19</v>
      </c>
      <c r="J71" s="1921" t="s">
        <v>101</v>
      </c>
      <c r="K71" s="2161" t="s">
        <v>6840</v>
      </c>
      <c r="L71" s="2322">
        <v>4300</v>
      </c>
      <c r="M71" s="1748" t="s">
        <v>6841</v>
      </c>
      <c r="N71" s="2275"/>
      <c r="O71" s="2102">
        <v>1</v>
      </c>
      <c r="P71" s="2122"/>
      <c r="Q71" s="2122"/>
      <c r="R71" s="2122"/>
      <c r="S71" s="2122"/>
      <c r="T71" s="2122"/>
      <c r="U71" s="2122"/>
      <c r="V71" s="2122"/>
      <c r="W71" s="2122"/>
      <c r="X71" s="2122"/>
      <c r="Y71" s="2122"/>
      <c r="Z71" s="2122"/>
      <c r="AA71" s="2122"/>
      <c r="AB71" s="2122"/>
      <c r="AC71" s="2122"/>
      <c r="AD71" s="2122"/>
      <c r="AE71" s="2122"/>
      <c r="AF71" s="2122"/>
      <c r="AG71" s="2122"/>
      <c r="AH71" s="2122"/>
      <c r="AI71" s="2122"/>
      <c r="AJ71" s="2122"/>
      <c r="AK71" s="2122"/>
      <c r="AL71" s="2122"/>
      <c r="AM71" s="2122"/>
      <c r="AN71" s="2122"/>
      <c r="AO71" s="2122"/>
      <c r="AP71" s="2122"/>
      <c r="AQ71" s="2122"/>
      <c r="AR71" s="2122"/>
      <c r="AS71" s="2122"/>
      <c r="AT71" s="2122"/>
      <c r="AU71" s="2122"/>
      <c r="AV71" s="2122"/>
      <c r="AW71" s="2122"/>
      <c r="AX71" s="2122"/>
      <c r="AY71" s="2122"/>
      <c r="AZ71" s="2122"/>
      <c r="BA71" s="2122"/>
      <c r="BB71" s="2122"/>
      <c r="BC71" s="2122"/>
      <c r="BD71" s="2122"/>
      <c r="BE71" s="2122"/>
      <c r="BF71" s="2122"/>
      <c r="BG71" s="2122"/>
      <c r="BH71" s="2122"/>
      <c r="BI71" s="2122"/>
      <c r="BJ71" s="2122"/>
      <c r="BK71" s="2122"/>
      <c r="BL71" s="2122"/>
      <c r="BM71" s="2122"/>
      <c r="BN71" s="2122"/>
      <c r="BO71" s="2122"/>
      <c r="BP71" s="2122"/>
      <c r="BQ71" s="2122"/>
      <c r="BR71" s="2122"/>
      <c r="BS71" s="2122"/>
      <c r="BT71" s="2122"/>
      <c r="BU71" s="2122"/>
      <c r="BV71" s="2122"/>
      <c r="BW71" s="2122"/>
      <c r="BX71" s="2122"/>
      <c r="BY71" s="2122"/>
      <c r="BZ71" s="2122"/>
      <c r="CA71" s="2122"/>
      <c r="CB71" s="2122"/>
      <c r="CC71" s="2122"/>
      <c r="CD71" s="2122"/>
      <c r="CE71" s="2122"/>
      <c r="CF71" s="2122"/>
      <c r="CG71" s="2122"/>
      <c r="CH71" s="2122"/>
      <c r="CI71" s="2122"/>
      <c r="CJ71" s="2122"/>
      <c r="CK71" s="2122"/>
      <c r="CL71" s="2122"/>
      <c r="CM71" s="2122"/>
      <c r="CN71" s="2122"/>
      <c r="CO71" s="2122"/>
      <c r="CP71" s="2122"/>
      <c r="CQ71" s="2122"/>
      <c r="CR71" s="2122"/>
      <c r="CS71" s="2122"/>
      <c r="CT71" s="2122"/>
      <c r="CU71" s="2122"/>
      <c r="CV71" s="2122"/>
      <c r="CW71" s="2122"/>
      <c r="CX71" s="2122"/>
      <c r="CY71" s="2122"/>
      <c r="CZ71" s="2122"/>
      <c r="DA71" s="2122"/>
      <c r="DB71" s="2122"/>
      <c r="DC71" s="2122"/>
      <c r="DD71" s="2122"/>
      <c r="DE71" s="2122"/>
      <c r="DF71" s="2122"/>
      <c r="DG71" s="2122"/>
      <c r="DH71" s="2122"/>
      <c r="DI71" s="2122"/>
      <c r="DJ71" s="2122"/>
      <c r="DK71" s="2122"/>
      <c r="DL71" s="2122"/>
      <c r="DM71" s="2122"/>
      <c r="DN71" s="2122"/>
      <c r="DO71" s="2122"/>
      <c r="DP71" s="2122"/>
      <c r="DQ71" s="2122"/>
      <c r="DR71" s="2122"/>
      <c r="DS71" s="2122"/>
      <c r="DT71" s="2122"/>
      <c r="DU71" s="2122"/>
      <c r="DV71" s="2122"/>
      <c r="DW71" s="2033"/>
    </row>
    <row r="72" spans="1:127" s="2079" customFormat="1" ht="60.75" customHeight="1">
      <c r="A72" s="3773">
        <v>21</v>
      </c>
      <c r="B72" s="2187" t="str">
        <f t="shared" si="2"/>
        <v>2200001855</v>
      </c>
      <c r="C72" s="2187" t="s">
        <v>3391</v>
      </c>
      <c r="D72" s="2462">
        <v>3300</v>
      </c>
      <c r="E72" s="2184" t="s">
        <v>6842</v>
      </c>
      <c r="F72" s="2186" t="s">
        <v>89</v>
      </c>
      <c r="G72" s="2184" t="s">
        <v>6843</v>
      </c>
      <c r="H72" s="2323"/>
      <c r="I72" s="1921" t="s">
        <v>19</v>
      </c>
      <c r="J72" s="2298" t="s">
        <v>959</v>
      </c>
      <c r="K72" s="1916" t="s">
        <v>6844</v>
      </c>
      <c r="L72" s="2150">
        <v>500</v>
      </c>
      <c r="M72" s="2384" t="s">
        <v>5937</v>
      </c>
      <c r="N72" s="2324"/>
      <c r="O72" s="1882">
        <v>1</v>
      </c>
      <c r="P72" s="2129"/>
      <c r="Q72" s="2129"/>
      <c r="R72" s="2129"/>
      <c r="S72" s="2129"/>
      <c r="T72" s="2129"/>
      <c r="U72" s="2129"/>
      <c r="V72" s="2129"/>
      <c r="W72" s="2129"/>
      <c r="X72" s="2129"/>
      <c r="Y72" s="2129"/>
      <c r="Z72" s="2129"/>
      <c r="AA72" s="2129"/>
      <c r="AB72" s="2129"/>
      <c r="AC72" s="2129"/>
      <c r="AD72" s="2129"/>
      <c r="AE72" s="2129"/>
      <c r="AF72" s="2129"/>
      <c r="AG72" s="2129"/>
      <c r="AH72" s="2129"/>
      <c r="AI72" s="2129"/>
      <c r="AJ72" s="2129"/>
      <c r="AK72" s="2129"/>
      <c r="AL72" s="2129"/>
      <c r="AM72" s="2129"/>
      <c r="AN72" s="2129"/>
      <c r="AO72" s="2129"/>
      <c r="AP72" s="2129"/>
      <c r="AQ72" s="2129"/>
      <c r="AR72" s="2129"/>
      <c r="AS72" s="2129"/>
      <c r="AT72" s="2129"/>
      <c r="AU72" s="2129"/>
      <c r="AV72" s="2129"/>
      <c r="AW72" s="2129"/>
      <c r="AX72" s="2129"/>
      <c r="AY72" s="2129"/>
      <c r="AZ72" s="2129"/>
      <c r="BA72" s="2129"/>
      <c r="BB72" s="2129"/>
      <c r="BC72" s="2129"/>
      <c r="BD72" s="2129"/>
      <c r="BE72" s="2129"/>
      <c r="BF72" s="2129"/>
      <c r="BG72" s="2129"/>
      <c r="BH72" s="2129"/>
      <c r="BI72" s="2129"/>
      <c r="BJ72" s="2129"/>
      <c r="BK72" s="2129"/>
      <c r="BL72" s="2129"/>
      <c r="BM72" s="2129"/>
      <c r="BN72" s="2129"/>
      <c r="BO72" s="2129"/>
      <c r="BP72" s="2129"/>
      <c r="BQ72" s="2129"/>
      <c r="BR72" s="2129"/>
      <c r="BS72" s="2129"/>
      <c r="BT72" s="2129"/>
      <c r="BU72" s="2129"/>
      <c r="BV72" s="2129"/>
      <c r="BW72" s="2129"/>
      <c r="BX72" s="2129"/>
      <c r="BY72" s="2129"/>
      <c r="BZ72" s="2129"/>
      <c r="CA72" s="2129"/>
      <c r="CB72" s="2129"/>
      <c r="CC72" s="2129"/>
      <c r="CD72" s="2129"/>
      <c r="CE72" s="2129"/>
      <c r="CF72" s="2129"/>
      <c r="CG72" s="2129"/>
      <c r="CH72" s="2129"/>
      <c r="CI72" s="2129"/>
      <c r="CJ72" s="2129"/>
      <c r="CK72" s="2129"/>
      <c r="CL72" s="2129"/>
      <c r="CM72" s="2129"/>
      <c r="CN72" s="2129"/>
      <c r="CO72" s="2129"/>
      <c r="CP72" s="2129"/>
      <c r="CQ72" s="2129"/>
      <c r="CR72" s="2129"/>
      <c r="CS72" s="2129"/>
      <c r="CT72" s="2129"/>
      <c r="CU72" s="2129"/>
      <c r="CV72" s="2129"/>
      <c r="CW72" s="2129"/>
      <c r="CX72" s="2129"/>
      <c r="CY72" s="2129"/>
      <c r="CZ72" s="2129"/>
      <c r="DA72" s="2129"/>
      <c r="DB72" s="2129"/>
      <c r="DC72" s="2129"/>
      <c r="DD72" s="2129"/>
      <c r="DE72" s="2129"/>
      <c r="DF72" s="2129"/>
      <c r="DG72" s="2129"/>
      <c r="DH72" s="2129"/>
      <c r="DI72" s="2129"/>
      <c r="DJ72" s="2129"/>
      <c r="DK72" s="2129"/>
      <c r="DL72" s="2129"/>
      <c r="DM72" s="2129"/>
      <c r="DN72" s="2129"/>
      <c r="DO72" s="2129"/>
      <c r="DP72" s="2129"/>
      <c r="DQ72" s="2129"/>
      <c r="DR72" s="2129"/>
      <c r="DS72" s="2129"/>
      <c r="DT72" s="2129"/>
      <c r="DU72" s="2129"/>
      <c r="DV72" s="2129"/>
    </row>
    <row r="73" spans="1:127" s="1770" customFormat="1" ht="60.75" customHeight="1">
      <c r="A73" s="3767"/>
      <c r="B73" s="1495" t="str">
        <f t="shared" si="2"/>
        <v>2200001872</v>
      </c>
      <c r="C73" s="1495" t="s">
        <v>3391</v>
      </c>
      <c r="D73" s="2463"/>
      <c r="E73" s="1495"/>
      <c r="F73" s="1495" t="s">
        <v>89</v>
      </c>
      <c r="G73" s="1568"/>
      <c r="H73" s="1495"/>
      <c r="I73" s="1495" t="s">
        <v>19</v>
      </c>
      <c r="J73" s="2025" t="s">
        <v>959</v>
      </c>
      <c r="K73" s="1496" t="s">
        <v>6845</v>
      </c>
      <c r="L73" s="2325">
        <v>1800</v>
      </c>
      <c r="M73" s="1748" t="s">
        <v>6720</v>
      </c>
      <c r="N73" s="1600"/>
      <c r="O73" s="1748">
        <v>1</v>
      </c>
      <c r="P73" s="1548"/>
      <c r="Q73" s="1548"/>
      <c r="R73" s="1548"/>
      <c r="S73" s="1548"/>
      <c r="T73" s="1548"/>
      <c r="U73" s="1548"/>
      <c r="V73" s="1548"/>
      <c r="W73" s="1548"/>
      <c r="X73" s="1548"/>
      <c r="Y73" s="1548"/>
      <c r="Z73" s="1548"/>
      <c r="AA73" s="1548"/>
      <c r="AB73" s="1548"/>
      <c r="AC73" s="1548"/>
      <c r="AD73" s="1548"/>
      <c r="AE73" s="1548"/>
      <c r="AF73" s="1548"/>
      <c r="AG73" s="1548"/>
      <c r="AH73" s="1548"/>
      <c r="AI73" s="1548"/>
      <c r="AJ73" s="1548"/>
      <c r="AK73" s="1548"/>
      <c r="AL73" s="1548"/>
      <c r="AM73" s="1548"/>
      <c r="AN73" s="1548"/>
      <c r="AO73" s="1548"/>
      <c r="AP73" s="1548"/>
      <c r="AQ73" s="1548"/>
      <c r="AR73" s="1548"/>
      <c r="AS73" s="1548"/>
      <c r="AT73" s="1548"/>
      <c r="AU73" s="1548"/>
      <c r="AV73" s="1548"/>
      <c r="AW73" s="1548"/>
      <c r="AX73" s="1548"/>
      <c r="AY73" s="1548"/>
      <c r="AZ73" s="1548"/>
      <c r="BA73" s="1548"/>
      <c r="BB73" s="1548"/>
      <c r="BC73" s="1548"/>
      <c r="BD73" s="1548"/>
      <c r="BE73" s="1548"/>
      <c r="BF73" s="1548"/>
      <c r="BG73" s="1548"/>
      <c r="BH73" s="1548"/>
      <c r="BI73" s="1548"/>
      <c r="BJ73" s="1548"/>
      <c r="BK73" s="1548"/>
      <c r="BL73" s="1548"/>
      <c r="BM73" s="1548"/>
      <c r="BN73" s="1548"/>
      <c r="BO73" s="1548"/>
      <c r="BP73" s="1548"/>
      <c r="BQ73" s="1548"/>
      <c r="BR73" s="1548"/>
      <c r="BS73" s="1548"/>
      <c r="BT73" s="1548"/>
      <c r="BU73" s="1548"/>
      <c r="BV73" s="1548"/>
      <c r="BW73" s="1548"/>
      <c r="BX73" s="1548"/>
      <c r="BY73" s="1548"/>
      <c r="BZ73" s="1548"/>
      <c r="CA73" s="1548"/>
      <c r="CB73" s="1548"/>
      <c r="CC73" s="1548"/>
      <c r="CD73" s="1548"/>
      <c r="CE73" s="1548"/>
      <c r="CF73" s="1548"/>
      <c r="CG73" s="1548"/>
      <c r="CH73" s="1548"/>
      <c r="CI73" s="1548"/>
      <c r="CJ73" s="1548"/>
      <c r="CK73" s="1548"/>
      <c r="CL73" s="1548"/>
      <c r="CM73" s="1548"/>
      <c r="CN73" s="1548"/>
      <c r="CO73" s="1548"/>
      <c r="CP73" s="1548"/>
      <c r="CQ73" s="1548"/>
      <c r="CR73" s="1548"/>
      <c r="CS73" s="1548"/>
      <c r="CT73" s="1548"/>
      <c r="CU73" s="1548"/>
      <c r="CV73" s="1548"/>
      <c r="CW73" s="1548"/>
      <c r="CX73" s="1548"/>
      <c r="CY73" s="1548"/>
      <c r="CZ73" s="1548"/>
      <c r="DA73" s="1548"/>
      <c r="DB73" s="1548"/>
      <c r="DC73" s="1548"/>
      <c r="DD73" s="1548"/>
      <c r="DE73" s="1548"/>
      <c r="DF73" s="1548"/>
      <c r="DG73" s="1548"/>
      <c r="DH73" s="1548"/>
      <c r="DI73" s="1548"/>
      <c r="DJ73" s="1548"/>
      <c r="DK73" s="1548"/>
      <c r="DL73" s="1548"/>
      <c r="DM73" s="1548"/>
      <c r="DN73" s="1548"/>
      <c r="DO73" s="1548"/>
      <c r="DP73" s="1548"/>
      <c r="DQ73" s="1548"/>
      <c r="DR73" s="1548"/>
      <c r="DS73" s="1548"/>
      <c r="DT73" s="1548"/>
      <c r="DU73" s="1548"/>
      <c r="DV73" s="1548"/>
    </row>
    <row r="74" spans="1:127" s="1770" customFormat="1" ht="60.75" customHeight="1">
      <c r="A74" s="3767"/>
      <c r="B74" s="1495" t="str">
        <f t="shared" si="2"/>
        <v>2200001881</v>
      </c>
      <c r="C74" s="1495" t="s">
        <v>3391</v>
      </c>
      <c r="D74" s="2463"/>
      <c r="E74" s="1495"/>
      <c r="F74" s="1495" t="s">
        <v>89</v>
      </c>
      <c r="G74" s="1947"/>
      <c r="H74" s="1937"/>
      <c r="I74" s="1495" t="s">
        <v>19</v>
      </c>
      <c r="J74" s="2025" t="s">
        <v>959</v>
      </c>
      <c r="K74" s="2133" t="s">
        <v>6846</v>
      </c>
      <c r="L74" s="2302">
        <v>255</v>
      </c>
      <c r="M74" s="2326" t="s">
        <v>6705</v>
      </c>
      <c r="N74" s="1600"/>
      <c r="O74" s="1939">
        <v>1</v>
      </c>
      <c r="P74" s="1883"/>
      <c r="Q74" s="1883"/>
      <c r="R74" s="1883"/>
      <c r="S74" s="1883"/>
      <c r="T74" s="1883"/>
      <c r="U74" s="1883"/>
      <c r="V74" s="1883"/>
      <c r="W74" s="1883"/>
      <c r="X74" s="1883"/>
      <c r="Y74" s="1883"/>
      <c r="Z74" s="1883"/>
      <c r="AA74" s="1883"/>
      <c r="AB74" s="1883"/>
      <c r="AC74" s="1883"/>
      <c r="AD74" s="1883"/>
      <c r="AE74" s="1883"/>
      <c r="AF74" s="1883"/>
      <c r="AG74" s="1883"/>
      <c r="AH74" s="1883"/>
      <c r="AI74" s="1883"/>
      <c r="AJ74" s="1883"/>
      <c r="AK74" s="1883"/>
      <c r="AL74" s="1883"/>
      <c r="AM74" s="1883"/>
      <c r="AN74" s="1883"/>
      <c r="AO74" s="1883"/>
      <c r="AP74" s="1883"/>
      <c r="AQ74" s="1883"/>
      <c r="AR74" s="1883"/>
      <c r="AS74" s="1883"/>
      <c r="AT74" s="1883"/>
      <c r="AU74" s="1883"/>
      <c r="AV74" s="1883"/>
      <c r="AW74" s="1883"/>
      <c r="AX74" s="1883"/>
      <c r="AY74" s="1883"/>
      <c r="AZ74" s="1883"/>
      <c r="BA74" s="1883"/>
      <c r="BB74" s="1883"/>
      <c r="BC74" s="1883"/>
      <c r="BD74" s="1883"/>
      <c r="BE74" s="1883"/>
      <c r="BF74" s="1883"/>
      <c r="BG74" s="1883"/>
      <c r="BH74" s="1883"/>
      <c r="BI74" s="1883"/>
      <c r="BJ74" s="1883"/>
      <c r="BK74" s="1883"/>
      <c r="BL74" s="1883"/>
      <c r="BM74" s="1883"/>
      <c r="BN74" s="1883"/>
      <c r="BO74" s="1883"/>
      <c r="BP74" s="1883"/>
      <c r="BQ74" s="1883"/>
      <c r="BR74" s="1883"/>
      <c r="BS74" s="1883"/>
      <c r="BT74" s="1883"/>
      <c r="BU74" s="1883"/>
      <c r="BV74" s="1883"/>
      <c r="BW74" s="1883"/>
      <c r="BX74" s="1883"/>
      <c r="BY74" s="1883"/>
      <c r="BZ74" s="1883"/>
      <c r="CA74" s="1883"/>
      <c r="CB74" s="1883"/>
      <c r="CC74" s="1883"/>
      <c r="CD74" s="1883"/>
      <c r="CE74" s="1883"/>
      <c r="CF74" s="1883"/>
      <c r="CG74" s="1883"/>
      <c r="CH74" s="1883"/>
      <c r="CI74" s="1883"/>
      <c r="CJ74" s="1883"/>
      <c r="CK74" s="1883"/>
      <c r="CL74" s="1883"/>
      <c r="CM74" s="1883"/>
      <c r="CN74" s="1883"/>
      <c r="CO74" s="1883"/>
      <c r="CP74" s="1883"/>
      <c r="CQ74" s="1883"/>
      <c r="CR74" s="1883"/>
      <c r="CS74" s="1883"/>
      <c r="CT74" s="1883"/>
      <c r="CU74" s="1883"/>
      <c r="CV74" s="1883"/>
      <c r="CW74" s="1883"/>
      <c r="CX74" s="1883"/>
      <c r="CY74" s="1883"/>
      <c r="CZ74" s="1883"/>
      <c r="DA74" s="1883"/>
      <c r="DB74" s="1883"/>
      <c r="DC74" s="1883"/>
      <c r="DD74" s="1883"/>
      <c r="DE74" s="1883"/>
      <c r="DF74" s="1883"/>
      <c r="DG74" s="1883"/>
      <c r="DH74" s="1883"/>
      <c r="DI74" s="1883"/>
      <c r="DJ74" s="1883"/>
      <c r="DK74" s="1883"/>
      <c r="DL74" s="1883"/>
      <c r="DM74" s="1883"/>
      <c r="DN74" s="1883"/>
      <c r="DO74" s="1883"/>
      <c r="DP74" s="1883"/>
      <c r="DQ74" s="1883"/>
      <c r="DR74" s="1883"/>
      <c r="DS74" s="1883"/>
      <c r="DT74" s="1883"/>
      <c r="DU74" s="1883"/>
      <c r="DV74" s="1883"/>
      <c r="DW74" s="1994"/>
    </row>
    <row r="75" spans="1:127" s="1770" customFormat="1" ht="60.75" customHeight="1">
      <c r="A75" s="3767"/>
      <c r="B75" s="1495" t="str">
        <f t="shared" si="2"/>
        <v>2200001890</v>
      </c>
      <c r="C75" s="1495" t="s">
        <v>3391</v>
      </c>
      <c r="D75" s="2463"/>
      <c r="E75" s="1495"/>
      <c r="F75" s="1495" t="s">
        <v>89</v>
      </c>
      <c r="G75" s="1851"/>
      <c r="H75" s="1937"/>
      <c r="I75" s="1495" t="s">
        <v>19</v>
      </c>
      <c r="J75" s="2025" t="s">
        <v>959</v>
      </c>
      <c r="K75" s="1598" t="s">
        <v>6847</v>
      </c>
      <c r="L75" s="2302">
        <v>259</v>
      </c>
      <c r="M75" s="2030" t="s">
        <v>6848</v>
      </c>
      <c r="N75" s="1962" t="s">
        <v>6849</v>
      </c>
      <c r="O75" s="2102">
        <v>1</v>
      </c>
      <c r="P75" s="1883"/>
      <c r="Q75" s="1883"/>
      <c r="R75" s="1883"/>
      <c r="S75" s="1883"/>
      <c r="T75" s="1883"/>
      <c r="U75" s="1883"/>
      <c r="V75" s="1883"/>
      <c r="W75" s="1883"/>
      <c r="X75" s="1883"/>
      <c r="Y75" s="1883"/>
      <c r="Z75" s="1883"/>
      <c r="AA75" s="1883"/>
      <c r="AB75" s="1883"/>
      <c r="AC75" s="1883"/>
      <c r="AD75" s="1883"/>
      <c r="AE75" s="1883"/>
      <c r="AF75" s="1883"/>
      <c r="AG75" s="1883"/>
      <c r="AH75" s="1883"/>
      <c r="AI75" s="1883"/>
      <c r="AJ75" s="1883"/>
      <c r="AK75" s="1883"/>
      <c r="AL75" s="1883"/>
      <c r="AM75" s="1883"/>
      <c r="AN75" s="1883"/>
      <c r="AO75" s="1883"/>
      <c r="AP75" s="1883"/>
      <c r="AQ75" s="1883"/>
      <c r="AR75" s="1883"/>
      <c r="AS75" s="1883"/>
      <c r="AT75" s="1883"/>
      <c r="AU75" s="1883"/>
      <c r="AV75" s="1883"/>
      <c r="AW75" s="1883"/>
      <c r="AX75" s="1883"/>
      <c r="AY75" s="1883"/>
      <c r="AZ75" s="1883"/>
      <c r="BA75" s="1883"/>
      <c r="BB75" s="1883"/>
      <c r="BC75" s="1883"/>
      <c r="BD75" s="1883"/>
      <c r="BE75" s="1883"/>
      <c r="BF75" s="1883"/>
      <c r="BG75" s="1883"/>
      <c r="BH75" s="1883"/>
      <c r="BI75" s="1883"/>
      <c r="BJ75" s="1883"/>
      <c r="BK75" s="1883"/>
      <c r="BL75" s="1883"/>
      <c r="BM75" s="1883"/>
      <c r="BN75" s="1883"/>
      <c r="BO75" s="1883"/>
      <c r="BP75" s="1883"/>
      <c r="BQ75" s="1883"/>
      <c r="BR75" s="1883"/>
      <c r="BS75" s="1883"/>
      <c r="BT75" s="1883"/>
      <c r="BU75" s="1883"/>
      <c r="BV75" s="1883"/>
      <c r="BW75" s="1883"/>
      <c r="BX75" s="1883"/>
      <c r="BY75" s="1883"/>
      <c r="BZ75" s="1883"/>
      <c r="CA75" s="1883"/>
      <c r="CB75" s="1883"/>
      <c r="CC75" s="1883"/>
      <c r="CD75" s="1883"/>
      <c r="CE75" s="1883"/>
      <c r="CF75" s="1883"/>
      <c r="CG75" s="1883"/>
      <c r="CH75" s="1883"/>
      <c r="CI75" s="1883"/>
      <c r="CJ75" s="1883"/>
      <c r="CK75" s="1883"/>
      <c r="CL75" s="1883"/>
      <c r="CM75" s="1883"/>
      <c r="CN75" s="1883"/>
      <c r="CO75" s="1883"/>
      <c r="CP75" s="1883"/>
      <c r="CQ75" s="1883"/>
      <c r="CR75" s="1883"/>
      <c r="CS75" s="1883"/>
      <c r="CT75" s="1883"/>
      <c r="CU75" s="1883"/>
      <c r="CV75" s="1883"/>
      <c r="CW75" s="1883"/>
      <c r="CX75" s="1883"/>
      <c r="CY75" s="1883"/>
      <c r="CZ75" s="1883"/>
      <c r="DA75" s="1883"/>
      <c r="DB75" s="1883"/>
      <c r="DC75" s="1883"/>
      <c r="DD75" s="1883"/>
      <c r="DE75" s="1883"/>
      <c r="DF75" s="1883"/>
      <c r="DG75" s="1883"/>
      <c r="DH75" s="1883"/>
      <c r="DI75" s="1883"/>
      <c r="DJ75" s="1883"/>
      <c r="DK75" s="1883"/>
      <c r="DL75" s="1883"/>
      <c r="DM75" s="1883"/>
      <c r="DN75" s="1883"/>
      <c r="DO75" s="1883"/>
      <c r="DP75" s="1883"/>
      <c r="DQ75" s="1883"/>
      <c r="DR75" s="1883"/>
      <c r="DS75" s="1883"/>
      <c r="DT75" s="1883"/>
      <c r="DU75" s="1883"/>
      <c r="DV75" s="1883"/>
      <c r="DW75" s="1994"/>
    </row>
    <row r="76" spans="1:127" s="1770" customFormat="1" ht="60.75" customHeight="1">
      <c r="A76" s="3768"/>
      <c r="B76" s="1495" t="str">
        <f t="shared" si="2"/>
        <v>2200001889</v>
      </c>
      <c r="C76" s="1495" t="s">
        <v>3391</v>
      </c>
      <c r="D76" s="2463"/>
      <c r="E76" s="1495"/>
      <c r="F76" s="1495" t="s">
        <v>89</v>
      </c>
      <c r="G76" s="1851"/>
      <c r="H76" s="1937"/>
      <c r="I76" s="1495" t="s">
        <v>19</v>
      </c>
      <c r="J76" s="2025" t="s">
        <v>959</v>
      </c>
      <c r="K76" s="1598" t="s">
        <v>6850</v>
      </c>
      <c r="L76" s="2302">
        <v>486</v>
      </c>
      <c r="M76" s="2102" t="s">
        <v>6851</v>
      </c>
      <c r="N76" s="1790" t="s">
        <v>6852</v>
      </c>
      <c r="O76" s="1939">
        <v>1</v>
      </c>
      <c r="P76" s="1883"/>
      <c r="Q76" s="1883"/>
      <c r="R76" s="1883"/>
      <c r="S76" s="1883"/>
      <c r="T76" s="1883"/>
      <c r="U76" s="1883"/>
      <c r="V76" s="1883"/>
      <c r="W76" s="1883"/>
      <c r="X76" s="1883"/>
      <c r="Y76" s="1883"/>
      <c r="Z76" s="1883"/>
      <c r="AA76" s="1883"/>
      <c r="AB76" s="1883"/>
      <c r="AC76" s="1883"/>
      <c r="AD76" s="1883"/>
      <c r="AE76" s="1883"/>
      <c r="AF76" s="1883"/>
      <c r="AG76" s="1883"/>
      <c r="AH76" s="1883"/>
      <c r="AI76" s="1883"/>
      <c r="AJ76" s="1883"/>
      <c r="AK76" s="1883"/>
      <c r="AL76" s="1883"/>
      <c r="AM76" s="1883"/>
      <c r="AN76" s="1883"/>
      <c r="AO76" s="1883"/>
      <c r="AP76" s="1883"/>
      <c r="AQ76" s="1883"/>
      <c r="AR76" s="1883"/>
      <c r="AS76" s="1883"/>
      <c r="AT76" s="1883"/>
      <c r="AU76" s="1883"/>
      <c r="AV76" s="1883"/>
      <c r="AW76" s="1883"/>
      <c r="AX76" s="1883"/>
      <c r="AY76" s="1883"/>
      <c r="AZ76" s="1883"/>
      <c r="BA76" s="1883"/>
      <c r="BB76" s="1883"/>
      <c r="BC76" s="1883"/>
      <c r="BD76" s="1883"/>
      <c r="BE76" s="1883"/>
      <c r="BF76" s="1883"/>
      <c r="BG76" s="1883"/>
      <c r="BH76" s="1883"/>
      <c r="BI76" s="1883"/>
      <c r="BJ76" s="1883"/>
      <c r="BK76" s="1883"/>
      <c r="BL76" s="1883"/>
      <c r="BM76" s="1883"/>
      <c r="BN76" s="1883"/>
      <c r="BO76" s="1883"/>
      <c r="BP76" s="1883"/>
      <c r="BQ76" s="1883"/>
      <c r="BR76" s="1883"/>
      <c r="BS76" s="1883"/>
      <c r="BT76" s="1883"/>
      <c r="BU76" s="1883"/>
      <c r="BV76" s="1883"/>
      <c r="BW76" s="1883"/>
      <c r="BX76" s="1883"/>
      <c r="BY76" s="1883"/>
      <c r="BZ76" s="1883"/>
      <c r="CA76" s="1883"/>
      <c r="CB76" s="1883"/>
      <c r="CC76" s="1883"/>
      <c r="CD76" s="1883"/>
      <c r="CE76" s="1883"/>
      <c r="CF76" s="1883"/>
      <c r="CG76" s="1883"/>
      <c r="CH76" s="1883"/>
      <c r="CI76" s="1883"/>
      <c r="CJ76" s="1883"/>
      <c r="CK76" s="1883"/>
      <c r="CL76" s="1883"/>
      <c r="CM76" s="1883"/>
      <c r="CN76" s="1883"/>
      <c r="CO76" s="1883"/>
      <c r="CP76" s="1883"/>
      <c r="CQ76" s="1883"/>
      <c r="CR76" s="1883"/>
      <c r="CS76" s="1883"/>
      <c r="CT76" s="1883"/>
      <c r="CU76" s="1883"/>
      <c r="CV76" s="1883"/>
      <c r="CW76" s="1883"/>
      <c r="CX76" s="1883"/>
      <c r="CY76" s="1883"/>
      <c r="CZ76" s="1883"/>
      <c r="DA76" s="1883"/>
      <c r="DB76" s="1883"/>
      <c r="DC76" s="1883"/>
      <c r="DD76" s="1883"/>
      <c r="DE76" s="1883"/>
      <c r="DF76" s="1883"/>
      <c r="DG76" s="1883"/>
      <c r="DH76" s="1883"/>
      <c r="DI76" s="1883"/>
      <c r="DJ76" s="1883"/>
      <c r="DK76" s="1883"/>
      <c r="DL76" s="1883"/>
      <c r="DM76" s="1883"/>
      <c r="DN76" s="1883"/>
      <c r="DO76" s="1883"/>
      <c r="DP76" s="1883"/>
      <c r="DQ76" s="1883"/>
      <c r="DR76" s="1883"/>
      <c r="DS76" s="1883"/>
      <c r="DT76" s="1883"/>
      <c r="DU76" s="1883"/>
      <c r="DV76" s="1883"/>
      <c r="DW76" s="1994"/>
    </row>
    <row r="77" spans="1:127" s="1916" customFormat="1" ht="60.75" customHeight="1">
      <c r="A77" s="2192">
        <v>22</v>
      </c>
      <c r="B77" s="2118" t="str">
        <f t="shared" si="2"/>
        <v>2400001055</v>
      </c>
      <c r="C77" s="2118" t="s">
        <v>3455</v>
      </c>
      <c r="D77" s="2453">
        <v>3400</v>
      </c>
      <c r="E77" s="2118" t="s">
        <v>6853</v>
      </c>
      <c r="F77" s="2118" t="s">
        <v>3401</v>
      </c>
      <c r="G77" s="1921" t="s">
        <v>6854</v>
      </c>
      <c r="H77" s="1921"/>
      <c r="I77" s="1921" t="s">
        <v>19</v>
      </c>
      <c r="J77" s="1921" t="s">
        <v>6855</v>
      </c>
      <c r="K77" s="2150" t="s">
        <v>6856</v>
      </c>
      <c r="L77" s="2337">
        <v>3400</v>
      </c>
      <c r="M77" s="2378" t="s">
        <v>5937</v>
      </c>
      <c r="N77" s="1862"/>
      <c r="O77" s="1748">
        <v>1</v>
      </c>
      <c r="P77" s="2150"/>
      <c r="Q77" s="2150"/>
      <c r="R77" s="2150"/>
      <c r="S77" s="2150"/>
      <c r="T77" s="2150"/>
      <c r="U77" s="2150"/>
      <c r="V77" s="2150"/>
      <c r="W77" s="2150"/>
      <c r="X77" s="2150"/>
      <c r="Y77" s="2150"/>
      <c r="Z77" s="2150"/>
      <c r="AA77" s="2150"/>
      <c r="AB77" s="2150"/>
      <c r="AC77" s="2150"/>
      <c r="AD77" s="2150"/>
      <c r="AE77" s="2150"/>
      <c r="AF77" s="2150"/>
      <c r="AG77" s="2150"/>
      <c r="AH77" s="2150"/>
      <c r="AI77" s="2150"/>
      <c r="AJ77" s="2150"/>
      <c r="AK77" s="2150"/>
      <c r="AL77" s="2150"/>
      <c r="AM77" s="2150"/>
      <c r="AN77" s="2150"/>
      <c r="AO77" s="2150"/>
      <c r="AP77" s="2150"/>
      <c r="AQ77" s="2150"/>
      <c r="AR77" s="2150"/>
      <c r="AS77" s="2150"/>
      <c r="AT77" s="2150"/>
      <c r="AU77" s="2150"/>
      <c r="AV77" s="2150"/>
      <c r="AW77" s="2150"/>
      <c r="AX77" s="2150"/>
      <c r="AY77" s="2150"/>
      <c r="AZ77" s="2150"/>
      <c r="BA77" s="2150"/>
      <c r="BB77" s="2150"/>
      <c r="BC77" s="2150"/>
      <c r="BD77" s="2150"/>
      <c r="BE77" s="2150"/>
      <c r="BF77" s="2150"/>
      <c r="BG77" s="2150"/>
      <c r="BH77" s="2150"/>
      <c r="BI77" s="2150"/>
      <c r="BJ77" s="2150"/>
      <c r="BK77" s="2150"/>
      <c r="BL77" s="2150"/>
      <c r="BM77" s="2150"/>
      <c r="BN77" s="2150"/>
      <c r="BO77" s="2150"/>
      <c r="BP77" s="2150"/>
      <c r="BQ77" s="2150"/>
      <c r="BR77" s="2150"/>
      <c r="BS77" s="2150"/>
      <c r="BT77" s="2150"/>
      <c r="BU77" s="2150"/>
      <c r="BV77" s="2150"/>
      <c r="BW77" s="2150"/>
      <c r="BX77" s="2150"/>
      <c r="BY77" s="2150"/>
      <c r="BZ77" s="2150"/>
      <c r="CA77" s="2150"/>
      <c r="CB77" s="2150"/>
      <c r="CC77" s="2150"/>
      <c r="CD77" s="2150"/>
      <c r="CE77" s="2150"/>
      <c r="CF77" s="2150"/>
      <c r="CG77" s="2150"/>
      <c r="CH77" s="2150"/>
      <c r="CI77" s="2150"/>
      <c r="CJ77" s="2150"/>
      <c r="CK77" s="2150"/>
      <c r="CL77" s="2150"/>
      <c r="CM77" s="2150"/>
      <c r="CN77" s="2150"/>
      <c r="CO77" s="2150"/>
      <c r="CP77" s="2150"/>
      <c r="CQ77" s="2150"/>
      <c r="CR77" s="2150"/>
      <c r="CS77" s="2150"/>
      <c r="CT77" s="2150"/>
      <c r="CU77" s="2150"/>
      <c r="CV77" s="2150"/>
      <c r="CW77" s="2150"/>
      <c r="CX77" s="2150"/>
      <c r="CY77" s="2150"/>
      <c r="CZ77" s="2150"/>
      <c r="DA77" s="2150"/>
      <c r="DB77" s="2150"/>
      <c r="DC77" s="2150"/>
      <c r="DD77" s="2150"/>
      <c r="DE77" s="2150"/>
      <c r="DF77" s="2150"/>
      <c r="DG77" s="2150"/>
      <c r="DH77" s="2150"/>
      <c r="DI77" s="2150"/>
      <c r="DJ77" s="2150"/>
      <c r="DK77" s="2150"/>
      <c r="DL77" s="2150"/>
      <c r="DM77" s="2150"/>
      <c r="DN77" s="2150"/>
      <c r="DO77" s="2150"/>
      <c r="DP77" s="2150"/>
      <c r="DQ77" s="2150"/>
      <c r="DR77" s="2150"/>
      <c r="DS77" s="2150"/>
      <c r="DT77" s="2150"/>
      <c r="DU77" s="2150"/>
      <c r="DV77" s="2150"/>
    </row>
    <row r="78" spans="1:127" s="1770" customFormat="1" ht="51" customHeight="1">
      <c r="A78" s="3773">
        <v>23</v>
      </c>
      <c r="B78" s="1921" t="str">
        <f t="shared" si="2"/>
        <v>2000002677</v>
      </c>
      <c r="C78" s="1921" t="s">
        <v>3629</v>
      </c>
      <c r="D78" s="2461">
        <v>24000</v>
      </c>
      <c r="E78" s="1921" t="s">
        <v>6857</v>
      </c>
      <c r="F78" s="1921" t="s">
        <v>3416</v>
      </c>
      <c r="G78" s="1921" t="s">
        <v>6858</v>
      </c>
      <c r="H78" s="1921"/>
      <c r="I78" s="1921" t="s">
        <v>19</v>
      </c>
      <c r="J78" s="1921" t="s">
        <v>6555</v>
      </c>
      <c r="K78" s="1916" t="s">
        <v>6859</v>
      </c>
      <c r="L78" s="2299">
        <v>2000</v>
      </c>
      <c r="M78" s="2385" t="s">
        <v>6705</v>
      </c>
      <c r="N78" s="1600"/>
      <c r="O78" s="1748">
        <v>2</v>
      </c>
      <c r="P78" s="1548"/>
      <c r="Q78" s="1548"/>
      <c r="R78" s="1548"/>
      <c r="S78" s="1548"/>
      <c r="T78" s="1548"/>
      <c r="U78" s="1548"/>
      <c r="V78" s="1548"/>
      <c r="W78" s="1548"/>
      <c r="X78" s="1548"/>
      <c r="Y78" s="1548"/>
      <c r="Z78" s="1548"/>
      <c r="AA78" s="1548"/>
      <c r="AB78" s="1548"/>
      <c r="AC78" s="1548"/>
      <c r="AD78" s="1548"/>
      <c r="AE78" s="1548"/>
      <c r="AF78" s="1548"/>
      <c r="AG78" s="1548"/>
      <c r="AH78" s="1548"/>
      <c r="AI78" s="1548"/>
      <c r="AJ78" s="1548"/>
      <c r="AK78" s="1548"/>
      <c r="AL78" s="1548"/>
      <c r="AM78" s="1548"/>
      <c r="AN78" s="1548"/>
      <c r="AO78" s="1548"/>
      <c r="AP78" s="1548"/>
      <c r="AQ78" s="1548"/>
      <c r="AR78" s="1548"/>
      <c r="AS78" s="1548"/>
      <c r="AT78" s="1548"/>
      <c r="AU78" s="1548"/>
      <c r="AV78" s="1548"/>
      <c r="AW78" s="1548"/>
      <c r="AX78" s="1548"/>
      <c r="AY78" s="1548"/>
      <c r="AZ78" s="1548"/>
      <c r="BA78" s="1548"/>
      <c r="BB78" s="1548"/>
      <c r="BC78" s="1548"/>
      <c r="BD78" s="1548"/>
      <c r="BE78" s="1548"/>
      <c r="BF78" s="1548"/>
      <c r="BG78" s="1548"/>
      <c r="BH78" s="1548"/>
      <c r="BI78" s="1548"/>
      <c r="BJ78" s="1548"/>
      <c r="BK78" s="1548"/>
      <c r="BL78" s="1548"/>
      <c r="BM78" s="1548"/>
      <c r="BN78" s="1548"/>
      <c r="BO78" s="1548"/>
      <c r="BP78" s="1548"/>
      <c r="BQ78" s="1548"/>
      <c r="BR78" s="1548"/>
      <c r="BS78" s="1548"/>
      <c r="BT78" s="1548"/>
      <c r="BU78" s="1548"/>
      <c r="BV78" s="1548"/>
      <c r="BW78" s="1548"/>
      <c r="BX78" s="1548"/>
      <c r="BY78" s="1548"/>
      <c r="BZ78" s="1548"/>
      <c r="CA78" s="1548"/>
      <c r="CB78" s="1548"/>
      <c r="CC78" s="1548"/>
      <c r="CD78" s="1548"/>
      <c r="CE78" s="1548"/>
      <c r="CF78" s="1548"/>
      <c r="CG78" s="1548"/>
      <c r="CH78" s="1548"/>
      <c r="CI78" s="1548"/>
      <c r="CJ78" s="1548"/>
      <c r="CK78" s="1548"/>
      <c r="CL78" s="1548"/>
      <c r="CM78" s="1548"/>
      <c r="CN78" s="1548"/>
      <c r="CO78" s="1548"/>
      <c r="CP78" s="1548"/>
      <c r="CQ78" s="1548"/>
      <c r="CR78" s="1548"/>
      <c r="CS78" s="1548"/>
      <c r="CT78" s="1548"/>
      <c r="CU78" s="1548"/>
      <c r="CV78" s="1548"/>
      <c r="CW78" s="1548"/>
      <c r="CX78" s="1548"/>
      <c r="CY78" s="1548"/>
      <c r="CZ78" s="1548"/>
      <c r="DA78" s="1548"/>
      <c r="DB78" s="1548"/>
      <c r="DC78" s="1548"/>
      <c r="DD78" s="1548"/>
      <c r="DE78" s="1548"/>
      <c r="DF78" s="1548"/>
      <c r="DG78" s="1548"/>
      <c r="DH78" s="1548"/>
      <c r="DI78" s="1548"/>
      <c r="DJ78" s="1548"/>
      <c r="DK78" s="1548"/>
      <c r="DL78" s="1548"/>
      <c r="DM78" s="1548"/>
      <c r="DN78" s="1548"/>
      <c r="DO78" s="1548"/>
      <c r="DP78" s="1548"/>
      <c r="DQ78" s="1548"/>
      <c r="DR78" s="1548"/>
      <c r="DS78" s="1548"/>
      <c r="DT78" s="1548"/>
      <c r="DU78" s="1548"/>
      <c r="DV78" s="1548"/>
    </row>
    <row r="79" spans="1:127" s="1770" customFormat="1" ht="64.5" customHeight="1">
      <c r="A79" s="3767"/>
      <c r="B79" s="1495" t="str">
        <f t="shared" si="2"/>
        <v>2200001867</v>
      </c>
      <c r="C79" s="1495" t="s">
        <v>3629</v>
      </c>
      <c r="D79" s="2463"/>
      <c r="E79" s="1495"/>
      <c r="F79" s="1495" t="s">
        <v>3416</v>
      </c>
      <c r="G79" s="1495"/>
      <c r="H79" s="1495"/>
      <c r="I79" s="1495" t="s">
        <v>19</v>
      </c>
      <c r="J79" s="1495" t="s">
        <v>6555</v>
      </c>
      <c r="K79" s="1600" t="s">
        <v>6860</v>
      </c>
      <c r="L79" s="2353">
        <v>6000</v>
      </c>
      <c r="M79" s="1748" t="s">
        <v>6861</v>
      </c>
      <c r="N79" s="1600"/>
      <c r="O79" s="1748">
        <v>2</v>
      </c>
      <c r="P79" s="1548"/>
      <c r="Q79" s="1548"/>
      <c r="R79" s="1548"/>
      <c r="S79" s="1548"/>
      <c r="T79" s="1548"/>
      <c r="U79" s="1548"/>
      <c r="V79" s="1548"/>
      <c r="W79" s="1548"/>
      <c r="X79" s="1548"/>
      <c r="Y79" s="1548"/>
      <c r="Z79" s="1548"/>
      <c r="AA79" s="1548"/>
      <c r="AB79" s="1548"/>
      <c r="AC79" s="1548"/>
      <c r="AD79" s="1548"/>
      <c r="AE79" s="1548"/>
      <c r="AF79" s="1548"/>
      <c r="AG79" s="1548"/>
      <c r="AH79" s="1548"/>
      <c r="AI79" s="1548"/>
      <c r="AJ79" s="1548"/>
      <c r="AK79" s="1548"/>
      <c r="AL79" s="1548"/>
      <c r="AM79" s="1548"/>
      <c r="AN79" s="1548"/>
      <c r="AO79" s="1548"/>
      <c r="AP79" s="1548"/>
      <c r="AQ79" s="1548"/>
      <c r="AR79" s="1548"/>
      <c r="AS79" s="1548"/>
      <c r="AT79" s="1548"/>
      <c r="AU79" s="1548"/>
      <c r="AV79" s="1548"/>
      <c r="AW79" s="1548"/>
      <c r="AX79" s="1548"/>
      <c r="AY79" s="1548"/>
      <c r="AZ79" s="1548"/>
      <c r="BA79" s="1548"/>
      <c r="BB79" s="1548"/>
      <c r="BC79" s="1548"/>
      <c r="BD79" s="1548"/>
      <c r="BE79" s="1548"/>
      <c r="BF79" s="1548"/>
      <c r="BG79" s="1548"/>
      <c r="BH79" s="1548"/>
      <c r="BI79" s="1548"/>
      <c r="BJ79" s="1548"/>
      <c r="BK79" s="1548"/>
      <c r="BL79" s="1548"/>
      <c r="BM79" s="1548"/>
      <c r="BN79" s="1548"/>
      <c r="BO79" s="1548"/>
      <c r="BP79" s="1548"/>
      <c r="BQ79" s="1548"/>
      <c r="BR79" s="1548"/>
      <c r="BS79" s="1548"/>
      <c r="BT79" s="1548"/>
      <c r="BU79" s="1548"/>
      <c r="BV79" s="1548"/>
      <c r="BW79" s="1548"/>
      <c r="BX79" s="1548"/>
      <c r="BY79" s="1548"/>
      <c r="BZ79" s="1548"/>
      <c r="CA79" s="1548"/>
      <c r="CB79" s="1548"/>
      <c r="CC79" s="1548"/>
      <c r="CD79" s="1548"/>
      <c r="CE79" s="1548"/>
      <c r="CF79" s="1548"/>
      <c r="CG79" s="1548"/>
      <c r="CH79" s="1548"/>
      <c r="CI79" s="1548"/>
      <c r="CJ79" s="1548"/>
      <c r="CK79" s="1548"/>
      <c r="CL79" s="1548"/>
      <c r="CM79" s="1548"/>
      <c r="CN79" s="1548"/>
      <c r="CO79" s="1548"/>
      <c r="CP79" s="1548"/>
      <c r="CQ79" s="1548"/>
      <c r="CR79" s="1548"/>
      <c r="CS79" s="1548"/>
      <c r="CT79" s="1548"/>
      <c r="CU79" s="1548"/>
      <c r="CV79" s="1548"/>
      <c r="CW79" s="1548"/>
      <c r="CX79" s="1548"/>
      <c r="CY79" s="1548"/>
      <c r="CZ79" s="1548"/>
      <c r="DA79" s="1548"/>
      <c r="DB79" s="1548"/>
      <c r="DC79" s="1548"/>
      <c r="DD79" s="1548"/>
      <c r="DE79" s="1548"/>
      <c r="DF79" s="1548"/>
      <c r="DG79" s="1548"/>
      <c r="DH79" s="1548"/>
      <c r="DI79" s="1548"/>
      <c r="DJ79" s="1548"/>
      <c r="DK79" s="1548"/>
      <c r="DL79" s="1548"/>
      <c r="DM79" s="1548"/>
      <c r="DN79" s="1548"/>
      <c r="DO79" s="1548"/>
      <c r="DP79" s="1548"/>
      <c r="DQ79" s="1548"/>
      <c r="DR79" s="1548"/>
      <c r="DS79" s="1548"/>
      <c r="DT79" s="1548"/>
      <c r="DU79" s="1548"/>
      <c r="DV79" s="1548"/>
    </row>
    <row r="80" spans="1:127" s="1770" customFormat="1" ht="66" customHeight="1">
      <c r="A80" s="3767"/>
      <c r="B80" s="1495" t="str">
        <f t="shared" si="2"/>
        <v>2200001875</v>
      </c>
      <c r="C80" s="1495" t="s">
        <v>3629</v>
      </c>
      <c r="D80" s="2463"/>
      <c r="E80" s="1495"/>
      <c r="F80" s="1495" t="s">
        <v>3416</v>
      </c>
      <c r="G80" s="1495"/>
      <c r="H80" s="1495"/>
      <c r="I80" s="1495" t="s">
        <v>19</v>
      </c>
      <c r="J80" s="1495" t="s">
        <v>6555</v>
      </c>
      <c r="K80" s="1496" t="s">
        <v>6862</v>
      </c>
      <c r="L80" s="2325">
        <v>3400</v>
      </c>
      <c r="M80" s="1748" t="s">
        <v>6863</v>
      </c>
      <c r="N80" s="1600"/>
      <c r="O80" s="1748">
        <v>2</v>
      </c>
      <c r="P80" s="1548"/>
      <c r="Q80" s="1548"/>
      <c r="R80" s="1548"/>
      <c r="S80" s="1548"/>
      <c r="T80" s="1548"/>
      <c r="U80" s="1548"/>
      <c r="V80" s="1548"/>
      <c r="W80" s="1548"/>
      <c r="X80" s="1548"/>
      <c r="Y80" s="1548"/>
      <c r="Z80" s="1548"/>
      <c r="AA80" s="1548"/>
      <c r="AB80" s="1548"/>
      <c r="AC80" s="1548"/>
      <c r="AD80" s="1548"/>
      <c r="AE80" s="1548"/>
      <c r="AF80" s="1548"/>
      <c r="AG80" s="1548"/>
      <c r="AH80" s="1548"/>
      <c r="AI80" s="1548"/>
      <c r="AJ80" s="1548"/>
      <c r="AK80" s="1548"/>
      <c r="AL80" s="1548"/>
      <c r="AM80" s="1548"/>
      <c r="AN80" s="1548"/>
      <c r="AO80" s="1548"/>
      <c r="AP80" s="1548"/>
      <c r="AQ80" s="1548"/>
      <c r="AR80" s="1548"/>
      <c r="AS80" s="1548"/>
      <c r="AT80" s="1548"/>
      <c r="AU80" s="1548"/>
      <c r="AV80" s="1548"/>
      <c r="AW80" s="1548"/>
      <c r="AX80" s="1548"/>
      <c r="AY80" s="1548"/>
      <c r="AZ80" s="1548"/>
      <c r="BA80" s="1548"/>
      <c r="BB80" s="1548"/>
      <c r="BC80" s="1548"/>
      <c r="BD80" s="1548"/>
      <c r="BE80" s="1548"/>
      <c r="BF80" s="1548"/>
      <c r="BG80" s="1548"/>
      <c r="BH80" s="1548"/>
      <c r="BI80" s="1548"/>
      <c r="BJ80" s="1548"/>
      <c r="BK80" s="1548"/>
      <c r="BL80" s="1548"/>
      <c r="BM80" s="1548"/>
      <c r="BN80" s="1548"/>
      <c r="BO80" s="1548"/>
      <c r="BP80" s="1548"/>
      <c r="BQ80" s="1548"/>
      <c r="BR80" s="1548"/>
      <c r="BS80" s="1548"/>
      <c r="BT80" s="1548"/>
      <c r="BU80" s="1548"/>
      <c r="BV80" s="1548"/>
      <c r="BW80" s="1548"/>
      <c r="BX80" s="1548"/>
      <c r="BY80" s="1548"/>
      <c r="BZ80" s="1548"/>
      <c r="CA80" s="1548"/>
      <c r="CB80" s="1548"/>
      <c r="CC80" s="1548"/>
      <c r="CD80" s="1548"/>
      <c r="CE80" s="1548"/>
      <c r="CF80" s="1548"/>
      <c r="CG80" s="1548"/>
      <c r="CH80" s="1548"/>
      <c r="CI80" s="1548"/>
      <c r="CJ80" s="1548"/>
      <c r="CK80" s="1548"/>
      <c r="CL80" s="1548"/>
      <c r="CM80" s="1548"/>
      <c r="CN80" s="1548"/>
      <c r="CO80" s="1548"/>
      <c r="CP80" s="1548"/>
      <c r="CQ80" s="1548"/>
      <c r="CR80" s="1548"/>
      <c r="CS80" s="1548"/>
      <c r="CT80" s="1548"/>
      <c r="CU80" s="1548"/>
      <c r="CV80" s="1548"/>
      <c r="CW80" s="1548"/>
      <c r="CX80" s="1548"/>
      <c r="CY80" s="1548"/>
      <c r="CZ80" s="1548"/>
      <c r="DA80" s="1548"/>
      <c r="DB80" s="1548"/>
      <c r="DC80" s="1548"/>
      <c r="DD80" s="1548"/>
      <c r="DE80" s="1548"/>
      <c r="DF80" s="1548"/>
      <c r="DG80" s="1548"/>
      <c r="DH80" s="1548"/>
      <c r="DI80" s="1548"/>
      <c r="DJ80" s="1548"/>
      <c r="DK80" s="1548"/>
      <c r="DL80" s="1548"/>
      <c r="DM80" s="1548"/>
      <c r="DN80" s="1548"/>
      <c r="DO80" s="1548"/>
      <c r="DP80" s="1548"/>
      <c r="DQ80" s="1548"/>
      <c r="DR80" s="1548"/>
      <c r="DS80" s="1548"/>
      <c r="DT80" s="1548"/>
      <c r="DU80" s="1548"/>
      <c r="DV80" s="1548"/>
    </row>
    <row r="81" spans="1:127" s="2197" customFormat="1" ht="51" customHeight="1">
      <c r="A81" s="3767"/>
      <c r="B81" s="1851" t="str">
        <f t="shared" si="2"/>
        <v>2000002598</v>
      </c>
      <c r="C81" s="1851" t="s">
        <v>3629</v>
      </c>
      <c r="D81" s="2454"/>
      <c r="E81" s="1851"/>
      <c r="F81" s="1872" t="s">
        <v>3416</v>
      </c>
      <c r="G81" s="1851"/>
      <c r="H81" s="2025"/>
      <c r="I81" s="1851" t="s">
        <v>19</v>
      </c>
      <c r="J81" s="1851" t="s">
        <v>6555</v>
      </c>
      <c r="K81" s="2133" t="s">
        <v>6864</v>
      </c>
      <c r="L81" s="2347">
        <v>1500</v>
      </c>
      <c r="M81" s="2326" t="s">
        <v>6705</v>
      </c>
      <c r="N81" s="2348"/>
      <c r="O81" s="2102">
        <v>2</v>
      </c>
      <c r="P81" s="1883"/>
      <c r="Q81" s="1883"/>
      <c r="R81" s="1883"/>
      <c r="S81" s="1883"/>
      <c r="T81" s="1883"/>
      <c r="U81" s="1883"/>
      <c r="V81" s="1883"/>
      <c r="W81" s="1883"/>
      <c r="X81" s="1883"/>
      <c r="Y81" s="1883"/>
      <c r="Z81" s="1883"/>
      <c r="AA81" s="1883"/>
      <c r="AB81" s="1883"/>
      <c r="AC81" s="1883"/>
      <c r="AD81" s="1883"/>
      <c r="AE81" s="1883"/>
      <c r="AF81" s="1883"/>
      <c r="AG81" s="1883"/>
      <c r="AH81" s="1883"/>
      <c r="AI81" s="1883"/>
      <c r="AJ81" s="1883"/>
      <c r="AK81" s="1883"/>
      <c r="AL81" s="1883"/>
      <c r="AM81" s="1883"/>
      <c r="AN81" s="1883"/>
      <c r="AO81" s="1883"/>
      <c r="AP81" s="1883"/>
      <c r="AQ81" s="1883"/>
      <c r="AR81" s="1883"/>
      <c r="AS81" s="1883"/>
      <c r="AT81" s="1883"/>
      <c r="AU81" s="1883"/>
      <c r="AV81" s="1883"/>
      <c r="AW81" s="1883"/>
      <c r="AX81" s="1883"/>
      <c r="AY81" s="1883"/>
      <c r="AZ81" s="1883"/>
      <c r="BA81" s="1883"/>
      <c r="BB81" s="1883"/>
      <c r="BC81" s="1883"/>
      <c r="BD81" s="1883"/>
      <c r="BE81" s="1883"/>
      <c r="BF81" s="1883"/>
      <c r="BG81" s="1883"/>
      <c r="BH81" s="1883"/>
      <c r="BI81" s="1883"/>
      <c r="BJ81" s="1883"/>
      <c r="BK81" s="1883"/>
      <c r="BL81" s="1883"/>
      <c r="BM81" s="1883"/>
      <c r="BN81" s="1883"/>
      <c r="BO81" s="1883"/>
      <c r="BP81" s="1883"/>
      <c r="BQ81" s="1883"/>
      <c r="BR81" s="1883"/>
      <c r="BS81" s="1883"/>
      <c r="BT81" s="1883"/>
      <c r="BU81" s="1883"/>
      <c r="BV81" s="1883"/>
      <c r="BW81" s="1883"/>
      <c r="BX81" s="1883"/>
      <c r="BY81" s="1883"/>
      <c r="BZ81" s="1883"/>
      <c r="CA81" s="1883"/>
      <c r="CB81" s="1883"/>
      <c r="CC81" s="1883"/>
      <c r="CD81" s="1883"/>
      <c r="CE81" s="1883"/>
      <c r="CF81" s="1883"/>
      <c r="CG81" s="1883"/>
      <c r="CH81" s="1883"/>
      <c r="CI81" s="1883"/>
      <c r="CJ81" s="1883"/>
      <c r="CK81" s="1883"/>
      <c r="CL81" s="1883"/>
      <c r="CM81" s="1883"/>
      <c r="CN81" s="1883"/>
      <c r="CO81" s="1883"/>
      <c r="CP81" s="1883"/>
      <c r="CQ81" s="1883"/>
      <c r="CR81" s="1883"/>
      <c r="CS81" s="1883"/>
      <c r="CT81" s="1883"/>
      <c r="CU81" s="1883"/>
      <c r="CV81" s="1883"/>
      <c r="CW81" s="1883"/>
      <c r="CX81" s="1883"/>
      <c r="CY81" s="1883"/>
      <c r="CZ81" s="1883"/>
      <c r="DA81" s="1883"/>
      <c r="DB81" s="1883"/>
      <c r="DC81" s="1883"/>
      <c r="DD81" s="1883"/>
      <c r="DE81" s="1883"/>
      <c r="DF81" s="1883"/>
      <c r="DG81" s="1883"/>
      <c r="DH81" s="1883"/>
      <c r="DI81" s="1883"/>
      <c r="DJ81" s="1883"/>
      <c r="DK81" s="1883"/>
      <c r="DL81" s="1883"/>
      <c r="DM81" s="1883"/>
      <c r="DN81" s="1883"/>
      <c r="DO81" s="1883"/>
      <c r="DP81" s="1883"/>
      <c r="DQ81" s="1883"/>
      <c r="DR81" s="1883"/>
      <c r="DS81" s="1883"/>
      <c r="DT81" s="1883"/>
      <c r="DU81" s="1883"/>
      <c r="DV81" s="1883"/>
      <c r="DW81" s="1994"/>
    </row>
    <row r="82" spans="1:127" s="2197" customFormat="1" ht="51" customHeight="1">
      <c r="A82" s="3767"/>
      <c r="B82" s="1495" t="str">
        <f t="shared" si="2"/>
        <v>2000002683</v>
      </c>
      <c r="C82" s="1495" t="s">
        <v>3629</v>
      </c>
      <c r="D82" s="2463"/>
      <c r="E82" s="1851"/>
      <c r="F82" s="1872" t="s">
        <v>3416</v>
      </c>
      <c r="G82" s="1851"/>
      <c r="H82" s="1937"/>
      <c r="I82" s="1495" t="s">
        <v>19</v>
      </c>
      <c r="J82" s="1495" t="s">
        <v>6555</v>
      </c>
      <c r="K82" s="1598" t="s">
        <v>6865</v>
      </c>
      <c r="L82" s="2347">
        <v>300</v>
      </c>
      <c r="M82" s="2326" t="s">
        <v>6705</v>
      </c>
      <c r="N82" s="2135"/>
      <c r="O82" s="2102">
        <v>2</v>
      </c>
      <c r="P82" s="1883"/>
      <c r="Q82" s="1883"/>
      <c r="R82" s="1883"/>
      <c r="S82" s="1883"/>
      <c r="T82" s="1883"/>
      <c r="U82" s="1883"/>
      <c r="V82" s="1883"/>
      <c r="W82" s="1883"/>
      <c r="X82" s="1883"/>
      <c r="Y82" s="1883"/>
      <c r="Z82" s="1883"/>
      <c r="AA82" s="1883"/>
      <c r="AB82" s="1883"/>
      <c r="AC82" s="1883"/>
      <c r="AD82" s="1883"/>
      <c r="AE82" s="1883"/>
      <c r="AF82" s="1883"/>
      <c r="AG82" s="1883"/>
      <c r="AH82" s="1883"/>
      <c r="AI82" s="1883"/>
      <c r="AJ82" s="1883"/>
      <c r="AK82" s="1883"/>
      <c r="AL82" s="1883"/>
      <c r="AM82" s="1883"/>
      <c r="AN82" s="1883"/>
      <c r="AO82" s="1883"/>
      <c r="AP82" s="1883"/>
      <c r="AQ82" s="1883"/>
      <c r="AR82" s="1883"/>
      <c r="AS82" s="1883"/>
      <c r="AT82" s="1883"/>
      <c r="AU82" s="1883"/>
      <c r="AV82" s="1883"/>
      <c r="AW82" s="1883"/>
      <c r="AX82" s="1883"/>
      <c r="AY82" s="1883"/>
      <c r="AZ82" s="1883"/>
      <c r="BA82" s="1883"/>
      <c r="BB82" s="1883"/>
      <c r="BC82" s="1883"/>
      <c r="BD82" s="1883"/>
      <c r="BE82" s="1883"/>
      <c r="BF82" s="1883"/>
      <c r="BG82" s="1883"/>
      <c r="BH82" s="1883"/>
      <c r="BI82" s="1883"/>
      <c r="BJ82" s="1883"/>
      <c r="BK82" s="1883"/>
      <c r="BL82" s="1883"/>
      <c r="BM82" s="1883"/>
      <c r="BN82" s="1883"/>
      <c r="BO82" s="1883"/>
      <c r="BP82" s="1883"/>
      <c r="BQ82" s="1883"/>
      <c r="BR82" s="1883"/>
      <c r="BS82" s="1883"/>
      <c r="BT82" s="1883"/>
      <c r="BU82" s="1883"/>
      <c r="BV82" s="1883"/>
      <c r="BW82" s="1883"/>
      <c r="BX82" s="1883"/>
      <c r="BY82" s="1883"/>
      <c r="BZ82" s="1883"/>
      <c r="CA82" s="1883"/>
      <c r="CB82" s="1883"/>
      <c r="CC82" s="1883"/>
      <c r="CD82" s="1883"/>
      <c r="CE82" s="1883"/>
      <c r="CF82" s="1883"/>
      <c r="CG82" s="1883"/>
      <c r="CH82" s="1883"/>
      <c r="CI82" s="1883"/>
      <c r="CJ82" s="1883"/>
      <c r="CK82" s="1883"/>
      <c r="CL82" s="1883"/>
      <c r="CM82" s="1883"/>
      <c r="CN82" s="1883"/>
      <c r="CO82" s="1883"/>
      <c r="CP82" s="1883"/>
      <c r="CQ82" s="1883"/>
      <c r="CR82" s="1883"/>
      <c r="CS82" s="1883"/>
      <c r="CT82" s="1883"/>
      <c r="CU82" s="1883"/>
      <c r="CV82" s="1883"/>
      <c r="CW82" s="1883"/>
      <c r="CX82" s="1883"/>
      <c r="CY82" s="1883"/>
      <c r="CZ82" s="1883"/>
      <c r="DA82" s="1883"/>
      <c r="DB82" s="1883"/>
      <c r="DC82" s="1883"/>
      <c r="DD82" s="1883"/>
      <c r="DE82" s="1883"/>
      <c r="DF82" s="1883"/>
      <c r="DG82" s="1883"/>
      <c r="DH82" s="1883"/>
      <c r="DI82" s="1883"/>
      <c r="DJ82" s="1883"/>
      <c r="DK82" s="1883"/>
      <c r="DL82" s="1883"/>
      <c r="DM82" s="1883"/>
      <c r="DN82" s="1883"/>
      <c r="DO82" s="1883"/>
      <c r="DP82" s="1883"/>
      <c r="DQ82" s="1883"/>
      <c r="DR82" s="1883"/>
      <c r="DS82" s="1883"/>
      <c r="DT82" s="1883"/>
      <c r="DU82" s="1883"/>
      <c r="DV82" s="1883"/>
      <c r="DW82" s="1994"/>
    </row>
    <row r="83" spans="1:127" s="2197" customFormat="1" ht="111.75" customHeight="1">
      <c r="A83" s="3767"/>
      <c r="B83" s="1495" t="str">
        <f t="shared" si="2"/>
        <v>2000002690</v>
      </c>
      <c r="C83" s="1495" t="s">
        <v>3629</v>
      </c>
      <c r="D83" s="2463"/>
      <c r="E83" s="1851"/>
      <c r="F83" s="1872" t="s">
        <v>3416</v>
      </c>
      <c r="G83" s="1851"/>
      <c r="H83" s="1937"/>
      <c r="I83" s="1495" t="s">
        <v>19</v>
      </c>
      <c r="J83" s="1495" t="s">
        <v>6555</v>
      </c>
      <c r="K83" s="1598" t="s">
        <v>6866</v>
      </c>
      <c r="L83" s="2302">
        <v>3945</v>
      </c>
      <c r="M83" s="2326" t="s">
        <v>6705</v>
      </c>
      <c r="N83" s="1605" t="s">
        <v>6867</v>
      </c>
      <c r="O83" s="1939">
        <v>2</v>
      </c>
      <c r="P83" s="1883"/>
      <c r="Q83" s="1883"/>
      <c r="R83" s="1883"/>
      <c r="S83" s="1883"/>
      <c r="T83" s="1883"/>
      <c r="U83" s="1883"/>
      <c r="V83" s="1883"/>
      <c r="W83" s="1883"/>
      <c r="X83" s="1883"/>
      <c r="Y83" s="1883"/>
      <c r="Z83" s="1883"/>
      <c r="AA83" s="1883"/>
      <c r="AB83" s="1883"/>
      <c r="AC83" s="1883"/>
      <c r="AD83" s="1883"/>
      <c r="AE83" s="1883"/>
      <c r="AF83" s="1883"/>
      <c r="AG83" s="1883"/>
      <c r="AH83" s="1883"/>
      <c r="AI83" s="1883"/>
      <c r="AJ83" s="1883"/>
      <c r="AK83" s="1883"/>
      <c r="AL83" s="1883"/>
      <c r="AM83" s="1883"/>
      <c r="AN83" s="1883"/>
      <c r="AO83" s="1883"/>
      <c r="AP83" s="1883"/>
      <c r="AQ83" s="1883"/>
      <c r="AR83" s="1883"/>
      <c r="AS83" s="1883"/>
      <c r="AT83" s="1883"/>
      <c r="AU83" s="1883"/>
      <c r="AV83" s="1883"/>
      <c r="AW83" s="1883"/>
      <c r="AX83" s="1883"/>
      <c r="AY83" s="1883"/>
      <c r="AZ83" s="1883"/>
      <c r="BA83" s="1883"/>
      <c r="BB83" s="1883"/>
      <c r="BC83" s="1883"/>
      <c r="BD83" s="1883"/>
      <c r="BE83" s="1883"/>
      <c r="BF83" s="1883"/>
      <c r="BG83" s="1883"/>
      <c r="BH83" s="1883"/>
      <c r="BI83" s="1883"/>
      <c r="BJ83" s="1883"/>
      <c r="BK83" s="1883"/>
      <c r="BL83" s="1883"/>
      <c r="BM83" s="1883"/>
      <c r="BN83" s="1883"/>
      <c r="BO83" s="1883"/>
      <c r="BP83" s="1883"/>
      <c r="BQ83" s="1883"/>
      <c r="BR83" s="1883"/>
      <c r="BS83" s="1883"/>
      <c r="BT83" s="1883"/>
      <c r="BU83" s="1883"/>
      <c r="BV83" s="1883"/>
      <c r="BW83" s="1883"/>
      <c r="BX83" s="1883"/>
      <c r="BY83" s="1883"/>
      <c r="BZ83" s="1883"/>
      <c r="CA83" s="1883"/>
      <c r="CB83" s="1883"/>
      <c r="CC83" s="1883"/>
      <c r="CD83" s="1883"/>
      <c r="CE83" s="1883"/>
      <c r="CF83" s="1883"/>
      <c r="CG83" s="1883"/>
      <c r="CH83" s="1883"/>
      <c r="CI83" s="1883"/>
      <c r="CJ83" s="1883"/>
      <c r="CK83" s="1883"/>
      <c r="CL83" s="1883"/>
      <c r="CM83" s="1883"/>
      <c r="CN83" s="1883"/>
      <c r="CO83" s="1883"/>
      <c r="CP83" s="1883"/>
      <c r="CQ83" s="1883"/>
      <c r="CR83" s="1883"/>
      <c r="CS83" s="1883"/>
      <c r="CT83" s="1883"/>
      <c r="CU83" s="1883"/>
      <c r="CV83" s="1883"/>
      <c r="CW83" s="1883"/>
      <c r="CX83" s="1883"/>
      <c r="CY83" s="1883"/>
      <c r="CZ83" s="1883"/>
      <c r="DA83" s="1883"/>
      <c r="DB83" s="1883"/>
      <c r="DC83" s="1883"/>
      <c r="DD83" s="1883"/>
      <c r="DE83" s="1883"/>
      <c r="DF83" s="1883"/>
      <c r="DG83" s="1883"/>
      <c r="DH83" s="1883"/>
      <c r="DI83" s="1883"/>
      <c r="DJ83" s="1883"/>
      <c r="DK83" s="1883"/>
      <c r="DL83" s="1883"/>
      <c r="DM83" s="1883"/>
      <c r="DN83" s="1883"/>
      <c r="DO83" s="1883"/>
      <c r="DP83" s="1883"/>
      <c r="DQ83" s="1883"/>
      <c r="DR83" s="1883"/>
      <c r="DS83" s="1883"/>
      <c r="DT83" s="1883"/>
      <c r="DU83" s="1883"/>
      <c r="DV83" s="1883"/>
      <c r="DW83" s="1994"/>
    </row>
    <row r="84" spans="1:127" s="2197" customFormat="1" ht="51" customHeight="1">
      <c r="A84" s="3767"/>
      <c r="B84" s="1495" t="str">
        <f t="shared" si="2"/>
        <v>2200001877</v>
      </c>
      <c r="C84" s="1495" t="s">
        <v>3629</v>
      </c>
      <c r="D84" s="2463"/>
      <c r="E84" s="1851"/>
      <c r="F84" s="1872" t="s">
        <v>3416</v>
      </c>
      <c r="G84" s="1851"/>
      <c r="H84" s="1937"/>
      <c r="I84" s="1495" t="s">
        <v>19</v>
      </c>
      <c r="J84" s="1495" t="s">
        <v>6555</v>
      </c>
      <c r="K84" s="1464" t="s">
        <v>6868</v>
      </c>
      <c r="L84" s="2302">
        <v>2128</v>
      </c>
      <c r="M84" s="2326" t="s">
        <v>6705</v>
      </c>
      <c r="N84" s="1605" t="s">
        <v>6869</v>
      </c>
      <c r="O84" s="1939">
        <v>2</v>
      </c>
      <c r="P84" s="1883"/>
      <c r="Q84" s="1883"/>
      <c r="R84" s="1883"/>
      <c r="S84" s="1883"/>
      <c r="T84" s="1883"/>
      <c r="U84" s="1883"/>
      <c r="V84" s="1883"/>
      <c r="W84" s="1883"/>
      <c r="X84" s="1883"/>
      <c r="Y84" s="1883"/>
      <c r="Z84" s="1883"/>
      <c r="AA84" s="1883"/>
      <c r="AB84" s="1883"/>
      <c r="AC84" s="1883"/>
      <c r="AD84" s="1883"/>
      <c r="AE84" s="1883"/>
      <c r="AF84" s="1883"/>
      <c r="AG84" s="1883"/>
      <c r="AH84" s="1883"/>
      <c r="AI84" s="1883"/>
      <c r="AJ84" s="1883"/>
      <c r="AK84" s="1883"/>
      <c r="AL84" s="1883"/>
      <c r="AM84" s="1883"/>
      <c r="AN84" s="1883"/>
      <c r="AO84" s="1883"/>
      <c r="AP84" s="1883"/>
      <c r="AQ84" s="1883"/>
      <c r="AR84" s="1883"/>
      <c r="AS84" s="1883"/>
      <c r="AT84" s="1883"/>
      <c r="AU84" s="1883"/>
      <c r="AV84" s="1883"/>
      <c r="AW84" s="1883"/>
      <c r="AX84" s="1883"/>
      <c r="AY84" s="1883"/>
      <c r="AZ84" s="1883"/>
      <c r="BA84" s="1883"/>
      <c r="BB84" s="1883"/>
      <c r="BC84" s="1883"/>
      <c r="BD84" s="1883"/>
      <c r="BE84" s="1883"/>
      <c r="BF84" s="1883"/>
      <c r="BG84" s="1883"/>
      <c r="BH84" s="1883"/>
      <c r="BI84" s="1883"/>
      <c r="BJ84" s="1883"/>
      <c r="BK84" s="1883"/>
      <c r="BL84" s="1883"/>
      <c r="BM84" s="1883"/>
      <c r="BN84" s="1883"/>
      <c r="BO84" s="1883"/>
      <c r="BP84" s="1883"/>
      <c r="BQ84" s="1883"/>
      <c r="BR84" s="1883"/>
      <c r="BS84" s="1883"/>
      <c r="BT84" s="1883"/>
      <c r="BU84" s="1883"/>
      <c r="BV84" s="1883"/>
      <c r="BW84" s="1883"/>
      <c r="BX84" s="1883"/>
      <c r="BY84" s="1883"/>
      <c r="BZ84" s="1883"/>
      <c r="CA84" s="1883"/>
      <c r="CB84" s="1883"/>
      <c r="CC84" s="1883"/>
      <c r="CD84" s="1883"/>
      <c r="CE84" s="1883"/>
      <c r="CF84" s="1883"/>
      <c r="CG84" s="1883"/>
      <c r="CH84" s="1883"/>
      <c r="CI84" s="1883"/>
      <c r="CJ84" s="1883"/>
      <c r="CK84" s="1883"/>
      <c r="CL84" s="1883"/>
      <c r="CM84" s="1883"/>
      <c r="CN84" s="1883"/>
      <c r="CO84" s="1883"/>
      <c r="CP84" s="1883"/>
      <c r="CQ84" s="1883"/>
      <c r="CR84" s="1883"/>
      <c r="CS84" s="1883"/>
      <c r="CT84" s="1883"/>
      <c r="CU84" s="1883"/>
      <c r="CV84" s="1883"/>
      <c r="CW84" s="1883"/>
      <c r="CX84" s="1883"/>
      <c r="CY84" s="1883"/>
      <c r="CZ84" s="1883"/>
      <c r="DA84" s="1883"/>
      <c r="DB84" s="1883"/>
      <c r="DC84" s="1883"/>
      <c r="DD84" s="1883"/>
      <c r="DE84" s="1883"/>
      <c r="DF84" s="1883"/>
      <c r="DG84" s="1883"/>
      <c r="DH84" s="1883"/>
      <c r="DI84" s="1883"/>
      <c r="DJ84" s="1883"/>
      <c r="DK84" s="1883"/>
      <c r="DL84" s="1883"/>
      <c r="DM84" s="1883"/>
      <c r="DN84" s="1883"/>
      <c r="DO84" s="1883"/>
      <c r="DP84" s="1883"/>
      <c r="DQ84" s="1883"/>
      <c r="DR84" s="1883"/>
      <c r="DS84" s="1883"/>
      <c r="DT84" s="1883"/>
      <c r="DU84" s="1883"/>
      <c r="DV84" s="1883"/>
      <c r="DW84" s="1994"/>
    </row>
    <row r="85" spans="1:127" s="2197" customFormat="1" ht="51" customHeight="1">
      <c r="A85" s="3767"/>
      <c r="B85" s="1495" t="str">
        <f t="shared" si="2"/>
        <v>2200001884</v>
      </c>
      <c r="C85" s="1495" t="s">
        <v>3629</v>
      </c>
      <c r="D85" s="2463"/>
      <c r="E85" s="1851"/>
      <c r="F85" s="1872" t="s">
        <v>3416</v>
      </c>
      <c r="G85" s="1875"/>
      <c r="H85" s="1937"/>
      <c r="I85" s="1495" t="s">
        <v>19</v>
      </c>
      <c r="J85" s="1495" t="s">
        <v>6555</v>
      </c>
      <c r="K85" s="1598" t="s">
        <v>6870</v>
      </c>
      <c r="L85" s="2302">
        <v>1124</v>
      </c>
      <c r="M85" s="2102" t="s">
        <v>6871</v>
      </c>
      <c r="N85" s="1600"/>
      <c r="O85" s="1939">
        <v>2</v>
      </c>
      <c r="P85" s="1883"/>
      <c r="Q85" s="1883"/>
      <c r="R85" s="1883"/>
      <c r="S85" s="1883"/>
      <c r="T85" s="1883"/>
      <c r="U85" s="1883"/>
      <c r="V85" s="1883"/>
      <c r="W85" s="1883"/>
      <c r="X85" s="1883"/>
      <c r="Y85" s="1883"/>
      <c r="Z85" s="1883"/>
      <c r="AA85" s="1883"/>
      <c r="AB85" s="1883"/>
      <c r="AC85" s="1883"/>
      <c r="AD85" s="1883"/>
      <c r="AE85" s="1883"/>
      <c r="AF85" s="1883"/>
      <c r="AG85" s="1883"/>
      <c r="AH85" s="1883"/>
      <c r="AI85" s="1883"/>
      <c r="AJ85" s="1883"/>
      <c r="AK85" s="1883"/>
      <c r="AL85" s="1883"/>
      <c r="AM85" s="1883"/>
      <c r="AN85" s="1883"/>
      <c r="AO85" s="1883"/>
      <c r="AP85" s="1883"/>
      <c r="AQ85" s="1883"/>
      <c r="AR85" s="1883"/>
      <c r="AS85" s="1883"/>
      <c r="AT85" s="1883"/>
      <c r="AU85" s="1883"/>
      <c r="AV85" s="1883"/>
      <c r="AW85" s="1883"/>
      <c r="AX85" s="1883"/>
      <c r="AY85" s="1883"/>
      <c r="AZ85" s="1883"/>
      <c r="BA85" s="1883"/>
      <c r="BB85" s="1883"/>
      <c r="BC85" s="1883"/>
      <c r="BD85" s="1883"/>
      <c r="BE85" s="1883"/>
      <c r="BF85" s="1883"/>
      <c r="BG85" s="1883"/>
      <c r="BH85" s="1883"/>
      <c r="BI85" s="1883"/>
      <c r="BJ85" s="1883"/>
      <c r="BK85" s="1883"/>
      <c r="BL85" s="1883"/>
      <c r="BM85" s="1883"/>
      <c r="BN85" s="1883"/>
      <c r="BO85" s="1883"/>
      <c r="BP85" s="1883"/>
      <c r="BQ85" s="1883"/>
      <c r="BR85" s="1883"/>
      <c r="BS85" s="1883"/>
      <c r="BT85" s="1883"/>
      <c r="BU85" s="1883"/>
      <c r="BV85" s="1883"/>
      <c r="BW85" s="1883"/>
      <c r="BX85" s="1883"/>
      <c r="BY85" s="1883"/>
      <c r="BZ85" s="1883"/>
      <c r="CA85" s="1883"/>
      <c r="CB85" s="1883"/>
      <c r="CC85" s="1883"/>
      <c r="CD85" s="1883"/>
      <c r="CE85" s="1883"/>
      <c r="CF85" s="1883"/>
      <c r="CG85" s="1883"/>
      <c r="CH85" s="1883"/>
      <c r="CI85" s="1883"/>
      <c r="CJ85" s="1883"/>
      <c r="CK85" s="1883"/>
      <c r="CL85" s="1883"/>
      <c r="CM85" s="1883"/>
      <c r="CN85" s="1883"/>
      <c r="CO85" s="1883"/>
      <c r="CP85" s="1883"/>
      <c r="CQ85" s="1883"/>
      <c r="CR85" s="1883"/>
      <c r="CS85" s="1883"/>
      <c r="CT85" s="1883"/>
      <c r="CU85" s="1883"/>
      <c r="CV85" s="1883"/>
      <c r="CW85" s="1883"/>
      <c r="CX85" s="1883"/>
      <c r="CY85" s="1883"/>
      <c r="CZ85" s="1883"/>
      <c r="DA85" s="1883"/>
      <c r="DB85" s="1883"/>
      <c r="DC85" s="1883"/>
      <c r="DD85" s="1883"/>
      <c r="DE85" s="1883"/>
      <c r="DF85" s="1883"/>
      <c r="DG85" s="1883"/>
      <c r="DH85" s="1883"/>
      <c r="DI85" s="1883"/>
      <c r="DJ85" s="1883"/>
      <c r="DK85" s="1883"/>
      <c r="DL85" s="1883"/>
      <c r="DM85" s="1883"/>
      <c r="DN85" s="1883"/>
      <c r="DO85" s="1883"/>
      <c r="DP85" s="1883"/>
      <c r="DQ85" s="1883"/>
      <c r="DR85" s="1883"/>
      <c r="DS85" s="1883"/>
      <c r="DT85" s="1883"/>
      <c r="DU85" s="1883"/>
      <c r="DV85" s="1883"/>
      <c r="DW85" s="1994"/>
    </row>
    <row r="86" spans="1:127" s="2197" customFormat="1" ht="51" customHeight="1">
      <c r="A86" s="3767"/>
      <c r="B86" s="1495" t="str">
        <f t="shared" si="2"/>
        <v>2200001880</v>
      </c>
      <c r="C86" s="1495" t="s">
        <v>3629</v>
      </c>
      <c r="D86" s="2463"/>
      <c r="E86" s="1851"/>
      <c r="F86" s="1872" t="s">
        <v>3416</v>
      </c>
      <c r="G86" s="1495"/>
      <c r="H86" s="1937"/>
      <c r="I86" s="1495" t="s">
        <v>19</v>
      </c>
      <c r="J86" s="1495" t="s">
        <v>6555</v>
      </c>
      <c r="K86" s="2329" t="s">
        <v>6872</v>
      </c>
      <c r="L86" s="2302">
        <v>353</v>
      </c>
      <c r="M86" s="2326" t="s">
        <v>6705</v>
      </c>
      <c r="N86" s="1600"/>
      <c r="O86" s="1939">
        <v>2</v>
      </c>
      <c r="P86" s="1883"/>
      <c r="Q86" s="1883"/>
      <c r="R86" s="1883"/>
      <c r="S86" s="1883"/>
      <c r="T86" s="1883"/>
      <c r="U86" s="1883"/>
      <c r="V86" s="1883"/>
      <c r="W86" s="1883"/>
      <c r="X86" s="1883"/>
      <c r="Y86" s="1883"/>
      <c r="Z86" s="1883"/>
      <c r="AA86" s="1883"/>
      <c r="AB86" s="1883"/>
      <c r="AC86" s="1883"/>
      <c r="AD86" s="1883"/>
      <c r="AE86" s="1883"/>
      <c r="AF86" s="1883"/>
      <c r="AG86" s="1883"/>
      <c r="AH86" s="1883"/>
      <c r="AI86" s="1883"/>
      <c r="AJ86" s="1883"/>
      <c r="AK86" s="1883"/>
      <c r="AL86" s="1883"/>
      <c r="AM86" s="1883"/>
      <c r="AN86" s="1883"/>
      <c r="AO86" s="1883"/>
      <c r="AP86" s="1883"/>
      <c r="AQ86" s="1883"/>
      <c r="AR86" s="1883"/>
      <c r="AS86" s="1883"/>
      <c r="AT86" s="1883"/>
      <c r="AU86" s="1883"/>
      <c r="AV86" s="1883"/>
      <c r="AW86" s="1883"/>
      <c r="AX86" s="1883"/>
      <c r="AY86" s="1883"/>
      <c r="AZ86" s="1883"/>
      <c r="BA86" s="1883"/>
      <c r="BB86" s="1883"/>
      <c r="BC86" s="1883"/>
      <c r="BD86" s="1883"/>
      <c r="BE86" s="1883"/>
      <c r="BF86" s="1883"/>
      <c r="BG86" s="1883"/>
      <c r="BH86" s="1883"/>
      <c r="BI86" s="1883"/>
      <c r="BJ86" s="1883"/>
      <c r="BK86" s="1883"/>
      <c r="BL86" s="1883"/>
      <c r="BM86" s="1883"/>
      <c r="BN86" s="1883"/>
      <c r="BO86" s="1883"/>
      <c r="BP86" s="1883"/>
      <c r="BQ86" s="1883"/>
      <c r="BR86" s="1883"/>
      <c r="BS86" s="1883"/>
      <c r="BT86" s="1883"/>
      <c r="BU86" s="1883"/>
      <c r="BV86" s="1883"/>
      <c r="BW86" s="1883"/>
      <c r="BX86" s="1883"/>
      <c r="BY86" s="1883"/>
      <c r="BZ86" s="1883"/>
      <c r="CA86" s="1883"/>
      <c r="CB86" s="1883"/>
      <c r="CC86" s="1883"/>
      <c r="CD86" s="1883"/>
      <c r="CE86" s="1883"/>
      <c r="CF86" s="1883"/>
      <c r="CG86" s="1883"/>
      <c r="CH86" s="1883"/>
      <c r="CI86" s="1883"/>
      <c r="CJ86" s="1883"/>
      <c r="CK86" s="1883"/>
      <c r="CL86" s="1883"/>
      <c r="CM86" s="1883"/>
      <c r="CN86" s="1883"/>
      <c r="CO86" s="1883"/>
      <c r="CP86" s="1883"/>
      <c r="CQ86" s="1883"/>
      <c r="CR86" s="1883"/>
      <c r="CS86" s="1883"/>
      <c r="CT86" s="1883"/>
      <c r="CU86" s="1883"/>
      <c r="CV86" s="1883"/>
      <c r="CW86" s="1883"/>
      <c r="CX86" s="1883"/>
      <c r="CY86" s="1883"/>
      <c r="CZ86" s="1883"/>
      <c r="DA86" s="1883"/>
      <c r="DB86" s="1883"/>
      <c r="DC86" s="1883"/>
      <c r="DD86" s="1883"/>
      <c r="DE86" s="1883"/>
      <c r="DF86" s="1883"/>
      <c r="DG86" s="1883"/>
      <c r="DH86" s="1883"/>
      <c r="DI86" s="1883"/>
      <c r="DJ86" s="1883"/>
      <c r="DK86" s="1883"/>
      <c r="DL86" s="1883"/>
      <c r="DM86" s="1883"/>
      <c r="DN86" s="1883"/>
      <c r="DO86" s="1883"/>
      <c r="DP86" s="1883"/>
      <c r="DQ86" s="1883"/>
      <c r="DR86" s="1883"/>
      <c r="DS86" s="1883"/>
      <c r="DT86" s="1883"/>
      <c r="DU86" s="1883"/>
      <c r="DV86" s="1883"/>
      <c r="DW86" s="1994"/>
    </row>
    <row r="87" spans="1:127" s="2197" customFormat="1" ht="51" customHeight="1">
      <c r="A87" s="3767"/>
      <c r="B87" s="1495" t="str">
        <f t="shared" si="2"/>
        <v>2000002632</v>
      </c>
      <c r="C87" s="1495" t="s">
        <v>3629</v>
      </c>
      <c r="D87" s="2463"/>
      <c r="E87" s="1851"/>
      <c r="F87" s="1872" t="s">
        <v>3416</v>
      </c>
      <c r="G87" s="1495"/>
      <c r="H87" s="1495"/>
      <c r="I87" s="2320" t="s">
        <v>19</v>
      </c>
      <c r="J87" s="1495" t="s">
        <v>6555</v>
      </c>
      <c r="K87" s="2693" t="s">
        <v>6873</v>
      </c>
      <c r="L87" s="2349">
        <v>2000</v>
      </c>
      <c r="M87" s="2382" t="s">
        <v>5937</v>
      </c>
      <c r="N87" s="2350" t="s">
        <v>6874</v>
      </c>
      <c r="O87" s="2208">
        <v>2</v>
      </c>
      <c r="P87" s="1548"/>
      <c r="Q87" s="1548"/>
      <c r="R87" s="1548"/>
      <c r="S87" s="1548"/>
      <c r="T87" s="1548"/>
      <c r="U87" s="1548"/>
      <c r="V87" s="1548"/>
      <c r="W87" s="1548"/>
      <c r="X87" s="1548"/>
      <c r="Y87" s="1548"/>
      <c r="Z87" s="1548"/>
      <c r="AA87" s="1548"/>
      <c r="AB87" s="1548"/>
      <c r="AC87" s="1548"/>
      <c r="AD87" s="1548"/>
      <c r="AE87" s="1548"/>
      <c r="AF87" s="1548"/>
      <c r="AG87" s="1548"/>
      <c r="AH87" s="1548"/>
      <c r="AI87" s="1548"/>
      <c r="AJ87" s="1548"/>
      <c r="AK87" s="1548"/>
      <c r="AL87" s="1548"/>
      <c r="AM87" s="1548"/>
      <c r="AN87" s="1548"/>
      <c r="AO87" s="1548"/>
      <c r="AP87" s="1548"/>
      <c r="AQ87" s="1548"/>
      <c r="AR87" s="1548"/>
      <c r="AS87" s="1548"/>
      <c r="AT87" s="1548"/>
      <c r="AU87" s="1548"/>
      <c r="AV87" s="1548"/>
      <c r="AW87" s="1548"/>
      <c r="AX87" s="1548"/>
      <c r="AY87" s="1548"/>
      <c r="AZ87" s="1548"/>
      <c r="BA87" s="1548"/>
      <c r="BB87" s="1548"/>
      <c r="BC87" s="1548"/>
      <c r="BD87" s="1548"/>
      <c r="BE87" s="1548"/>
      <c r="BF87" s="1548"/>
      <c r="BG87" s="1548"/>
      <c r="BH87" s="1548"/>
      <c r="BI87" s="1548"/>
      <c r="BJ87" s="1548"/>
      <c r="BK87" s="1548"/>
      <c r="BL87" s="1548"/>
      <c r="BM87" s="1548"/>
      <c r="BN87" s="1548"/>
      <c r="BO87" s="1548"/>
      <c r="BP87" s="1548"/>
      <c r="BQ87" s="1548"/>
      <c r="BR87" s="1548"/>
      <c r="BS87" s="1548"/>
      <c r="BT87" s="1548"/>
      <c r="BU87" s="1548"/>
      <c r="BV87" s="1548"/>
      <c r="BW87" s="1548"/>
      <c r="BX87" s="1548"/>
      <c r="BY87" s="1548"/>
      <c r="BZ87" s="1548"/>
      <c r="CA87" s="1548"/>
      <c r="CB87" s="1548"/>
      <c r="CC87" s="1548"/>
      <c r="CD87" s="1548"/>
      <c r="CE87" s="1548"/>
      <c r="CF87" s="1548"/>
      <c r="CG87" s="1548"/>
      <c r="CH87" s="1548"/>
      <c r="CI87" s="1548"/>
      <c r="CJ87" s="1548"/>
      <c r="CK87" s="1548"/>
      <c r="CL87" s="1548"/>
      <c r="CM87" s="1548"/>
      <c r="CN87" s="1548"/>
      <c r="CO87" s="1548"/>
      <c r="CP87" s="1548"/>
      <c r="CQ87" s="1548"/>
      <c r="CR87" s="1548"/>
      <c r="CS87" s="1548"/>
      <c r="CT87" s="1548"/>
      <c r="CU87" s="1548"/>
      <c r="CV87" s="1548"/>
      <c r="CW87" s="1548"/>
      <c r="CX87" s="1548"/>
      <c r="CY87" s="1548"/>
      <c r="CZ87" s="1548"/>
      <c r="DA87" s="1548"/>
      <c r="DB87" s="1548"/>
      <c r="DC87" s="1548"/>
      <c r="DD87" s="1548"/>
      <c r="DE87" s="1548"/>
      <c r="DF87" s="1548"/>
      <c r="DG87" s="1548"/>
      <c r="DH87" s="1548"/>
      <c r="DI87" s="1548"/>
      <c r="DJ87" s="1548"/>
      <c r="DK87" s="1548"/>
      <c r="DL87" s="1548"/>
      <c r="DM87" s="1548"/>
      <c r="DN87" s="1548"/>
      <c r="DO87" s="1548"/>
      <c r="DP87" s="1548"/>
      <c r="DQ87" s="1548"/>
      <c r="DR87" s="1548"/>
      <c r="DS87" s="1548"/>
      <c r="DT87" s="1548"/>
      <c r="DU87" s="1548"/>
      <c r="DV87" s="1548"/>
      <c r="DW87" s="1548"/>
    </row>
    <row r="88" spans="1:127" s="2197" customFormat="1" ht="51" customHeight="1">
      <c r="A88" s="3767"/>
      <c r="B88" s="1495" t="str">
        <f t="shared" si="2"/>
        <v>2000002685</v>
      </c>
      <c r="C88" s="1495" t="s">
        <v>3629</v>
      </c>
      <c r="D88" s="2463"/>
      <c r="E88" s="1851"/>
      <c r="F88" s="1872" t="s">
        <v>3416</v>
      </c>
      <c r="G88" s="1495"/>
      <c r="H88" s="2159"/>
      <c r="I88" s="2320" t="s">
        <v>19</v>
      </c>
      <c r="J88" s="1773" t="s">
        <v>6555</v>
      </c>
      <c r="K88" s="1967" t="s">
        <v>6875</v>
      </c>
      <c r="L88" s="2351">
        <v>300</v>
      </c>
      <c r="M88" s="2378" t="s">
        <v>5937</v>
      </c>
      <c r="N88" s="1843"/>
      <c r="O88" s="1939">
        <v>2</v>
      </c>
      <c r="P88" s="2122"/>
      <c r="Q88" s="2122"/>
      <c r="R88" s="2122"/>
      <c r="S88" s="2122"/>
      <c r="T88" s="2122"/>
      <c r="U88" s="2122"/>
      <c r="V88" s="2122"/>
      <c r="W88" s="2122"/>
      <c r="X88" s="2122"/>
      <c r="Y88" s="2122"/>
      <c r="Z88" s="2122"/>
      <c r="AA88" s="2122"/>
      <c r="AB88" s="2122"/>
      <c r="AC88" s="2122"/>
      <c r="AD88" s="2122"/>
      <c r="AE88" s="2122"/>
      <c r="AF88" s="2122"/>
      <c r="AG88" s="2122"/>
      <c r="AH88" s="2122"/>
      <c r="AI88" s="2122"/>
      <c r="AJ88" s="2122"/>
      <c r="AK88" s="2122"/>
      <c r="AL88" s="2122"/>
      <c r="AM88" s="2122"/>
      <c r="AN88" s="2122"/>
      <c r="AO88" s="2122"/>
      <c r="AP88" s="2122"/>
      <c r="AQ88" s="2122"/>
      <c r="AR88" s="2122"/>
      <c r="AS88" s="2122"/>
      <c r="AT88" s="2122"/>
      <c r="AU88" s="2122"/>
      <c r="AV88" s="2122"/>
      <c r="AW88" s="2122"/>
      <c r="AX88" s="2122"/>
      <c r="AY88" s="2122"/>
      <c r="AZ88" s="2122"/>
      <c r="BA88" s="2122"/>
      <c r="BB88" s="2122"/>
      <c r="BC88" s="2122"/>
      <c r="BD88" s="2122"/>
      <c r="BE88" s="2122"/>
      <c r="BF88" s="2122"/>
      <c r="BG88" s="2122"/>
      <c r="BH88" s="2122"/>
      <c r="BI88" s="2122"/>
      <c r="BJ88" s="2122"/>
      <c r="BK88" s="2122"/>
      <c r="BL88" s="2122"/>
      <c r="BM88" s="2122"/>
      <c r="BN88" s="2122"/>
      <c r="BO88" s="2122"/>
      <c r="BP88" s="2122"/>
      <c r="BQ88" s="2122"/>
      <c r="BR88" s="2122"/>
      <c r="BS88" s="2122"/>
      <c r="BT88" s="2122"/>
      <c r="BU88" s="2122"/>
      <c r="BV88" s="2122"/>
      <c r="BW88" s="2122"/>
      <c r="BX88" s="2122"/>
      <c r="BY88" s="2122"/>
      <c r="BZ88" s="2122"/>
      <c r="CA88" s="2122"/>
      <c r="CB88" s="2122"/>
      <c r="CC88" s="2122"/>
      <c r="CD88" s="2122"/>
      <c r="CE88" s="2122"/>
      <c r="CF88" s="2122"/>
      <c r="CG88" s="2122"/>
      <c r="CH88" s="2122"/>
      <c r="CI88" s="2122"/>
      <c r="CJ88" s="2122"/>
      <c r="CK88" s="2122"/>
      <c r="CL88" s="2122"/>
      <c r="CM88" s="2122"/>
      <c r="CN88" s="2122"/>
      <c r="CO88" s="2122"/>
      <c r="CP88" s="2122"/>
      <c r="CQ88" s="2122"/>
      <c r="CR88" s="2122"/>
      <c r="CS88" s="2122"/>
      <c r="CT88" s="2122"/>
      <c r="CU88" s="2122"/>
      <c r="CV88" s="2122"/>
      <c r="CW88" s="2122"/>
      <c r="CX88" s="2122"/>
      <c r="CY88" s="2122"/>
      <c r="CZ88" s="2122"/>
      <c r="DA88" s="2122"/>
      <c r="DB88" s="2122"/>
      <c r="DC88" s="2122"/>
      <c r="DD88" s="2122"/>
      <c r="DE88" s="2122"/>
      <c r="DF88" s="2122"/>
      <c r="DG88" s="2122"/>
      <c r="DH88" s="2122"/>
      <c r="DI88" s="2122"/>
      <c r="DJ88" s="2122"/>
      <c r="DK88" s="2122"/>
      <c r="DL88" s="2122"/>
      <c r="DM88" s="2122"/>
      <c r="DN88" s="2122"/>
      <c r="DO88" s="2122"/>
      <c r="DP88" s="2122"/>
      <c r="DQ88" s="2122"/>
      <c r="DR88" s="2122"/>
      <c r="DS88" s="2122"/>
      <c r="DT88" s="2122"/>
      <c r="DU88" s="2122"/>
      <c r="DV88" s="2122"/>
      <c r="DW88" s="2122"/>
    </row>
    <row r="89" spans="1:127" s="2197" customFormat="1" ht="51" customHeight="1">
      <c r="A89" s="3768"/>
      <c r="B89" s="1495" t="str">
        <f t="shared" si="2"/>
        <v>2000002707</v>
      </c>
      <c r="C89" s="1495" t="s">
        <v>3629</v>
      </c>
      <c r="D89" s="2463"/>
      <c r="E89" s="1851"/>
      <c r="F89" s="1872" t="s">
        <v>3416</v>
      </c>
      <c r="G89" s="1872"/>
      <c r="H89" s="1851"/>
      <c r="I89" s="2320" t="s">
        <v>19</v>
      </c>
      <c r="J89" s="1495" t="s">
        <v>6555</v>
      </c>
      <c r="K89" s="1628" t="s">
        <v>6876</v>
      </c>
      <c r="L89" s="2352">
        <v>1000</v>
      </c>
      <c r="M89" s="2378" t="s">
        <v>5937</v>
      </c>
      <c r="N89" s="1843" t="s">
        <v>6877</v>
      </c>
      <c r="O89" s="1748">
        <v>2</v>
      </c>
      <c r="P89" s="1883"/>
      <c r="Q89" s="1883"/>
      <c r="R89" s="1883"/>
      <c r="S89" s="1883"/>
      <c r="T89" s="1883"/>
      <c r="U89" s="1883"/>
      <c r="V89" s="1883"/>
      <c r="W89" s="1883"/>
      <c r="X89" s="1883"/>
      <c r="Y89" s="1883"/>
      <c r="Z89" s="1883"/>
      <c r="AA89" s="1883"/>
      <c r="AB89" s="1883"/>
      <c r="AC89" s="1883"/>
      <c r="AD89" s="1883"/>
      <c r="AE89" s="1883"/>
      <c r="AF89" s="1883"/>
      <c r="AG89" s="1883"/>
      <c r="AH89" s="1883"/>
      <c r="AI89" s="1883"/>
      <c r="AJ89" s="1883"/>
      <c r="AK89" s="1883"/>
      <c r="AL89" s="1883"/>
      <c r="AM89" s="1883"/>
      <c r="AN89" s="1883"/>
      <c r="AO89" s="1883"/>
      <c r="AP89" s="1883"/>
      <c r="AQ89" s="1883"/>
      <c r="AR89" s="1883"/>
      <c r="AS89" s="1883"/>
      <c r="AT89" s="1883"/>
      <c r="AU89" s="1883"/>
      <c r="AV89" s="1883"/>
      <c r="AW89" s="1883"/>
      <c r="AX89" s="1883"/>
      <c r="AY89" s="1883"/>
      <c r="AZ89" s="1883"/>
      <c r="BA89" s="1883"/>
      <c r="BB89" s="1883"/>
      <c r="BC89" s="1883"/>
      <c r="BD89" s="1883"/>
      <c r="BE89" s="1883"/>
      <c r="BF89" s="1883"/>
      <c r="BG89" s="1883"/>
      <c r="BH89" s="1883"/>
      <c r="BI89" s="1883"/>
      <c r="BJ89" s="1883"/>
      <c r="BK89" s="1883"/>
      <c r="BL89" s="1883"/>
      <c r="BM89" s="1883"/>
      <c r="BN89" s="1883"/>
      <c r="BO89" s="1883"/>
      <c r="BP89" s="1883"/>
      <c r="BQ89" s="1883"/>
      <c r="BR89" s="1883"/>
      <c r="BS89" s="1883"/>
      <c r="BT89" s="1883"/>
      <c r="BU89" s="1883"/>
      <c r="BV89" s="1883"/>
      <c r="BW89" s="1883"/>
      <c r="BX89" s="1883"/>
      <c r="BY89" s="1883"/>
      <c r="BZ89" s="1883"/>
      <c r="CA89" s="1883"/>
      <c r="CB89" s="1883"/>
      <c r="CC89" s="1883"/>
      <c r="CD89" s="1883"/>
      <c r="CE89" s="1883"/>
      <c r="CF89" s="1883"/>
      <c r="CG89" s="1883"/>
      <c r="CH89" s="1883"/>
      <c r="CI89" s="1883"/>
      <c r="CJ89" s="1883"/>
      <c r="CK89" s="1883"/>
      <c r="CL89" s="1883"/>
      <c r="CM89" s="1883"/>
      <c r="CN89" s="1883"/>
      <c r="CO89" s="1883"/>
      <c r="CP89" s="1883"/>
      <c r="CQ89" s="1883"/>
      <c r="CR89" s="1883"/>
      <c r="CS89" s="1883"/>
      <c r="CT89" s="1883"/>
      <c r="CU89" s="1883"/>
      <c r="CV89" s="1883"/>
      <c r="CW89" s="1883"/>
      <c r="CX89" s="1883"/>
      <c r="CY89" s="1883"/>
      <c r="CZ89" s="1883"/>
      <c r="DA89" s="1883"/>
      <c r="DB89" s="1883"/>
      <c r="DC89" s="1883"/>
      <c r="DD89" s="1883"/>
      <c r="DE89" s="1883"/>
      <c r="DF89" s="1883"/>
      <c r="DG89" s="1883"/>
      <c r="DH89" s="1883"/>
      <c r="DI89" s="1883"/>
      <c r="DJ89" s="1883"/>
      <c r="DK89" s="1883"/>
      <c r="DL89" s="1883"/>
      <c r="DM89" s="1883"/>
      <c r="DN89" s="1883"/>
      <c r="DO89" s="1883"/>
      <c r="DP89" s="1883"/>
      <c r="DQ89" s="1883"/>
      <c r="DR89" s="1883"/>
      <c r="DS89" s="1883"/>
      <c r="DT89" s="1883"/>
      <c r="DU89" s="1883"/>
      <c r="DV89" s="1883"/>
      <c r="DW89" s="1883"/>
    </row>
    <row r="90" spans="1:127" s="2197" customFormat="1" ht="51" customHeight="1">
      <c r="A90" s="3773">
        <v>24</v>
      </c>
      <c r="B90" s="2118" t="str">
        <f t="shared" si="2"/>
        <v>2200001873</v>
      </c>
      <c r="C90" s="2118" t="s">
        <v>3563</v>
      </c>
      <c r="D90" s="2453">
        <v>3490</v>
      </c>
      <c r="E90" s="2118" t="s">
        <v>6878</v>
      </c>
      <c r="F90" s="2120" t="s">
        <v>61</v>
      </c>
      <c r="G90" s="1921" t="s">
        <v>6879</v>
      </c>
      <c r="H90" s="1921"/>
      <c r="I90" s="2327" t="s">
        <v>19</v>
      </c>
      <c r="J90" s="1921" t="s">
        <v>101</v>
      </c>
      <c r="K90" s="2328" t="s">
        <v>6840</v>
      </c>
      <c r="L90" s="2266">
        <v>2500</v>
      </c>
      <c r="M90" s="2030" t="s">
        <v>6841</v>
      </c>
      <c r="N90" s="2130"/>
      <c r="O90" s="2102">
        <v>2</v>
      </c>
      <c r="P90" s="2122"/>
      <c r="Q90" s="2122"/>
      <c r="R90" s="2122"/>
      <c r="S90" s="2122"/>
      <c r="T90" s="2122"/>
      <c r="U90" s="2122"/>
      <c r="V90" s="2122"/>
      <c r="W90" s="2122"/>
      <c r="X90" s="2122"/>
      <c r="Y90" s="2122"/>
      <c r="Z90" s="2122"/>
      <c r="AA90" s="2122"/>
      <c r="AB90" s="2122"/>
      <c r="AC90" s="2122"/>
      <c r="AD90" s="2122"/>
      <c r="AE90" s="2122"/>
      <c r="AF90" s="2122"/>
      <c r="AG90" s="2122"/>
      <c r="AH90" s="2122"/>
      <c r="AI90" s="2122"/>
      <c r="AJ90" s="2122"/>
      <c r="AK90" s="2122"/>
      <c r="AL90" s="2122"/>
      <c r="AM90" s="2122"/>
      <c r="AN90" s="2122"/>
      <c r="AO90" s="2122"/>
      <c r="AP90" s="2122"/>
      <c r="AQ90" s="2122"/>
      <c r="AR90" s="2122"/>
      <c r="AS90" s="2122"/>
      <c r="AT90" s="2122"/>
      <c r="AU90" s="2122"/>
      <c r="AV90" s="2122"/>
      <c r="AW90" s="2122"/>
      <c r="AX90" s="2122"/>
      <c r="AY90" s="2122"/>
      <c r="AZ90" s="2122"/>
      <c r="BA90" s="2122"/>
      <c r="BB90" s="2122"/>
      <c r="BC90" s="2122"/>
      <c r="BD90" s="2122"/>
      <c r="BE90" s="2122"/>
      <c r="BF90" s="2122"/>
      <c r="BG90" s="2122"/>
      <c r="BH90" s="2122"/>
      <c r="BI90" s="2122"/>
      <c r="BJ90" s="2122"/>
      <c r="BK90" s="2122"/>
      <c r="BL90" s="2122"/>
      <c r="BM90" s="2122"/>
      <c r="BN90" s="2122"/>
      <c r="BO90" s="2122"/>
      <c r="BP90" s="2122"/>
      <c r="BQ90" s="2122"/>
      <c r="BR90" s="2122"/>
      <c r="BS90" s="2122"/>
      <c r="BT90" s="2122"/>
      <c r="BU90" s="2122"/>
      <c r="BV90" s="2122"/>
      <c r="BW90" s="2122"/>
      <c r="BX90" s="2122"/>
      <c r="BY90" s="2122"/>
      <c r="BZ90" s="2122"/>
      <c r="CA90" s="2122"/>
      <c r="CB90" s="2122"/>
      <c r="CC90" s="2122"/>
      <c r="CD90" s="2122"/>
      <c r="CE90" s="2122"/>
      <c r="CF90" s="2122"/>
      <c r="CG90" s="2122"/>
      <c r="CH90" s="2122"/>
      <c r="CI90" s="2122"/>
      <c r="CJ90" s="2122"/>
      <c r="CK90" s="2122"/>
      <c r="CL90" s="2122"/>
      <c r="CM90" s="2122"/>
      <c r="CN90" s="2122"/>
      <c r="CO90" s="2122"/>
      <c r="CP90" s="2122"/>
      <c r="CQ90" s="2122"/>
      <c r="CR90" s="2122"/>
      <c r="CS90" s="2122"/>
      <c r="CT90" s="2122"/>
      <c r="CU90" s="2122"/>
      <c r="CV90" s="2122"/>
      <c r="CW90" s="2122"/>
      <c r="CX90" s="2122"/>
      <c r="CY90" s="2122"/>
      <c r="CZ90" s="2122"/>
      <c r="DA90" s="2122"/>
      <c r="DB90" s="2122"/>
      <c r="DC90" s="2122"/>
      <c r="DD90" s="2122"/>
      <c r="DE90" s="2122"/>
      <c r="DF90" s="2122"/>
      <c r="DG90" s="2122"/>
      <c r="DH90" s="2122"/>
      <c r="DI90" s="2122"/>
      <c r="DJ90" s="2122"/>
      <c r="DK90" s="2122"/>
      <c r="DL90" s="2122"/>
      <c r="DM90" s="2122"/>
      <c r="DN90" s="2122"/>
      <c r="DO90" s="2122"/>
      <c r="DP90" s="2122"/>
      <c r="DQ90" s="2122"/>
      <c r="DR90" s="2122"/>
      <c r="DS90" s="2122"/>
      <c r="DT90" s="2122"/>
      <c r="DU90" s="2122"/>
      <c r="DV90" s="2122"/>
      <c r="DW90" s="2033"/>
    </row>
    <row r="91" spans="1:127" s="2197" customFormat="1" ht="51" customHeight="1">
      <c r="A91" s="3768"/>
      <c r="B91" s="1851" t="str">
        <f t="shared" si="2"/>
        <v>2200001870</v>
      </c>
      <c r="C91" s="1851" t="s">
        <v>3563</v>
      </c>
      <c r="D91" s="2454"/>
      <c r="E91" s="1851"/>
      <c r="F91" s="1872" t="s">
        <v>61</v>
      </c>
      <c r="G91" s="1495"/>
      <c r="H91" s="1947"/>
      <c r="I91" s="2320" t="s">
        <v>19</v>
      </c>
      <c r="J91" s="1872" t="s">
        <v>101</v>
      </c>
      <c r="K91" s="1496" t="s">
        <v>6880</v>
      </c>
      <c r="L91" s="2266">
        <v>1000</v>
      </c>
      <c r="M91" s="2030" t="s">
        <v>5473</v>
      </c>
      <c r="N91" s="2131"/>
      <c r="O91" s="2102">
        <v>2</v>
      </c>
      <c r="P91" s="1548"/>
      <c r="Q91" s="1982"/>
      <c r="R91" s="1883"/>
      <c r="S91" s="1883"/>
      <c r="T91" s="1883"/>
      <c r="U91" s="1883"/>
      <c r="V91" s="1883"/>
      <c r="W91" s="1883"/>
      <c r="X91" s="1883"/>
      <c r="Y91" s="1883"/>
      <c r="Z91" s="1883"/>
      <c r="AA91" s="1883"/>
      <c r="AB91" s="1883"/>
      <c r="AC91" s="1883"/>
      <c r="AD91" s="1883"/>
      <c r="AE91" s="1883"/>
      <c r="AF91" s="1883"/>
      <c r="AG91" s="1883"/>
      <c r="AH91" s="1883"/>
      <c r="AI91" s="1883"/>
      <c r="AJ91" s="1883"/>
      <c r="AK91" s="1883"/>
      <c r="AL91" s="1883"/>
      <c r="AM91" s="1883"/>
      <c r="AN91" s="1883"/>
      <c r="AO91" s="1883"/>
      <c r="AP91" s="1883"/>
      <c r="AQ91" s="1883"/>
      <c r="AR91" s="1883"/>
      <c r="AS91" s="1883"/>
      <c r="AT91" s="1883"/>
      <c r="AU91" s="1883"/>
      <c r="AV91" s="1883"/>
      <c r="AW91" s="1883"/>
      <c r="AX91" s="1883"/>
      <c r="AY91" s="1883"/>
      <c r="AZ91" s="1883"/>
      <c r="BA91" s="1883"/>
      <c r="BB91" s="1883"/>
      <c r="BC91" s="1883"/>
      <c r="BD91" s="1883"/>
      <c r="BE91" s="1883"/>
      <c r="BF91" s="1883"/>
      <c r="BG91" s="1883"/>
      <c r="BH91" s="1883"/>
      <c r="BI91" s="1883"/>
      <c r="BJ91" s="1883"/>
      <c r="BK91" s="1883"/>
      <c r="BL91" s="1883"/>
      <c r="BM91" s="1883"/>
      <c r="BN91" s="1883"/>
      <c r="BO91" s="1883"/>
      <c r="BP91" s="1883"/>
      <c r="BQ91" s="1883"/>
      <c r="BR91" s="1883"/>
      <c r="BS91" s="1883"/>
      <c r="BT91" s="1883"/>
      <c r="BU91" s="1883"/>
      <c r="BV91" s="1883"/>
      <c r="BW91" s="1883"/>
      <c r="BX91" s="1883"/>
      <c r="BY91" s="1883"/>
      <c r="BZ91" s="1883"/>
      <c r="CA91" s="1883"/>
      <c r="CB91" s="1883"/>
      <c r="CC91" s="1883"/>
      <c r="CD91" s="1883"/>
      <c r="CE91" s="1883"/>
      <c r="CF91" s="1883"/>
      <c r="CG91" s="1883"/>
      <c r="CH91" s="1883"/>
      <c r="CI91" s="1883"/>
      <c r="CJ91" s="1883"/>
      <c r="CK91" s="1883"/>
      <c r="CL91" s="1883"/>
      <c r="CM91" s="1883"/>
      <c r="CN91" s="1883"/>
      <c r="CO91" s="1883"/>
      <c r="CP91" s="1883"/>
      <c r="CQ91" s="1883"/>
      <c r="CR91" s="1883"/>
      <c r="CS91" s="1883"/>
      <c r="CT91" s="1883"/>
      <c r="CU91" s="1883"/>
      <c r="CV91" s="1883"/>
      <c r="CW91" s="1883"/>
      <c r="CX91" s="1883"/>
      <c r="CY91" s="1883"/>
      <c r="CZ91" s="1883"/>
      <c r="DA91" s="1883"/>
      <c r="DB91" s="1883"/>
      <c r="DC91" s="1883"/>
      <c r="DD91" s="1883"/>
      <c r="DE91" s="1883"/>
      <c r="DF91" s="1883"/>
      <c r="DG91" s="1883"/>
      <c r="DH91" s="1883"/>
      <c r="DI91" s="1883"/>
      <c r="DJ91" s="1883"/>
      <c r="DK91" s="1883"/>
      <c r="DL91" s="1883"/>
      <c r="DM91" s="1883"/>
      <c r="DN91" s="1883"/>
      <c r="DO91" s="1883"/>
      <c r="DP91" s="1883"/>
      <c r="DQ91" s="1883"/>
      <c r="DR91" s="1883"/>
      <c r="DS91" s="1883"/>
      <c r="DT91" s="1883"/>
      <c r="DU91" s="1883"/>
      <c r="DV91" s="1883"/>
      <c r="DW91" s="1883"/>
    </row>
    <row r="92" spans="1:127" s="2197" customFormat="1" ht="51" customHeight="1">
      <c r="A92" s="3773">
        <v>25</v>
      </c>
      <c r="B92" s="2118" t="str">
        <f t="shared" si="2"/>
        <v>2000002692</v>
      </c>
      <c r="C92" s="2118" t="s">
        <v>71</v>
      </c>
      <c r="D92" s="2453">
        <v>3700</v>
      </c>
      <c r="E92" s="2118" t="s">
        <v>6881</v>
      </c>
      <c r="F92" s="2120" t="s">
        <v>84</v>
      </c>
      <c r="G92" s="1921" t="s">
        <v>6882</v>
      </c>
      <c r="H92" s="2159" t="s">
        <v>6883</v>
      </c>
      <c r="I92" s="2344" t="s">
        <v>19</v>
      </c>
      <c r="J92" s="2120" t="s">
        <v>4348</v>
      </c>
      <c r="K92" s="2161" t="s">
        <v>6884</v>
      </c>
      <c r="L92" s="2345">
        <v>2000</v>
      </c>
      <c r="M92" s="2378" t="s">
        <v>5937</v>
      </c>
      <c r="N92" s="2130" t="s">
        <v>6885</v>
      </c>
      <c r="O92" s="2102">
        <v>2</v>
      </c>
      <c r="P92" s="2122"/>
      <c r="Q92" s="2122"/>
      <c r="R92" s="2122"/>
      <c r="S92" s="2122"/>
      <c r="T92" s="2122"/>
      <c r="U92" s="2122"/>
      <c r="V92" s="2122"/>
      <c r="W92" s="2122"/>
      <c r="X92" s="2122"/>
      <c r="Y92" s="2122"/>
      <c r="Z92" s="2122"/>
      <c r="AA92" s="2122"/>
      <c r="AB92" s="2122"/>
      <c r="AC92" s="2122"/>
      <c r="AD92" s="2122"/>
      <c r="AE92" s="2122"/>
      <c r="AF92" s="2122"/>
      <c r="AG92" s="2122"/>
      <c r="AH92" s="2122"/>
      <c r="AI92" s="2122"/>
      <c r="AJ92" s="2122"/>
      <c r="AK92" s="2122"/>
      <c r="AL92" s="2122"/>
      <c r="AM92" s="2122"/>
      <c r="AN92" s="2122"/>
      <c r="AO92" s="2122"/>
      <c r="AP92" s="2122"/>
      <c r="AQ92" s="2122"/>
      <c r="AR92" s="2122"/>
      <c r="AS92" s="2122"/>
      <c r="AT92" s="2122"/>
      <c r="AU92" s="2122"/>
      <c r="AV92" s="2122"/>
      <c r="AW92" s="2122"/>
      <c r="AX92" s="2122"/>
      <c r="AY92" s="2122"/>
      <c r="AZ92" s="2122"/>
      <c r="BA92" s="2122"/>
      <c r="BB92" s="2122"/>
      <c r="BC92" s="2122"/>
      <c r="BD92" s="2122"/>
      <c r="BE92" s="2122"/>
      <c r="BF92" s="2122"/>
      <c r="BG92" s="2122"/>
      <c r="BH92" s="2122"/>
      <c r="BI92" s="2122"/>
      <c r="BJ92" s="2122"/>
      <c r="BK92" s="2122"/>
      <c r="BL92" s="2122"/>
      <c r="BM92" s="2122"/>
      <c r="BN92" s="2122"/>
      <c r="BO92" s="2122"/>
      <c r="BP92" s="2122"/>
      <c r="BQ92" s="2122"/>
      <c r="BR92" s="2122"/>
      <c r="BS92" s="2122"/>
      <c r="BT92" s="2122"/>
      <c r="BU92" s="2122"/>
      <c r="BV92" s="2122"/>
      <c r="BW92" s="2122"/>
      <c r="BX92" s="2122"/>
      <c r="BY92" s="2122"/>
      <c r="BZ92" s="2122"/>
      <c r="CA92" s="2122"/>
      <c r="CB92" s="2122"/>
      <c r="CC92" s="2122"/>
      <c r="CD92" s="2122"/>
      <c r="CE92" s="2122"/>
      <c r="CF92" s="2122"/>
      <c r="CG92" s="2122"/>
      <c r="CH92" s="2122"/>
      <c r="CI92" s="2122"/>
      <c r="CJ92" s="2122"/>
      <c r="CK92" s="2122"/>
      <c r="CL92" s="2122"/>
      <c r="CM92" s="2122"/>
      <c r="CN92" s="2122"/>
      <c r="CO92" s="2122"/>
      <c r="CP92" s="2122"/>
      <c r="CQ92" s="2122"/>
      <c r="CR92" s="2122"/>
      <c r="CS92" s="2122"/>
      <c r="CT92" s="2122"/>
      <c r="CU92" s="2122"/>
      <c r="CV92" s="2122"/>
      <c r="CW92" s="2122"/>
      <c r="CX92" s="2122"/>
      <c r="CY92" s="2122"/>
      <c r="CZ92" s="2122"/>
      <c r="DA92" s="2122"/>
      <c r="DB92" s="2122"/>
      <c r="DC92" s="2122"/>
      <c r="DD92" s="2122"/>
      <c r="DE92" s="2122"/>
      <c r="DF92" s="2122"/>
      <c r="DG92" s="2122"/>
      <c r="DH92" s="2122"/>
      <c r="DI92" s="2122"/>
      <c r="DJ92" s="2122"/>
      <c r="DK92" s="2122"/>
      <c r="DL92" s="2122"/>
      <c r="DM92" s="2122"/>
      <c r="DN92" s="2122"/>
      <c r="DO92" s="2122"/>
      <c r="DP92" s="2122"/>
      <c r="DQ92" s="2122"/>
      <c r="DR92" s="2122"/>
      <c r="DS92" s="2122"/>
      <c r="DT92" s="2122"/>
      <c r="DU92" s="2122"/>
      <c r="DV92" s="2122"/>
      <c r="DW92" s="2122"/>
    </row>
    <row r="93" spans="1:127" s="2197" customFormat="1" ht="75.75" customHeight="1">
      <c r="A93" s="3768"/>
      <c r="B93" s="1851" t="str">
        <f t="shared" si="2"/>
        <v>2000002713</v>
      </c>
      <c r="C93" s="1851" t="s">
        <v>71</v>
      </c>
      <c r="D93" s="2454"/>
      <c r="E93" s="1851" t="s">
        <v>6881</v>
      </c>
      <c r="F93" s="1872" t="s">
        <v>84</v>
      </c>
      <c r="G93" s="1495" t="s">
        <v>6886</v>
      </c>
      <c r="H93" s="1947" t="s">
        <v>6883</v>
      </c>
      <c r="I93" s="2320" t="s">
        <v>19</v>
      </c>
      <c r="J93" s="1872" t="s">
        <v>123</v>
      </c>
      <c r="K93" s="1628" t="s">
        <v>6887</v>
      </c>
      <c r="L93" s="2345">
        <v>1700</v>
      </c>
      <c r="M93" s="2295" t="s">
        <v>6888</v>
      </c>
      <c r="N93" s="2131" t="s">
        <v>6889</v>
      </c>
      <c r="O93" s="2102">
        <v>2</v>
      </c>
      <c r="P93" s="2122"/>
      <c r="Q93" s="2122"/>
      <c r="R93" s="2122"/>
      <c r="S93" s="2122"/>
      <c r="T93" s="2122"/>
      <c r="U93" s="2122"/>
      <c r="V93" s="2122"/>
      <c r="W93" s="2122"/>
      <c r="X93" s="2122"/>
      <c r="Y93" s="2122"/>
      <c r="Z93" s="2122"/>
      <c r="AA93" s="2122"/>
      <c r="AB93" s="2122"/>
      <c r="AC93" s="2122"/>
      <c r="AD93" s="2122"/>
      <c r="AE93" s="2122"/>
      <c r="AF93" s="2122"/>
      <c r="AG93" s="2122"/>
      <c r="AH93" s="2122"/>
      <c r="AI93" s="2122"/>
      <c r="AJ93" s="2122"/>
      <c r="AK93" s="2122"/>
      <c r="AL93" s="2122"/>
      <c r="AM93" s="2122"/>
      <c r="AN93" s="2122"/>
      <c r="AO93" s="2122"/>
      <c r="AP93" s="2122"/>
      <c r="AQ93" s="2122"/>
      <c r="AR93" s="2122"/>
      <c r="AS93" s="2122"/>
      <c r="AT93" s="2122"/>
      <c r="AU93" s="2122"/>
      <c r="AV93" s="2122"/>
      <c r="AW93" s="2122"/>
      <c r="AX93" s="2122"/>
      <c r="AY93" s="2122"/>
      <c r="AZ93" s="2122"/>
      <c r="BA93" s="2122"/>
      <c r="BB93" s="2122"/>
      <c r="BC93" s="2122"/>
      <c r="BD93" s="2122"/>
      <c r="BE93" s="2122"/>
      <c r="BF93" s="2122"/>
      <c r="BG93" s="2122"/>
      <c r="BH93" s="2122"/>
      <c r="BI93" s="2122"/>
      <c r="BJ93" s="2122"/>
      <c r="BK93" s="2122"/>
      <c r="BL93" s="2122"/>
      <c r="BM93" s="2122"/>
      <c r="BN93" s="2122"/>
      <c r="BO93" s="2122"/>
      <c r="BP93" s="2122"/>
      <c r="BQ93" s="2122"/>
      <c r="BR93" s="2122"/>
      <c r="BS93" s="2122"/>
      <c r="BT93" s="2122"/>
      <c r="BU93" s="2122"/>
      <c r="BV93" s="2122"/>
      <c r="BW93" s="2122"/>
      <c r="BX93" s="2122"/>
      <c r="BY93" s="2122"/>
      <c r="BZ93" s="2122"/>
      <c r="CA93" s="2122"/>
      <c r="CB93" s="2122"/>
      <c r="CC93" s="2122"/>
      <c r="CD93" s="2122"/>
      <c r="CE93" s="2122"/>
      <c r="CF93" s="2122"/>
      <c r="CG93" s="2122"/>
      <c r="CH93" s="2122"/>
      <c r="CI93" s="2122"/>
      <c r="CJ93" s="2122"/>
      <c r="CK93" s="2122"/>
      <c r="CL93" s="2122"/>
      <c r="CM93" s="2122"/>
      <c r="CN93" s="2122"/>
      <c r="CO93" s="2122"/>
      <c r="CP93" s="2122"/>
      <c r="CQ93" s="2122"/>
      <c r="CR93" s="2122"/>
      <c r="CS93" s="2122"/>
      <c r="CT93" s="2122"/>
      <c r="CU93" s="2122"/>
      <c r="CV93" s="2122"/>
      <c r="CW93" s="2122"/>
      <c r="CX93" s="2122"/>
      <c r="CY93" s="2122"/>
      <c r="CZ93" s="2122"/>
      <c r="DA93" s="2122"/>
      <c r="DB93" s="2122"/>
      <c r="DC93" s="2122"/>
      <c r="DD93" s="2122"/>
      <c r="DE93" s="2122"/>
      <c r="DF93" s="2122"/>
      <c r="DG93" s="2122"/>
      <c r="DH93" s="2122"/>
      <c r="DI93" s="2122"/>
      <c r="DJ93" s="2122"/>
      <c r="DK93" s="2122"/>
      <c r="DL93" s="2122"/>
      <c r="DM93" s="2122"/>
      <c r="DN93" s="2122"/>
      <c r="DO93" s="2122"/>
      <c r="DP93" s="2122"/>
      <c r="DQ93" s="2122"/>
      <c r="DR93" s="2122"/>
      <c r="DS93" s="2122"/>
      <c r="DT93" s="2122"/>
      <c r="DU93" s="2122"/>
      <c r="DV93" s="2122"/>
      <c r="DW93" s="2122"/>
    </row>
    <row r="94" spans="1:127" s="2197" customFormat="1" ht="51" customHeight="1">
      <c r="A94" s="3773">
        <v>26</v>
      </c>
      <c r="B94" s="2118" t="str">
        <f t="shared" si="2"/>
        <v>2000002637</v>
      </c>
      <c r="C94" s="2118" t="s">
        <v>3425</v>
      </c>
      <c r="D94" s="2453">
        <v>3598</v>
      </c>
      <c r="E94" s="2118" t="s">
        <v>6890</v>
      </c>
      <c r="F94" s="2120" t="s">
        <v>61</v>
      </c>
      <c r="G94" s="2118" t="s">
        <v>6891</v>
      </c>
      <c r="H94" s="2159"/>
      <c r="I94" s="1921" t="s">
        <v>19</v>
      </c>
      <c r="J94" s="2120" t="s">
        <v>74</v>
      </c>
      <c r="K94" s="2161" t="s">
        <v>6892</v>
      </c>
      <c r="L94" s="2281">
        <v>331</v>
      </c>
      <c r="M94" s="2383" t="s">
        <v>5937</v>
      </c>
      <c r="N94" s="2130" t="s">
        <v>6739</v>
      </c>
      <c r="O94" s="2102">
        <v>2</v>
      </c>
      <c r="P94" s="2122"/>
      <c r="Q94" s="2122"/>
      <c r="R94" s="2122"/>
      <c r="S94" s="2122"/>
      <c r="T94" s="2122"/>
      <c r="U94" s="2122"/>
      <c r="V94" s="2122"/>
      <c r="W94" s="2122"/>
      <c r="X94" s="2122"/>
      <c r="Y94" s="2122"/>
      <c r="Z94" s="2122"/>
      <c r="AA94" s="2122"/>
      <c r="AB94" s="2122"/>
      <c r="AC94" s="2122"/>
      <c r="AD94" s="2122"/>
      <c r="AE94" s="2122"/>
      <c r="AF94" s="2122"/>
      <c r="AG94" s="2122"/>
      <c r="AH94" s="2122"/>
      <c r="AI94" s="2122"/>
      <c r="AJ94" s="2122"/>
      <c r="AK94" s="2122"/>
      <c r="AL94" s="2122"/>
      <c r="AM94" s="2122"/>
      <c r="AN94" s="2122"/>
      <c r="AO94" s="2122"/>
      <c r="AP94" s="2122"/>
      <c r="AQ94" s="2122"/>
      <c r="AR94" s="2122"/>
      <c r="AS94" s="2122"/>
      <c r="AT94" s="2122"/>
      <c r="AU94" s="2122"/>
      <c r="AV94" s="2122"/>
      <c r="AW94" s="2122"/>
      <c r="AX94" s="2122"/>
      <c r="AY94" s="2122"/>
      <c r="AZ94" s="2122"/>
      <c r="BA94" s="2122"/>
      <c r="BB94" s="2122"/>
      <c r="BC94" s="2122"/>
      <c r="BD94" s="2122"/>
      <c r="BE94" s="2122"/>
      <c r="BF94" s="2122"/>
      <c r="BG94" s="2122"/>
      <c r="BH94" s="2122"/>
      <c r="BI94" s="2122"/>
      <c r="BJ94" s="2122"/>
      <c r="BK94" s="2122"/>
      <c r="BL94" s="2122"/>
      <c r="BM94" s="2122"/>
      <c r="BN94" s="2122"/>
      <c r="BO94" s="2122"/>
      <c r="BP94" s="2122"/>
      <c r="BQ94" s="2122"/>
      <c r="BR94" s="2122"/>
      <c r="BS94" s="2122"/>
      <c r="BT94" s="2122"/>
      <c r="BU94" s="2122"/>
      <c r="BV94" s="2122"/>
      <c r="BW94" s="2122"/>
      <c r="BX94" s="2122"/>
      <c r="BY94" s="2122"/>
      <c r="BZ94" s="2122"/>
      <c r="CA94" s="2122"/>
      <c r="CB94" s="2122"/>
      <c r="CC94" s="2122"/>
      <c r="CD94" s="2122"/>
      <c r="CE94" s="2122"/>
      <c r="CF94" s="2122"/>
      <c r="CG94" s="2122"/>
      <c r="CH94" s="2122"/>
      <c r="CI94" s="2122"/>
      <c r="CJ94" s="2122"/>
      <c r="CK94" s="2122"/>
      <c r="CL94" s="2122"/>
      <c r="CM94" s="2122"/>
      <c r="CN94" s="2122"/>
      <c r="CO94" s="2122"/>
      <c r="CP94" s="2122"/>
      <c r="CQ94" s="2122"/>
      <c r="CR94" s="2122"/>
      <c r="CS94" s="2122"/>
      <c r="CT94" s="2122"/>
      <c r="CU94" s="2122"/>
      <c r="CV94" s="2122"/>
      <c r="CW94" s="2122"/>
      <c r="CX94" s="2122"/>
      <c r="CY94" s="2122"/>
      <c r="CZ94" s="2122"/>
      <c r="DA94" s="2122"/>
      <c r="DB94" s="2122"/>
      <c r="DC94" s="2122"/>
      <c r="DD94" s="2122"/>
      <c r="DE94" s="2122"/>
      <c r="DF94" s="2122"/>
      <c r="DG94" s="2122"/>
      <c r="DH94" s="2122"/>
      <c r="DI94" s="2122"/>
      <c r="DJ94" s="2122"/>
      <c r="DK94" s="2122"/>
      <c r="DL94" s="2122"/>
      <c r="DM94" s="2122"/>
      <c r="DN94" s="2122"/>
      <c r="DO94" s="2122"/>
      <c r="DP94" s="2122"/>
      <c r="DQ94" s="2122"/>
      <c r="DR94" s="2122"/>
      <c r="DS94" s="2122"/>
      <c r="DT94" s="2122"/>
      <c r="DU94" s="2122"/>
      <c r="DV94" s="2122"/>
      <c r="DW94" s="2033"/>
    </row>
    <row r="95" spans="1:127" s="2197" customFormat="1" ht="51" customHeight="1">
      <c r="A95" s="3767"/>
      <c r="B95" s="1851" t="str">
        <f t="shared" si="2"/>
        <v>2000002638</v>
      </c>
      <c r="C95" s="1851" t="s">
        <v>3425</v>
      </c>
      <c r="D95" s="2454"/>
      <c r="E95" s="1851"/>
      <c r="F95" s="1872" t="s">
        <v>61</v>
      </c>
      <c r="G95" s="1921"/>
      <c r="H95" s="1947"/>
      <c r="I95" s="1495" t="s">
        <v>19</v>
      </c>
      <c r="J95" s="1872" t="s">
        <v>74</v>
      </c>
      <c r="K95" s="1628" t="s">
        <v>6893</v>
      </c>
      <c r="L95" s="2330">
        <v>140</v>
      </c>
      <c r="M95" s="2378" t="s">
        <v>5937</v>
      </c>
      <c r="N95" s="2277" t="s">
        <v>6739</v>
      </c>
      <c r="O95" s="2102">
        <v>2</v>
      </c>
      <c r="P95" s="2122"/>
      <c r="Q95" s="2122"/>
      <c r="R95" s="2122"/>
      <c r="S95" s="2122"/>
      <c r="T95" s="2122"/>
      <c r="U95" s="2122"/>
      <c r="V95" s="2122"/>
      <c r="W95" s="2122"/>
      <c r="X95" s="2122"/>
      <c r="Y95" s="2122"/>
      <c r="Z95" s="2122"/>
      <c r="AA95" s="2122"/>
      <c r="AB95" s="2122"/>
      <c r="AC95" s="2122"/>
      <c r="AD95" s="2122"/>
      <c r="AE95" s="2122"/>
      <c r="AF95" s="2122"/>
      <c r="AG95" s="2122"/>
      <c r="AH95" s="2122"/>
      <c r="AI95" s="2122"/>
      <c r="AJ95" s="2122"/>
      <c r="AK95" s="2122"/>
      <c r="AL95" s="2122"/>
      <c r="AM95" s="2122"/>
      <c r="AN95" s="2122"/>
      <c r="AO95" s="2122"/>
      <c r="AP95" s="2122"/>
      <c r="AQ95" s="2122"/>
      <c r="AR95" s="2122"/>
      <c r="AS95" s="2122"/>
      <c r="AT95" s="2122"/>
      <c r="AU95" s="2122"/>
      <c r="AV95" s="2122"/>
      <c r="AW95" s="2122"/>
      <c r="AX95" s="2122"/>
      <c r="AY95" s="2122"/>
      <c r="AZ95" s="2122"/>
      <c r="BA95" s="2122"/>
      <c r="BB95" s="2122"/>
      <c r="BC95" s="2122"/>
      <c r="BD95" s="2122"/>
      <c r="BE95" s="2122"/>
      <c r="BF95" s="2122"/>
      <c r="BG95" s="2122"/>
      <c r="BH95" s="2122"/>
      <c r="BI95" s="2122"/>
      <c r="BJ95" s="2122"/>
      <c r="BK95" s="2122"/>
      <c r="BL95" s="2122"/>
      <c r="BM95" s="2122"/>
      <c r="BN95" s="2122"/>
      <c r="BO95" s="2122"/>
      <c r="BP95" s="2122"/>
      <c r="BQ95" s="2122"/>
      <c r="BR95" s="2122"/>
      <c r="BS95" s="2122"/>
      <c r="BT95" s="2122"/>
      <c r="BU95" s="2122"/>
      <c r="BV95" s="2122"/>
      <c r="BW95" s="2122"/>
      <c r="BX95" s="2122"/>
      <c r="BY95" s="2122"/>
      <c r="BZ95" s="2122"/>
      <c r="CA95" s="2122"/>
      <c r="CB95" s="2122"/>
      <c r="CC95" s="2122"/>
      <c r="CD95" s="2122"/>
      <c r="CE95" s="2122"/>
      <c r="CF95" s="2122"/>
      <c r="CG95" s="2122"/>
      <c r="CH95" s="2122"/>
      <c r="CI95" s="2122"/>
      <c r="CJ95" s="2122"/>
      <c r="CK95" s="2122"/>
      <c r="CL95" s="2122"/>
      <c r="CM95" s="2122"/>
      <c r="CN95" s="2122"/>
      <c r="CO95" s="2122"/>
      <c r="CP95" s="2122"/>
      <c r="CQ95" s="2122"/>
      <c r="CR95" s="2122"/>
      <c r="CS95" s="2122"/>
      <c r="CT95" s="2122"/>
      <c r="CU95" s="2122"/>
      <c r="CV95" s="2122"/>
      <c r="CW95" s="2122"/>
      <c r="CX95" s="2122"/>
      <c r="CY95" s="2122"/>
      <c r="CZ95" s="2122"/>
      <c r="DA95" s="2122"/>
      <c r="DB95" s="2122"/>
      <c r="DC95" s="2122"/>
      <c r="DD95" s="2122"/>
      <c r="DE95" s="2122"/>
      <c r="DF95" s="2122"/>
      <c r="DG95" s="2122"/>
      <c r="DH95" s="2122"/>
      <c r="DI95" s="2122"/>
      <c r="DJ95" s="2122"/>
      <c r="DK95" s="2122"/>
      <c r="DL95" s="2122"/>
      <c r="DM95" s="2122"/>
      <c r="DN95" s="2122"/>
      <c r="DO95" s="2122"/>
      <c r="DP95" s="2122"/>
      <c r="DQ95" s="2122"/>
      <c r="DR95" s="2122"/>
      <c r="DS95" s="2122"/>
      <c r="DT95" s="2122"/>
      <c r="DU95" s="2122"/>
      <c r="DV95" s="2122"/>
      <c r="DW95" s="2033"/>
    </row>
    <row r="96" spans="1:127" s="2197" customFormat="1" ht="66.75" customHeight="1">
      <c r="A96" s="3767"/>
      <c r="B96" s="1851" t="str">
        <f t="shared" si="2"/>
        <v>2000002657</v>
      </c>
      <c r="C96" s="1851" t="s">
        <v>3425</v>
      </c>
      <c r="D96" s="2454"/>
      <c r="E96" s="1851"/>
      <c r="F96" s="1872" t="s">
        <v>61</v>
      </c>
      <c r="G96" s="1921"/>
      <c r="H96" s="1947"/>
      <c r="I96" s="1543" t="s">
        <v>19</v>
      </c>
      <c r="J96" s="1543" t="s">
        <v>74</v>
      </c>
      <c r="K96" s="1605" t="s">
        <v>6894</v>
      </c>
      <c r="L96" s="2340">
        <v>800</v>
      </c>
      <c r="M96" s="2378" t="s">
        <v>5937</v>
      </c>
      <c r="N96" s="2341" t="s">
        <v>6895</v>
      </c>
      <c r="O96" s="2053">
        <v>2</v>
      </c>
      <c r="P96" s="2122"/>
      <c r="Q96" s="2122"/>
      <c r="R96" s="2122"/>
      <c r="S96" s="2122"/>
      <c r="T96" s="2122"/>
      <c r="U96" s="2122"/>
      <c r="V96" s="2122"/>
      <c r="W96" s="2122"/>
      <c r="X96" s="2122"/>
      <c r="Y96" s="2122"/>
      <c r="Z96" s="2122"/>
      <c r="AA96" s="2122"/>
      <c r="AB96" s="2122"/>
      <c r="AC96" s="2122"/>
      <c r="AD96" s="2122"/>
      <c r="AE96" s="2122"/>
      <c r="AF96" s="2122"/>
      <c r="AG96" s="2122"/>
      <c r="AH96" s="2122"/>
      <c r="AI96" s="2122"/>
      <c r="AJ96" s="2122"/>
      <c r="AK96" s="2122"/>
      <c r="AL96" s="2122"/>
      <c r="AM96" s="2122"/>
      <c r="AN96" s="2122"/>
      <c r="AO96" s="2122"/>
      <c r="AP96" s="2122"/>
      <c r="AQ96" s="2122"/>
      <c r="AR96" s="2122"/>
      <c r="AS96" s="2122"/>
      <c r="AT96" s="2122"/>
      <c r="AU96" s="2122"/>
      <c r="AV96" s="2122"/>
      <c r="AW96" s="2122"/>
      <c r="AX96" s="2122"/>
      <c r="AY96" s="2122"/>
      <c r="AZ96" s="2122"/>
      <c r="BA96" s="2122"/>
      <c r="BB96" s="2122"/>
      <c r="BC96" s="2122"/>
      <c r="BD96" s="2122"/>
      <c r="BE96" s="2122"/>
      <c r="BF96" s="2122"/>
      <c r="BG96" s="2122"/>
      <c r="BH96" s="2122"/>
      <c r="BI96" s="2122"/>
      <c r="BJ96" s="2122"/>
      <c r="BK96" s="2122"/>
      <c r="BL96" s="2122"/>
      <c r="BM96" s="2122"/>
      <c r="BN96" s="2122"/>
      <c r="BO96" s="2122"/>
      <c r="BP96" s="2122"/>
      <c r="BQ96" s="2122"/>
      <c r="BR96" s="2122"/>
      <c r="BS96" s="2122"/>
      <c r="BT96" s="2122"/>
      <c r="BU96" s="2122"/>
      <c r="BV96" s="2122"/>
      <c r="BW96" s="2122"/>
      <c r="BX96" s="2122"/>
      <c r="BY96" s="2122"/>
      <c r="BZ96" s="2122"/>
      <c r="CA96" s="2122"/>
      <c r="CB96" s="2122"/>
      <c r="CC96" s="2122"/>
      <c r="CD96" s="2122"/>
      <c r="CE96" s="2122"/>
      <c r="CF96" s="2122"/>
      <c r="CG96" s="2122"/>
      <c r="CH96" s="2122"/>
      <c r="CI96" s="2122"/>
      <c r="CJ96" s="2122"/>
      <c r="CK96" s="2122"/>
      <c r="CL96" s="2122"/>
      <c r="CM96" s="2122"/>
      <c r="CN96" s="2122"/>
      <c r="CO96" s="2122"/>
      <c r="CP96" s="2122"/>
      <c r="CQ96" s="2122"/>
      <c r="CR96" s="2122"/>
      <c r="CS96" s="2122"/>
      <c r="CT96" s="2122"/>
      <c r="CU96" s="2122"/>
      <c r="CV96" s="2122"/>
      <c r="CW96" s="2122"/>
      <c r="CX96" s="2122"/>
      <c r="CY96" s="2122"/>
      <c r="CZ96" s="2122"/>
      <c r="DA96" s="2122"/>
      <c r="DB96" s="2122"/>
      <c r="DC96" s="2122"/>
      <c r="DD96" s="2122"/>
      <c r="DE96" s="2122"/>
      <c r="DF96" s="2122"/>
      <c r="DG96" s="2122"/>
      <c r="DH96" s="2122"/>
      <c r="DI96" s="2122"/>
      <c r="DJ96" s="2122"/>
      <c r="DK96" s="2122"/>
      <c r="DL96" s="2122"/>
      <c r="DM96" s="2122"/>
      <c r="DN96" s="2122"/>
      <c r="DO96" s="2122"/>
      <c r="DP96" s="2122"/>
      <c r="DQ96" s="2122"/>
      <c r="DR96" s="2122"/>
      <c r="DS96" s="2122"/>
      <c r="DT96" s="2122"/>
      <c r="DU96" s="2122"/>
      <c r="DV96" s="2122"/>
      <c r="DW96" s="2033"/>
    </row>
    <row r="97" spans="1:127" s="2197" customFormat="1" ht="62.25" customHeight="1">
      <c r="A97" s="3767"/>
      <c r="B97" s="1851" t="str">
        <f t="shared" si="2"/>
        <v>2000002669</v>
      </c>
      <c r="C97" s="1851" t="s">
        <v>3425</v>
      </c>
      <c r="D97" s="2454"/>
      <c r="E97" s="1851"/>
      <c r="F97" s="1872" t="s">
        <v>61</v>
      </c>
      <c r="G97" s="1921"/>
      <c r="H97" s="1947"/>
      <c r="I97" s="1899" t="s">
        <v>19</v>
      </c>
      <c r="J97" s="1495" t="s">
        <v>74</v>
      </c>
      <c r="K97" s="2136" t="s">
        <v>6896</v>
      </c>
      <c r="L97" s="2342">
        <v>150</v>
      </c>
      <c r="M97" s="2386" t="s">
        <v>5937</v>
      </c>
      <c r="N97" s="1843"/>
      <c r="O97" s="2055">
        <v>2</v>
      </c>
      <c r="P97" s="2122"/>
      <c r="Q97" s="2122"/>
      <c r="R97" s="2122"/>
      <c r="S97" s="2122"/>
      <c r="T97" s="2122"/>
      <c r="U97" s="2122"/>
      <c r="V97" s="2122"/>
      <c r="W97" s="2122"/>
      <c r="X97" s="2122"/>
      <c r="Y97" s="2122"/>
      <c r="Z97" s="2122"/>
      <c r="AA97" s="2122"/>
      <c r="AB97" s="2122"/>
      <c r="AC97" s="2122"/>
      <c r="AD97" s="2122"/>
      <c r="AE97" s="2122"/>
      <c r="AF97" s="2122"/>
      <c r="AG97" s="2122"/>
      <c r="AH97" s="2122"/>
      <c r="AI97" s="2122"/>
      <c r="AJ97" s="2122"/>
      <c r="AK97" s="2122"/>
      <c r="AL97" s="2122"/>
      <c r="AM97" s="2122"/>
      <c r="AN97" s="2122"/>
      <c r="AO97" s="2122"/>
      <c r="AP97" s="2122"/>
      <c r="AQ97" s="2122"/>
      <c r="AR97" s="2122"/>
      <c r="AS97" s="2122"/>
      <c r="AT97" s="2122"/>
      <c r="AU97" s="2122"/>
      <c r="AV97" s="2122"/>
      <c r="AW97" s="2122"/>
      <c r="AX97" s="2122"/>
      <c r="AY97" s="2122"/>
      <c r="AZ97" s="2122"/>
      <c r="BA97" s="2122"/>
      <c r="BB97" s="2122"/>
      <c r="BC97" s="2122"/>
      <c r="BD97" s="2122"/>
      <c r="BE97" s="2122"/>
      <c r="BF97" s="2122"/>
      <c r="BG97" s="2122"/>
      <c r="BH97" s="2122"/>
      <c r="BI97" s="2122"/>
      <c r="BJ97" s="2122"/>
      <c r="BK97" s="2122"/>
      <c r="BL97" s="2122"/>
      <c r="BM97" s="2122"/>
      <c r="BN97" s="2122"/>
      <c r="BO97" s="2122"/>
      <c r="BP97" s="2122"/>
      <c r="BQ97" s="2122"/>
      <c r="BR97" s="2122"/>
      <c r="BS97" s="2122"/>
      <c r="BT97" s="2122"/>
      <c r="BU97" s="2122"/>
      <c r="BV97" s="2122"/>
      <c r="BW97" s="2122"/>
      <c r="BX97" s="2122"/>
      <c r="BY97" s="2122"/>
      <c r="BZ97" s="2122"/>
      <c r="CA97" s="2122"/>
      <c r="CB97" s="2122"/>
      <c r="CC97" s="2122"/>
      <c r="CD97" s="2122"/>
      <c r="CE97" s="2122"/>
      <c r="CF97" s="2122"/>
      <c r="CG97" s="2122"/>
      <c r="CH97" s="2122"/>
      <c r="CI97" s="2122"/>
      <c r="CJ97" s="2122"/>
      <c r="CK97" s="2122"/>
      <c r="CL97" s="2122"/>
      <c r="CM97" s="2122"/>
      <c r="CN97" s="2122"/>
      <c r="CO97" s="2122"/>
      <c r="CP97" s="2122"/>
      <c r="CQ97" s="2122"/>
      <c r="CR97" s="2122"/>
      <c r="CS97" s="2122"/>
      <c r="CT97" s="2122"/>
      <c r="CU97" s="2122"/>
      <c r="CV97" s="2122"/>
      <c r="CW97" s="2122"/>
      <c r="CX97" s="2122"/>
      <c r="CY97" s="2122"/>
      <c r="CZ97" s="2122"/>
      <c r="DA97" s="2122"/>
      <c r="DB97" s="2122"/>
      <c r="DC97" s="2122"/>
      <c r="DD97" s="2122"/>
      <c r="DE97" s="2122"/>
      <c r="DF97" s="2122"/>
      <c r="DG97" s="2122"/>
      <c r="DH97" s="2122"/>
      <c r="DI97" s="2122"/>
      <c r="DJ97" s="2122"/>
      <c r="DK97" s="2122"/>
      <c r="DL97" s="2122"/>
      <c r="DM97" s="2122"/>
      <c r="DN97" s="2122"/>
      <c r="DO97" s="2122"/>
      <c r="DP97" s="2122"/>
      <c r="DQ97" s="2122"/>
      <c r="DR97" s="2122"/>
      <c r="DS97" s="2122"/>
      <c r="DT97" s="2122"/>
      <c r="DU97" s="2122"/>
      <c r="DV97" s="2122"/>
      <c r="DW97" s="2033"/>
    </row>
    <row r="98" spans="1:127" s="2197" customFormat="1" ht="51" customHeight="1">
      <c r="A98" s="3767"/>
      <c r="B98" s="1851" t="str">
        <f t="shared" si="2"/>
        <v>2000002640</v>
      </c>
      <c r="C98" s="1851" t="s">
        <v>3425</v>
      </c>
      <c r="D98" s="2454"/>
      <c r="E98" s="1851"/>
      <c r="F98" s="1872" t="s">
        <v>61</v>
      </c>
      <c r="G98" s="1495"/>
      <c r="H98" s="1947"/>
      <c r="I98" s="1495" t="s">
        <v>19</v>
      </c>
      <c r="J98" s="1851" t="s">
        <v>5325</v>
      </c>
      <c r="K98" s="1600" t="s">
        <v>6897</v>
      </c>
      <c r="L98" s="2343">
        <v>1600</v>
      </c>
      <c r="M98" s="2386" t="s">
        <v>5937</v>
      </c>
      <c r="N98" s="1843" t="s">
        <v>6898</v>
      </c>
      <c r="O98" s="1939">
        <v>2</v>
      </c>
      <c r="P98" s="1883"/>
      <c r="Q98" s="1883"/>
      <c r="R98" s="1883"/>
      <c r="S98" s="1883"/>
      <c r="T98" s="1883"/>
      <c r="U98" s="1883"/>
      <c r="V98" s="1883"/>
      <c r="W98" s="1883"/>
      <c r="X98" s="1883"/>
      <c r="Y98" s="1883"/>
      <c r="Z98" s="1883"/>
      <c r="AA98" s="1883"/>
      <c r="AB98" s="1883"/>
      <c r="AC98" s="1883"/>
      <c r="AD98" s="1883"/>
      <c r="AE98" s="1883"/>
      <c r="AF98" s="1883"/>
      <c r="AG98" s="1883"/>
      <c r="AH98" s="1883"/>
      <c r="AI98" s="1883"/>
      <c r="AJ98" s="1883"/>
      <c r="AK98" s="1883"/>
      <c r="AL98" s="1883"/>
      <c r="AM98" s="1883"/>
      <c r="AN98" s="1883"/>
      <c r="AO98" s="1883"/>
      <c r="AP98" s="1883"/>
      <c r="AQ98" s="1883"/>
      <c r="AR98" s="1883"/>
      <c r="AS98" s="1883"/>
      <c r="AT98" s="1883"/>
      <c r="AU98" s="1883"/>
      <c r="AV98" s="1883"/>
      <c r="AW98" s="1883"/>
      <c r="AX98" s="1883"/>
      <c r="AY98" s="1883"/>
      <c r="AZ98" s="1883"/>
      <c r="BA98" s="1883"/>
      <c r="BB98" s="1883"/>
      <c r="BC98" s="1883"/>
      <c r="BD98" s="1883"/>
      <c r="BE98" s="1883"/>
      <c r="BF98" s="1883"/>
      <c r="BG98" s="1883"/>
      <c r="BH98" s="1883"/>
      <c r="BI98" s="1883"/>
      <c r="BJ98" s="1883"/>
      <c r="BK98" s="1883"/>
      <c r="BL98" s="1883"/>
      <c r="BM98" s="1883"/>
      <c r="BN98" s="1883"/>
      <c r="BO98" s="1883"/>
      <c r="BP98" s="1883"/>
      <c r="BQ98" s="1883"/>
      <c r="BR98" s="1883"/>
      <c r="BS98" s="1883"/>
      <c r="BT98" s="1883"/>
      <c r="BU98" s="1883"/>
      <c r="BV98" s="1883"/>
      <c r="BW98" s="1883"/>
      <c r="BX98" s="1883"/>
      <c r="BY98" s="1883"/>
      <c r="BZ98" s="1883"/>
      <c r="CA98" s="1883"/>
      <c r="CB98" s="1883"/>
      <c r="CC98" s="1883"/>
      <c r="CD98" s="1883"/>
      <c r="CE98" s="1883"/>
      <c r="CF98" s="1883"/>
      <c r="CG98" s="1883"/>
      <c r="CH98" s="1883"/>
      <c r="CI98" s="1883"/>
      <c r="CJ98" s="1883"/>
      <c r="CK98" s="1883"/>
      <c r="CL98" s="1883"/>
      <c r="CM98" s="1883"/>
      <c r="CN98" s="1883"/>
      <c r="CO98" s="1883"/>
      <c r="CP98" s="1883"/>
      <c r="CQ98" s="1883"/>
      <c r="CR98" s="1883"/>
      <c r="CS98" s="1883"/>
      <c r="CT98" s="1883"/>
      <c r="CU98" s="1883"/>
      <c r="CV98" s="1883"/>
      <c r="CW98" s="1883"/>
      <c r="CX98" s="1883"/>
      <c r="CY98" s="1883"/>
      <c r="CZ98" s="1883"/>
      <c r="DA98" s="1883"/>
      <c r="DB98" s="1883"/>
      <c r="DC98" s="1883"/>
      <c r="DD98" s="1883"/>
      <c r="DE98" s="1883"/>
      <c r="DF98" s="1883"/>
      <c r="DG98" s="1883"/>
      <c r="DH98" s="1883"/>
      <c r="DI98" s="1883"/>
      <c r="DJ98" s="1883"/>
      <c r="DK98" s="1883"/>
      <c r="DL98" s="1883"/>
      <c r="DM98" s="1883"/>
      <c r="DN98" s="1883"/>
      <c r="DO98" s="1883"/>
      <c r="DP98" s="1883"/>
      <c r="DQ98" s="1883"/>
      <c r="DR98" s="1883"/>
      <c r="DS98" s="1883"/>
      <c r="DT98" s="1883"/>
      <c r="DU98" s="1883"/>
      <c r="DV98" s="1883"/>
      <c r="DW98" s="2033"/>
    </row>
    <row r="99" spans="1:127" s="2197" customFormat="1" ht="51" customHeight="1">
      <c r="A99" s="3767"/>
      <c r="B99" s="1851" t="str">
        <f t="shared" si="2"/>
        <v>2000002607</v>
      </c>
      <c r="C99" s="1851" t="s">
        <v>3425</v>
      </c>
      <c r="D99" s="2464"/>
      <c r="E99" s="1770"/>
      <c r="F99" s="1872" t="s">
        <v>61</v>
      </c>
      <c r="G99" s="1916"/>
      <c r="H99" s="1916"/>
      <c r="I99" s="1495" t="s">
        <v>19</v>
      </c>
      <c r="J99" s="1495" t="s">
        <v>5325</v>
      </c>
      <c r="K99" s="1770" t="s">
        <v>6899</v>
      </c>
      <c r="L99" s="1770">
        <v>182</v>
      </c>
      <c r="M99" s="2387" t="s">
        <v>6795</v>
      </c>
      <c r="N99" s="1845"/>
      <c r="O99" s="2055">
        <v>2</v>
      </c>
      <c r="P99" s="2003"/>
      <c r="Q99" s="1916"/>
      <c r="R99" s="1916"/>
      <c r="S99" s="1916"/>
      <c r="T99" s="1916"/>
      <c r="U99" s="1916"/>
      <c r="V99" s="1916"/>
      <c r="W99" s="1916"/>
      <c r="X99" s="1916"/>
      <c r="Y99" s="1916"/>
      <c r="Z99" s="1916"/>
      <c r="AA99" s="1916"/>
      <c r="AB99" s="1916"/>
      <c r="AC99" s="1916"/>
      <c r="AD99" s="1916"/>
      <c r="AE99" s="1916"/>
      <c r="AF99" s="1916"/>
      <c r="AG99" s="1916"/>
      <c r="AH99" s="1916"/>
      <c r="AI99" s="1916"/>
      <c r="AJ99" s="1916"/>
      <c r="AK99" s="1916"/>
      <c r="AL99" s="1916"/>
      <c r="AM99" s="1916"/>
      <c r="AN99" s="1916"/>
      <c r="AO99" s="1916"/>
      <c r="AP99" s="1916"/>
      <c r="AQ99" s="1916"/>
      <c r="AR99" s="1916"/>
      <c r="AS99" s="1916"/>
      <c r="AT99" s="1916"/>
      <c r="AU99" s="1916"/>
      <c r="AV99" s="1916"/>
      <c r="AW99" s="1916"/>
      <c r="AX99" s="1916"/>
      <c r="AY99" s="1916"/>
      <c r="AZ99" s="1916"/>
      <c r="BA99" s="1916"/>
      <c r="BB99" s="1916"/>
      <c r="BC99" s="1916"/>
      <c r="BD99" s="1916"/>
      <c r="BE99" s="1916"/>
      <c r="BF99" s="1916"/>
      <c r="BG99" s="1916"/>
      <c r="BH99" s="1916"/>
      <c r="BI99" s="1916"/>
      <c r="BJ99" s="1916"/>
      <c r="BK99" s="1916"/>
      <c r="BL99" s="1916"/>
      <c r="BM99" s="1916"/>
      <c r="BN99" s="1916"/>
      <c r="BO99" s="1916"/>
      <c r="BP99" s="1916"/>
      <c r="BQ99" s="1916"/>
      <c r="BR99" s="1916"/>
      <c r="BS99" s="1916"/>
      <c r="BT99" s="1916"/>
      <c r="BU99" s="1916"/>
      <c r="BV99" s="1916"/>
      <c r="BW99" s="1916"/>
      <c r="BX99" s="1916"/>
      <c r="BY99" s="1916"/>
      <c r="BZ99" s="1916"/>
      <c r="CA99" s="1916"/>
      <c r="CB99" s="1916"/>
      <c r="CC99" s="1916"/>
      <c r="CD99" s="1916"/>
      <c r="CE99" s="1916"/>
      <c r="CF99" s="1916"/>
      <c r="CG99" s="1916"/>
      <c r="CH99" s="1916"/>
      <c r="CI99" s="1916"/>
      <c r="CJ99" s="1916"/>
      <c r="CK99" s="1916"/>
      <c r="CL99" s="1916"/>
      <c r="CM99" s="1916"/>
      <c r="CN99" s="1916"/>
      <c r="CO99" s="1916"/>
      <c r="CP99" s="1916"/>
      <c r="CQ99" s="1916"/>
      <c r="CR99" s="1916"/>
      <c r="CS99" s="1916"/>
      <c r="CT99" s="1916"/>
      <c r="CU99" s="1916"/>
      <c r="CV99" s="1916"/>
      <c r="CW99" s="1916"/>
      <c r="CX99" s="1916"/>
      <c r="CY99" s="1916"/>
      <c r="CZ99" s="1916"/>
      <c r="DA99" s="1916"/>
      <c r="DB99" s="1916"/>
      <c r="DC99" s="1916"/>
      <c r="DD99" s="1916"/>
      <c r="DE99" s="1916"/>
      <c r="DF99" s="1916"/>
      <c r="DG99" s="1916"/>
      <c r="DH99" s="1916"/>
      <c r="DI99" s="1916"/>
      <c r="DJ99" s="1916"/>
      <c r="DK99" s="1916"/>
      <c r="DL99" s="1916"/>
      <c r="DM99" s="1916"/>
      <c r="DN99" s="1916"/>
      <c r="DO99" s="1916"/>
      <c r="DP99" s="1916"/>
      <c r="DQ99" s="1916"/>
      <c r="DR99" s="1916"/>
      <c r="DS99" s="1916"/>
      <c r="DT99" s="1916"/>
      <c r="DU99" s="1916"/>
      <c r="DV99" s="1916"/>
      <c r="DW99" s="1916"/>
    </row>
    <row r="100" spans="1:127" s="2197" customFormat="1" ht="51" customHeight="1">
      <c r="A100" s="3768"/>
      <c r="B100" s="1851" t="str">
        <f t="shared" ref="B100:B131" si="3">TEXT(LEFT(K100,10),"0000000000")</f>
        <v>2000002608</v>
      </c>
      <c r="C100" s="1851" t="s">
        <v>3425</v>
      </c>
      <c r="D100" s="2454"/>
      <c r="E100" s="1851"/>
      <c r="F100" s="1872" t="s">
        <v>61</v>
      </c>
      <c r="G100" s="1921"/>
      <c r="H100" s="2159"/>
      <c r="I100" s="1495" t="s">
        <v>19</v>
      </c>
      <c r="J100" s="1495" t="s">
        <v>5325</v>
      </c>
      <c r="K100" s="1995" t="s">
        <v>6900</v>
      </c>
      <c r="L100" s="2343">
        <v>395</v>
      </c>
      <c r="M100" s="2378" t="s">
        <v>6795</v>
      </c>
      <c r="N100" s="2052"/>
      <c r="O100" s="1939">
        <v>2</v>
      </c>
      <c r="P100" s="2150"/>
      <c r="Q100" s="2324"/>
      <c r="R100" s="2122"/>
      <c r="S100" s="2122"/>
      <c r="T100" s="2122"/>
      <c r="U100" s="2122"/>
      <c r="V100" s="2122"/>
      <c r="W100" s="2122"/>
      <c r="X100" s="2122"/>
      <c r="Y100" s="2122"/>
      <c r="Z100" s="2122"/>
      <c r="AA100" s="2122"/>
      <c r="AB100" s="2122"/>
      <c r="AC100" s="2122"/>
      <c r="AD100" s="2122"/>
      <c r="AE100" s="2122"/>
      <c r="AF100" s="2122"/>
      <c r="AG100" s="2122"/>
      <c r="AH100" s="2122"/>
      <c r="AI100" s="2122"/>
      <c r="AJ100" s="2122"/>
      <c r="AK100" s="2122"/>
      <c r="AL100" s="2122"/>
      <c r="AM100" s="2122"/>
      <c r="AN100" s="2122"/>
      <c r="AO100" s="2122"/>
      <c r="AP100" s="2122"/>
      <c r="AQ100" s="2122"/>
      <c r="AR100" s="2122"/>
      <c r="AS100" s="2122"/>
      <c r="AT100" s="2122"/>
      <c r="AU100" s="2122"/>
      <c r="AV100" s="2122"/>
      <c r="AW100" s="2122"/>
      <c r="AX100" s="2122"/>
      <c r="AY100" s="2122"/>
      <c r="AZ100" s="2122"/>
      <c r="BA100" s="2122"/>
      <c r="BB100" s="2122"/>
      <c r="BC100" s="2122"/>
      <c r="BD100" s="2122"/>
      <c r="BE100" s="2122"/>
      <c r="BF100" s="2122"/>
      <c r="BG100" s="2122"/>
      <c r="BH100" s="2122"/>
      <c r="BI100" s="2122"/>
      <c r="BJ100" s="2122"/>
      <c r="BK100" s="2122"/>
      <c r="BL100" s="2122"/>
      <c r="BM100" s="2122"/>
      <c r="BN100" s="2122"/>
      <c r="BO100" s="2122"/>
      <c r="BP100" s="2122"/>
      <c r="BQ100" s="2122"/>
      <c r="BR100" s="2122"/>
      <c r="BS100" s="2122"/>
      <c r="BT100" s="2122"/>
      <c r="BU100" s="2122"/>
      <c r="BV100" s="2122"/>
      <c r="BW100" s="2122"/>
      <c r="BX100" s="2122"/>
      <c r="BY100" s="2122"/>
      <c r="BZ100" s="2122"/>
      <c r="CA100" s="2122"/>
      <c r="CB100" s="2122"/>
      <c r="CC100" s="2122"/>
      <c r="CD100" s="2122"/>
      <c r="CE100" s="2122"/>
      <c r="CF100" s="2122"/>
      <c r="CG100" s="2122"/>
      <c r="CH100" s="2122"/>
      <c r="CI100" s="2122"/>
      <c r="CJ100" s="2122"/>
      <c r="CK100" s="2122"/>
      <c r="CL100" s="2122"/>
      <c r="CM100" s="2122"/>
      <c r="CN100" s="2122"/>
      <c r="CO100" s="2122"/>
      <c r="CP100" s="2122"/>
      <c r="CQ100" s="2122"/>
      <c r="CR100" s="2122"/>
      <c r="CS100" s="2122"/>
      <c r="CT100" s="2122"/>
      <c r="CU100" s="2122"/>
      <c r="CV100" s="2122"/>
      <c r="CW100" s="2122"/>
      <c r="CX100" s="2122"/>
      <c r="CY100" s="2122"/>
      <c r="CZ100" s="2122"/>
      <c r="DA100" s="2122"/>
      <c r="DB100" s="2122"/>
      <c r="DC100" s="2122"/>
      <c r="DD100" s="2122"/>
      <c r="DE100" s="2122"/>
      <c r="DF100" s="2122"/>
      <c r="DG100" s="2122"/>
      <c r="DH100" s="2122"/>
      <c r="DI100" s="2122"/>
      <c r="DJ100" s="2122"/>
      <c r="DK100" s="2122"/>
      <c r="DL100" s="2122"/>
      <c r="DM100" s="2122"/>
      <c r="DN100" s="2122"/>
      <c r="DO100" s="2122"/>
      <c r="DP100" s="2122"/>
      <c r="DQ100" s="2122"/>
      <c r="DR100" s="2122"/>
      <c r="DS100" s="2122"/>
      <c r="DT100" s="2122"/>
      <c r="DU100" s="2122"/>
      <c r="DV100" s="2122"/>
      <c r="DW100" s="2122"/>
    </row>
    <row r="101" spans="1:127" s="2197" customFormat="1" ht="51" customHeight="1">
      <c r="A101" s="3773">
        <v>27</v>
      </c>
      <c r="B101" s="2118" t="str">
        <f t="shared" si="3"/>
        <v>2000002684</v>
      </c>
      <c r="C101" s="2118" t="s">
        <v>193</v>
      </c>
      <c r="D101" s="2453">
        <v>11700</v>
      </c>
      <c r="E101" s="2118" t="s">
        <v>6901</v>
      </c>
      <c r="F101" s="2120" t="s">
        <v>3401</v>
      </c>
      <c r="G101" s="2118" t="s">
        <v>6902</v>
      </c>
      <c r="H101" s="2159" t="s">
        <v>6903</v>
      </c>
      <c r="I101" s="2354" t="s">
        <v>19</v>
      </c>
      <c r="J101" s="2120" t="s">
        <v>63</v>
      </c>
      <c r="K101" s="2355" t="s">
        <v>6904</v>
      </c>
      <c r="L101" s="2356">
        <v>100</v>
      </c>
      <c r="M101" s="2030" t="s">
        <v>6905</v>
      </c>
      <c r="N101" s="2275"/>
      <c r="O101" s="2102">
        <v>2</v>
      </c>
      <c r="P101" s="2122"/>
      <c r="Q101" s="2122"/>
      <c r="R101" s="2122"/>
      <c r="S101" s="2122"/>
      <c r="T101" s="2122"/>
      <c r="U101" s="2122"/>
      <c r="V101" s="2122"/>
      <c r="W101" s="2122"/>
      <c r="X101" s="2122"/>
      <c r="Y101" s="2122"/>
      <c r="Z101" s="2122"/>
      <c r="AA101" s="2122"/>
      <c r="AB101" s="2122"/>
      <c r="AC101" s="2122"/>
      <c r="AD101" s="2122"/>
      <c r="AE101" s="2122"/>
      <c r="AF101" s="2122"/>
      <c r="AG101" s="2122"/>
      <c r="AH101" s="2122"/>
      <c r="AI101" s="2122"/>
      <c r="AJ101" s="2122"/>
      <c r="AK101" s="2122"/>
      <c r="AL101" s="2122"/>
      <c r="AM101" s="2122"/>
      <c r="AN101" s="2122"/>
      <c r="AO101" s="2122"/>
      <c r="AP101" s="2122"/>
      <c r="AQ101" s="2122"/>
      <c r="AR101" s="2122"/>
      <c r="AS101" s="2122"/>
      <c r="AT101" s="2122"/>
      <c r="AU101" s="2122"/>
      <c r="AV101" s="2122"/>
      <c r="AW101" s="2122"/>
      <c r="AX101" s="2122"/>
      <c r="AY101" s="2122"/>
      <c r="AZ101" s="2122"/>
      <c r="BA101" s="2122"/>
      <c r="BB101" s="2122"/>
      <c r="BC101" s="2122"/>
      <c r="BD101" s="2122"/>
      <c r="BE101" s="2122"/>
      <c r="BF101" s="2122"/>
      <c r="BG101" s="2122"/>
      <c r="BH101" s="2122"/>
      <c r="BI101" s="2122"/>
      <c r="BJ101" s="2122"/>
      <c r="BK101" s="2122"/>
      <c r="BL101" s="2122"/>
      <c r="BM101" s="2122"/>
      <c r="BN101" s="2122"/>
      <c r="BO101" s="2122"/>
      <c r="BP101" s="2122"/>
      <c r="BQ101" s="2122"/>
      <c r="BR101" s="2122"/>
      <c r="BS101" s="2122"/>
      <c r="BT101" s="2122"/>
      <c r="BU101" s="2122"/>
      <c r="BV101" s="2122"/>
      <c r="BW101" s="2122"/>
      <c r="BX101" s="2122"/>
      <c r="BY101" s="2122"/>
      <c r="BZ101" s="2122"/>
      <c r="CA101" s="2122"/>
      <c r="CB101" s="2122"/>
      <c r="CC101" s="2122"/>
      <c r="CD101" s="2122"/>
      <c r="CE101" s="2122"/>
      <c r="CF101" s="2122"/>
      <c r="CG101" s="2122"/>
      <c r="CH101" s="2122"/>
      <c r="CI101" s="2122"/>
      <c r="CJ101" s="2122"/>
      <c r="CK101" s="2122"/>
      <c r="CL101" s="2122"/>
      <c r="CM101" s="2122"/>
      <c r="CN101" s="2122"/>
      <c r="CO101" s="2122"/>
      <c r="CP101" s="2122"/>
      <c r="CQ101" s="2122"/>
      <c r="CR101" s="2122"/>
      <c r="CS101" s="2122"/>
      <c r="CT101" s="2122"/>
      <c r="CU101" s="2122"/>
      <c r="CV101" s="2122"/>
      <c r="CW101" s="2122"/>
      <c r="CX101" s="2122"/>
      <c r="CY101" s="2122"/>
      <c r="CZ101" s="2122"/>
      <c r="DA101" s="2122"/>
      <c r="DB101" s="2122"/>
      <c r="DC101" s="2122"/>
      <c r="DD101" s="2122"/>
      <c r="DE101" s="2122"/>
      <c r="DF101" s="2122"/>
      <c r="DG101" s="2122"/>
      <c r="DH101" s="2122"/>
      <c r="DI101" s="2122"/>
      <c r="DJ101" s="2122"/>
      <c r="DK101" s="2122"/>
      <c r="DL101" s="2122"/>
      <c r="DM101" s="2122"/>
      <c r="DN101" s="2122"/>
      <c r="DO101" s="2122"/>
      <c r="DP101" s="2122"/>
      <c r="DQ101" s="2122"/>
      <c r="DR101" s="2122"/>
      <c r="DS101" s="2122"/>
      <c r="DT101" s="2122"/>
      <c r="DU101" s="2122"/>
      <c r="DV101" s="2122"/>
      <c r="DW101" s="2033"/>
    </row>
    <row r="102" spans="1:127" s="2197" customFormat="1" ht="51" customHeight="1">
      <c r="A102" s="3767"/>
      <c r="B102" s="1851" t="str">
        <f t="shared" si="3"/>
        <v>2000002593</v>
      </c>
      <c r="C102" s="1851" t="s">
        <v>193</v>
      </c>
      <c r="D102" s="2203"/>
      <c r="E102" s="1495"/>
      <c r="F102" s="1872" t="s">
        <v>3401</v>
      </c>
      <c r="G102" s="1495"/>
      <c r="H102" s="1495"/>
      <c r="I102" s="2320" t="s">
        <v>19</v>
      </c>
      <c r="J102" s="1495" t="s">
        <v>63</v>
      </c>
      <c r="K102" s="1600" t="s">
        <v>6906</v>
      </c>
      <c r="L102" s="2299">
        <v>2000</v>
      </c>
      <c r="M102" s="2378" t="s">
        <v>5937</v>
      </c>
      <c r="N102" s="2265"/>
      <c r="O102" s="2208">
        <v>2</v>
      </c>
      <c r="P102" s="1548"/>
      <c r="Q102" s="1548"/>
      <c r="R102" s="1548"/>
      <c r="S102" s="1548"/>
      <c r="T102" s="1548"/>
      <c r="U102" s="1548"/>
      <c r="V102" s="1548"/>
      <c r="W102" s="1548"/>
      <c r="X102" s="1548"/>
      <c r="Y102" s="1548"/>
      <c r="Z102" s="1548"/>
      <c r="AA102" s="1548"/>
      <c r="AB102" s="1548"/>
      <c r="AC102" s="1548"/>
      <c r="AD102" s="1548"/>
      <c r="AE102" s="1548"/>
      <c r="AF102" s="1548"/>
      <c r="AG102" s="1548"/>
      <c r="AH102" s="1548"/>
      <c r="AI102" s="1548"/>
      <c r="AJ102" s="1548"/>
      <c r="AK102" s="1548"/>
      <c r="AL102" s="1548"/>
      <c r="AM102" s="1548"/>
      <c r="AN102" s="1548"/>
      <c r="AO102" s="1548"/>
      <c r="AP102" s="1548"/>
      <c r="AQ102" s="1548"/>
      <c r="AR102" s="1548"/>
      <c r="AS102" s="1548"/>
      <c r="AT102" s="1548"/>
      <c r="AU102" s="1548"/>
      <c r="AV102" s="1548"/>
      <c r="AW102" s="1548"/>
      <c r="AX102" s="1548"/>
      <c r="AY102" s="1548"/>
      <c r="AZ102" s="1548"/>
      <c r="BA102" s="1548"/>
      <c r="BB102" s="1548"/>
      <c r="BC102" s="1548"/>
      <c r="BD102" s="1548"/>
      <c r="BE102" s="1548"/>
      <c r="BF102" s="1548"/>
      <c r="BG102" s="1548"/>
      <c r="BH102" s="1548"/>
      <c r="BI102" s="1548"/>
      <c r="BJ102" s="1548"/>
      <c r="BK102" s="1548"/>
      <c r="BL102" s="1548"/>
      <c r="BM102" s="1548"/>
      <c r="BN102" s="1548"/>
      <c r="BO102" s="1548"/>
      <c r="BP102" s="1548"/>
      <c r="BQ102" s="1548"/>
      <c r="BR102" s="1548"/>
      <c r="BS102" s="1548"/>
      <c r="BT102" s="1548"/>
      <c r="BU102" s="1548"/>
      <c r="BV102" s="1548"/>
      <c r="BW102" s="1548"/>
      <c r="BX102" s="1548"/>
      <c r="BY102" s="1548"/>
      <c r="BZ102" s="1548"/>
      <c r="CA102" s="1548"/>
      <c r="CB102" s="1548"/>
      <c r="CC102" s="1548"/>
      <c r="CD102" s="1548"/>
      <c r="CE102" s="1548"/>
      <c r="CF102" s="1548"/>
      <c r="CG102" s="1548"/>
      <c r="CH102" s="1548"/>
      <c r="CI102" s="1548"/>
      <c r="CJ102" s="1548"/>
      <c r="CK102" s="1548"/>
      <c r="CL102" s="1548"/>
      <c r="CM102" s="1548"/>
      <c r="CN102" s="1548"/>
      <c r="CO102" s="1548"/>
      <c r="CP102" s="1548"/>
      <c r="CQ102" s="1548"/>
      <c r="CR102" s="1548"/>
      <c r="CS102" s="1548"/>
      <c r="CT102" s="1548"/>
      <c r="CU102" s="1548"/>
      <c r="CV102" s="1548"/>
      <c r="CW102" s="1548"/>
      <c r="CX102" s="1548"/>
      <c r="CY102" s="1548"/>
      <c r="CZ102" s="1548"/>
      <c r="DA102" s="1548"/>
      <c r="DB102" s="1548"/>
      <c r="DC102" s="1548"/>
      <c r="DD102" s="1548"/>
      <c r="DE102" s="1548"/>
      <c r="DF102" s="1548"/>
      <c r="DG102" s="1548"/>
      <c r="DH102" s="1548"/>
      <c r="DI102" s="1548"/>
      <c r="DJ102" s="1548"/>
      <c r="DK102" s="1548"/>
      <c r="DL102" s="1548"/>
      <c r="DM102" s="1548"/>
      <c r="DN102" s="1548"/>
      <c r="DO102" s="1548"/>
      <c r="DP102" s="1548"/>
      <c r="DQ102" s="1548"/>
      <c r="DR102" s="1548"/>
      <c r="DS102" s="1548"/>
      <c r="DT102" s="1548"/>
      <c r="DU102" s="1548"/>
      <c r="DV102" s="1548"/>
      <c r="DW102" s="1548"/>
    </row>
    <row r="103" spans="1:127" s="2197" customFormat="1" ht="51" customHeight="1">
      <c r="A103" s="3767"/>
      <c r="B103" s="1851" t="str">
        <f t="shared" si="3"/>
        <v>2000002594</v>
      </c>
      <c r="C103" s="1851" t="s">
        <v>193</v>
      </c>
      <c r="D103" s="1494"/>
      <c r="E103" s="1495"/>
      <c r="F103" s="1872" t="s">
        <v>3401</v>
      </c>
      <c r="G103" s="1495"/>
      <c r="H103" s="1495"/>
      <c r="I103" s="2320" t="s">
        <v>19</v>
      </c>
      <c r="J103" s="1495" t="s">
        <v>63</v>
      </c>
      <c r="K103" s="1600" t="s">
        <v>6907</v>
      </c>
      <c r="L103" s="2357">
        <v>3000</v>
      </c>
      <c r="M103" s="2378" t="s">
        <v>5937</v>
      </c>
      <c r="N103" s="2265"/>
      <c r="O103" s="2208">
        <v>2</v>
      </c>
      <c r="P103" s="1548"/>
      <c r="Q103" s="1548"/>
      <c r="R103" s="1548"/>
      <c r="S103" s="1548"/>
      <c r="T103" s="1548"/>
      <c r="U103" s="1548"/>
      <c r="V103" s="1548"/>
      <c r="W103" s="1548"/>
      <c r="X103" s="1548"/>
      <c r="Y103" s="1548"/>
      <c r="Z103" s="1548"/>
      <c r="AA103" s="1548"/>
      <c r="AB103" s="1548"/>
      <c r="AC103" s="1548"/>
      <c r="AD103" s="1548"/>
      <c r="AE103" s="1548"/>
      <c r="AF103" s="1548"/>
      <c r="AG103" s="1548"/>
      <c r="AH103" s="1548"/>
      <c r="AI103" s="1548"/>
      <c r="AJ103" s="1548"/>
      <c r="AK103" s="1548"/>
      <c r="AL103" s="1548"/>
      <c r="AM103" s="1548"/>
      <c r="AN103" s="1548"/>
      <c r="AO103" s="1548"/>
      <c r="AP103" s="1548"/>
      <c r="AQ103" s="1548"/>
      <c r="AR103" s="1548"/>
      <c r="AS103" s="1548"/>
      <c r="AT103" s="1548"/>
      <c r="AU103" s="1548"/>
      <c r="AV103" s="1548"/>
      <c r="AW103" s="1548"/>
      <c r="AX103" s="1548"/>
      <c r="AY103" s="1548"/>
      <c r="AZ103" s="1548"/>
      <c r="BA103" s="1548"/>
      <c r="BB103" s="1548"/>
      <c r="BC103" s="1548"/>
      <c r="BD103" s="1548"/>
      <c r="BE103" s="1548"/>
      <c r="BF103" s="1548"/>
      <c r="BG103" s="1548"/>
      <c r="BH103" s="1548"/>
      <c r="BI103" s="1548"/>
      <c r="BJ103" s="1548"/>
      <c r="BK103" s="1548"/>
      <c r="BL103" s="1548"/>
      <c r="BM103" s="1548"/>
      <c r="BN103" s="1548"/>
      <c r="BO103" s="1548"/>
      <c r="BP103" s="1548"/>
      <c r="BQ103" s="1548"/>
      <c r="BR103" s="1548"/>
      <c r="BS103" s="1548"/>
      <c r="BT103" s="1548"/>
      <c r="BU103" s="1548"/>
      <c r="BV103" s="1548"/>
      <c r="BW103" s="1548"/>
      <c r="BX103" s="1548"/>
      <c r="BY103" s="1548"/>
      <c r="BZ103" s="1548"/>
      <c r="CA103" s="1548"/>
      <c r="CB103" s="1548"/>
      <c r="CC103" s="1548"/>
      <c r="CD103" s="1548"/>
      <c r="CE103" s="1548"/>
      <c r="CF103" s="1548"/>
      <c r="CG103" s="1548"/>
      <c r="CH103" s="1548"/>
      <c r="CI103" s="1548"/>
      <c r="CJ103" s="1548"/>
      <c r="CK103" s="1548"/>
      <c r="CL103" s="1548"/>
      <c r="CM103" s="1548"/>
      <c r="CN103" s="1548"/>
      <c r="CO103" s="1548"/>
      <c r="CP103" s="1548"/>
      <c r="CQ103" s="1548"/>
      <c r="CR103" s="1548"/>
      <c r="CS103" s="1548"/>
      <c r="CT103" s="1548"/>
      <c r="CU103" s="1548"/>
      <c r="CV103" s="1548"/>
      <c r="CW103" s="1548"/>
      <c r="CX103" s="1548"/>
      <c r="CY103" s="1548"/>
      <c r="CZ103" s="1548"/>
      <c r="DA103" s="1548"/>
      <c r="DB103" s="1548"/>
      <c r="DC103" s="1548"/>
      <c r="DD103" s="1548"/>
      <c r="DE103" s="1548"/>
      <c r="DF103" s="1548"/>
      <c r="DG103" s="1548"/>
      <c r="DH103" s="1548"/>
      <c r="DI103" s="1548"/>
      <c r="DJ103" s="1548"/>
      <c r="DK103" s="1548"/>
      <c r="DL103" s="1548"/>
      <c r="DM103" s="1548"/>
      <c r="DN103" s="1548"/>
      <c r="DO103" s="1548"/>
      <c r="DP103" s="1548"/>
      <c r="DQ103" s="1548"/>
      <c r="DR103" s="1548"/>
      <c r="DS103" s="1548"/>
      <c r="DT103" s="1548"/>
      <c r="DU103" s="1548"/>
      <c r="DV103" s="1548"/>
      <c r="DW103" s="1548"/>
    </row>
    <row r="104" spans="1:127" s="2197" customFormat="1" ht="51" customHeight="1">
      <c r="A104" s="3767"/>
      <c r="B104" s="1851" t="str">
        <f t="shared" si="3"/>
        <v>2200001882</v>
      </c>
      <c r="C104" s="1851" t="s">
        <v>193</v>
      </c>
      <c r="D104" s="1494"/>
      <c r="E104" s="1495"/>
      <c r="F104" s="1872" t="s">
        <v>3401</v>
      </c>
      <c r="G104" s="1495"/>
      <c r="H104" s="1495"/>
      <c r="I104" s="2320" t="s">
        <v>19</v>
      </c>
      <c r="J104" s="1872" t="s">
        <v>63</v>
      </c>
      <c r="K104" s="1994" t="s">
        <v>6908</v>
      </c>
      <c r="L104" s="2358">
        <v>48</v>
      </c>
      <c r="M104" s="2378" t="s">
        <v>5937</v>
      </c>
      <c r="N104" s="2131" t="s">
        <v>6389</v>
      </c>
      <c r="O104" s="2359">
        <v>2</v>
      </c>
      <c r="P104" s="1548"/>
      <c r="Q104" s="1548"/>
      <c r="R104" s="1548"/>
      <c r="S104" s="1548"/>
      <c r="T104" s="1548"/>
      <c r="U104" s="1548"/>
      <c r="V104" s="1548"/>
      <c r="W104" s="1548"/>
      <c r="X104" s="1548"/>
      <c r="Y104" s="1548"/>
      <c r="Z104" s="1548"/>
      <c r="AA104" s="1548"/>
      <c r="AB104" s="1548"/>
      <c r="AC104" s="1548"/>
      <c r="AD104" s="1548"/>
      <c r="AE104" s="1548"/>
      <c r="AF104" s="1548"/>
      <c r="AG104" s="1548"/>
      <c r="AH104" s="1548"/>
      <c r="AI104" s="1548"/>
      <c r="AJ104" s="1548"/>
      <c r="AK104" s="1548"/>
      <c r="AL104" s="1548"/>
      <c r="AM104" s="1548"/>
      <c r="AN104" s="1548"/>
      <c r="AO104" s="1548"/>
      <c r="AP104" s="1548"/>
      <c r="AQ104" s="1548"/>
      <c r="AR104" s="1548"/>
      <c r="AS104" s="1548"/>
      <c r="AT104" s="1548"/>
      <c r="AU104" s="1548"/>
      <c r="AV104" s="1548"/>
      <c r="AW104" s="1548"/>
      <c r="AX104" s="1548"/>
      <c r="AY104" s="1548"/>
      <c r="AZ104" s="1548"/>
      <c r="BA104" s="1548"/>
      <c r="BB104" s="1548"/>
      <c r="BC104" s="1548"/>
      <c r="BD104" s="1548"/>
      <c r="BE104" s="1548"/>
      <c r="BF104" s="1548"/>
      <c r="BG104" s="1548"/>
      <c r="BH104" s="1548"/>
      <c r="BI104" s="1548"/>
      <c r="BJ104" s="1548"/>
      <c r="BK104" s="1548"/>
      <c r="BL104" s="1548"/>
      <c r="BM104" s="1548"/>
      <c r="BN104" s="1548"/>
      <c r="BO104" s="1548"/>
      <c r="BP104" s="1548"/>
      <c r="BQ104" s="1548"/>
      <c r="BR104" s="1548"/>
      <c r="BS104" s="1548"/>
      <c r="BT104" s="1548"/>
      <c r="BU104" s="1548"/>
      <c r="BV104" s="1548"/>
      <c r="BW104" s="1548"/>
      <c r="BX104" s="1548"/>
      <c r="BY104" s="1548"/>
      <c r="BZ104" s="1548"/>
      <c r="CA104" s="1548"/>
      <c r="CB104" s="1548"/>
      <c r="CC104" s="1548"/>
      <c r="CD104" s="1548"/>
      <c r="CE104" s="1548"/>
      <c r="CF104" s="1548"/>
      <c r="CG104" s="1548"/>
      <c r="CH104" s="1548"/>
      <c r="CI104" s="1548"/>
      <c r="CJ104" s="1548"/>
      <c r="CK104" s="1548"/>
      <c r="CL104" s="1548"/>
      <c r="CM104" s="1548"/>
      <c r="CN104" s="1548"/>
      <c r="CO104" s="1548"/>
      <c r="CP104" s="1548"/>
      <c r="CQ104" s="1548"/>
      <c r="CR104" s="1548"/>
      <c r="CS104" s="1548"/>
      <c r="CT104" s="1548"/>
      <c r="CU104" s="1548"/>
      <c r="CV104" s="1548"/>
      <c r="CW104" s="1548"/>
      <c r="CX104" s="1548"/>
      <c r="CY104" s="1548"/>
      <c r="CZ104" s="1548"/>
      <c r="DA104" s="1548"/>
      <c r="DB104" s="1548"/>
      <c r="DC104" s="1548"/>
      <c r="DD104" s="1548"/>
      <c r="DE104" s="1548"/>
      <c r="DF104" s="1548"/>
      <c r="DG104" s="1548"/>
      <c r="DH104" s="1548"/>
      <c r="DI104" s="1548"/>
      <c r="DJ104" s="1548"/>
      <c r="DK104" s="1548"/>
      <c r="DL104" s="1548"/>
      <c r="DM104" s="1548"/>
      <c r="DN104" s="1548"/>
      <c r="DO104" s="1548"/>
      <c r="DP104" s="1548"/>
      <c r="DQ104" s="1548"/>
      <c r="DR104" s="1548"/>
      <c r="DS104" s="1548"/>
      <c r="DT104" s="1548"/>
      <c r="DU104" s="1548"/>
      <c r="DV104" s="1548"/>
      <c r="DW104" s="1548"/>
    </row>
    <row r="105" spans="1:127" s="2197" customFormat="1" ht="51" customHeight="1">
      <c r="A105" s="3767"/>
      <c r="B105" s="1851" t="str">
        <f t="shared" si="3"/>
        <v>2000002686</v>
      </c>
      <c r="C105" s="1851" t="s">
        <v>193</v>
      </c>
      <c r="D105" s="2454"/>
      <c r="E105" s="1851"/>
      <c r="F105" s="1872" t="s">
        <v>3401</v>
      </c>
      <c r="G105" s="1495"/>
      <c r="H105" s="1947"/>
      <c r="I105" s="2320" t="s">
        <v>19</v>
      </c>
      <c r="J105" s="1872" t="s">
        <v>63</v>
      </c>
      <c r="K105" s="1628" t="s">
        <v>6909</v>
      </c>
      <c r="L105" s="2345">
        <v>500</v>
      </c>
      <c r="M105" s="2378" t="s">
        <v>5937</v>
      </c>
      <c r="N105" s="2130"/>
      <c r="O105" s="2102">
        <v>2</v>
      </c>
      <c r="P105" s="1883"/>
      <c r="Q105" s="1883"/>
      <c r="R105" s="1883"/>
      <c r="S105" s="1883"/>
      <c r="T105" s="1883"/>
      <c r="U105" s="1883"/>
      <c r="V105" s="1883"/>
      <c r="W105" s="1883"/>
      <c r="X105" s="1883"/>
      <c r="Y105" s="1883"/>
      <c r="Z105" s="1883"/>
      <c r="AA105" s="1883"/>
      <c r="AB105" s="1883"/>
      <c r="AC105" s="1883"/>
      <c r="AD105" s="1883"/>
      <c r="AE105" s="1883"/>
      <c r="AF105" s="1883"/>
      <c r="AG105" s="1883"/>
      <c r="AH105" s="1883"/>
      <c r="AI105" s="1883"/>
      <c r="AJ105" s="1883"/>
      <c r="AK105" s="1883"/>
      <c r="AL105" s="1883"/>
      <c r="AM105" s="1883"/>
      <c r="AN105" s="1883"/>
      <c r="AO105" s="1883"/>
      <c r="AP105" s="1883"/>
      <c r="AQ105" s="1883"/>
      <c r="AR105" s="1883"/>
      <c r="AS105" s="1883"/>
      <c r="AT105" s="1883"/>
      <c r="AU105" s="1883"/>
      <c r="AV105" s="1883"/>
      <c r="AW105" s="1883"/>
      <c r="AX105" s="1883"/>
      <c r="AY105" s="1883"/>
      <c r="AZ105" s="1883"/>
      <c r="BA105" s="1883"/>
      <c r="BB105" s="1883"/>
      <c r="BC105" s="1883"/>
      <c r="BD105" s="1883"/>
      <c r="BE105" s="1883"/>
      <c r="BF105" s="1883"/>
      <c r="BG105" s="1883"/>
      <c r="BH105" s="1883"/>
      <c r="BI105" s="1883"/>
      <c r="BJ105" s="1883"/>
      <c r="BK105" s="1883"/>
      <c r="BL105" s="1883"/>
      <c r="BM105" s="1883"/>
      <c r="BN105" s="1883"/>
      <c r="BO105" s="1883"/>
      <c r="BP105" s="1883"/>
      <c r="BQ105" s="1883"/>
      <c r="BR105" s="1883"/>
      <c r="BS105" s="1883"/>
      <c r="BT105" s="1883"/>
      <c r="BU105" s="1883"/>
      <c r="BV105" s="1883"/>
      <c r="BW105" s="1883"/>
      <c r="BX105" s="1883"/>
      <c r="BY105" s="1883"/>
      <c r="BZ105" s="1883"/>
      <c r="CA105" s="1883"/>
      <c r="CB105" s="1883"/>
      <c r="CC105" s="1883"/>
      <c r="CD105" s="1883"/>
      <c r="CE105" s="1883"/>
      <c r="CF105" s="1883"/>
      <c r="CG105" s="1883"/>
      <c r="CH105" s="1883"/>
      <c r="CI105" s="1883"/>
      <c r="CJ105" s="1883"/>
      <c r="CK105" s="1883"/>
      <c r="CL105" s="1883"/>
      <c r="CM105" s="1883"/>
      <c r="CN105" s="1883"/>
      <c r="CO105" s="1883"/>
      <c r="CP105" s="1883"/>
      <c r="CQ105" s="1883"/>
      <c r="CR105" s="1883"/>
      <c r="CS105" s="1883"/>
      <c r="CT105" s="1883"/>
      <c r="CU105" s="1883"/>
      <c r="CV105" s="1883"/>
      <c r="CW105" s="1883"/>
      <c r="CX105" s="1883"/>
      <c r="CY105" s="1883"/>
      <c r="CZ105" s="1883"/>
      <c r="DA105" s="1883"/>
      <c r="DB105" s="1883"/>
      <c r="DC105" s="1883"/>
      <c r="DD105" s="1883"/>
      <c r="DE105" s="1883"/>
      <c r="DF105" s="1883"/>
      <c r="DG105" s="1883"/>
      <c r="DH105" s="1883"/>
      <c r="DI105" s="1883"/>
      <c r="DJ105" s="1883"/>
      <c r="DK105" s="1883"/>
      <c r="DL105" s="1883"/>
      <c r="DM105" s="1883"/>
      <c r="DN105" s="1883"/>
      <c r="DO105" s="1883"/>
      <c r="DP105" s="1883"/>
      <c r="DQ105" s="1883"/>
      <c r="DR105" s="1883"/>
      <c r="DS105" s="1883"/>
      <c r="DT105" s="1883"/>
      <c r="DU105" s="1883"/>
      <c r="DV105" s="1883"/>
      <c r="DW105" s="1883"/>
    </row>
    <row r="106" spans="1:127" s="2197" customFormat="1" ht="51" customHeight="1">
      <c r="A106" s="3767"/>
      <c r="B106" s="1851" t="str">
        <f t="shared" si="3"/>
        <v>2200001888</v>
      </c>
      <c r="C106" s="1851" t="s">
        <v>193</v>
      </c>
      <c r="D106" s="2454"/>
      <c r="E106" s="1851"/>
      <c r="F106" s="1872" t="s">
        <v>3401</v>
      </c>
      <c r="G106" s="1495"/>
      <c r="H106" s="1947"/>
      <c r="I106" s="2320" t="s">
        <v>19</v>
      </c>
      <c r="J106" s="1872" t="s">
        <v>63</v>
      </c>
      <c r="K106" s="1496" t="s">
        <v>6910</v>
      </c>
      <c r="L106" s="2266">
        <v>43</v>
      </c>
      <c r="M106" s="2378" t="s">
        <v>5454</v>
      </c>
      <c r="N106" s="2131"/>
      <c r="O106" s="2102">
        <v>2</v>
      </c>
      <c r="P106" s="1548"/>
      <c r="Q106" s="1982"/>
      <c r="R106" s="1883"/>
      <c r="S106" s="1883"/>
      <c r="T106" s="1883"/>
      <c r="U106" s="1883"/>
      <c r="V106" s="1883"/>
      <c r="W106" s="1883"/>
      <c r="X106" s="1883"/>
      <c r="Y106" s="1883"/>
      <c r="Z106" s="1883"/>
      <c r="AA106" s="1883"/>
      <c r="AB106" s="1883"/>
      <c r="AC106" s="1883"/>
      <c r="AD106" s="1883"/>
      <c r="AE106" s="1883"/>
      <c r="AF106" s="1883"/>
      <c r="AG106" s="1883"/>
      <c r="AH106" s="1883"/>
      <c r="AI106" s="1883"/>
      <c r="AJ106" s="1883"/>
      <c r="AK106" s="1883"/>
      <c r="AL106" s="1883"/>
      <c r="AM106" s="1883"/>
      <c r="AN106" s="1883"/>
      <c r="AO106" s="1883"/>
      <c r="AP106" s="1883"/>
      <c r="AQ106" s="1883"/>
      <c r="AR106" s="1883"/>
      <c r="AS106" s="1883"/>
      <c r="AT106" s="1883"/>
      <c r="AU106" s="1883"/>
      <c r="AV106" s="1883"/>
      <c r="AW106" s="1883"/>
      <c r="AX106" s="1883"/>
      <c r="AY106" s="1883"/>
      <c r="AZ106" s="1883"/>
      <c r="BA106" s="1883"/>
      <c r="BB106" s="1883"/>
      <c r="BC106" s="1883"/>
      <c r="BD106" s="1883"/>
      <c r="BE106" s="1883"/>
      <c r="BF106" s="1883"/>
      <c r="BG106" s="1883"/>
      <c r="BH106" s="1883"/>
      <c r="BI106" s="1883"/>
      <c r="BJ106" s="1883"/>
      <c r="BK106" s="1883"/>
      <c r="BL106" s="1883"/>
      <c r="BM106" s="1883"/>
      <c r="BN106" s="1883"/>
      <c r="BO106" s="1883"/>
      <c r="BP106" s="1883"/>
      <c r="BQ106" s="1883"/>
      <c r="BR106" s="1883"/>
      <c r="BS106" s="1883"/>
      <c r="BT106" s="1883"/>
      <c r="BU106" s="1883"/>
      <c r="BV106" s="1883"/>
      <c r="BW106" s="1883"/>
      <c r="BX106" s="1883"/>
      <c r="BY106" s="1883"/>
      <c r="BZ106" s="1883"/>
      <c r="CA106" s="1883"/>
      <c r="CB106" s="1883"/>
      <c r="CC106" s="1883"/>
      <c r="CD106" s="1883"/>
      <c r="CE106" s="1883"/>
      <c r="CF106" s="1883"/>
      <c r="CG106" s="1883"/>
      <c r="CH106" s="1883"/>
      <c r="CI106" s="1883"/>
      <c r="CJ106" s="1883"/>
      <c r="CK106" s="1883"/>
      <c r="CL106" s="1883"/>
      <c r="CM106" s="1883"/>
      <c r="CN106" s="1883"/>
      <c r="CO106" s="1883"/>
      <c r="CP106" s="1883"/>
      <c r="CQ106" s="1883"/>
      <c r="CR106" s="1883"/>
      <c r="CS106" s="1883"/>
      <c r="CT106" s="1883"/>
      <c r="CU106" s="1883"/>
      <c r="CV106" s="1883"/>
      <c r="CW106" s="1883"/>
      <c r="CX106" s="1883"/>
      <c r="CY106" s="1883"/>
      <c r="CZ106" s="1883"/>
      <c r="DA106" s="1883"/>
      <c r="DB106" s="1883"/>
      <c r="DC106" s="1883"/>
      <c r="DD106" s="1883"/>
      <c r="DE106" s="1883"/>
      <c r="DF106" s="1883"/>
      <c r="DG106" s="1883"/>
      <c r="DH106" s="1883"/>
      <c r="DI106" s="1883"/>
      <c r="DJ106" s="1883"/>
      <c r="DK106" s="1883"/>
      <c r="DL106" s="1883"/>
      <c r="DM106" s="1883"/>
      <c r="DN106" s="1883"/>
      <c r="DO106" s="1883"/>
      <c r="DP106" s="1883"/>
      <c r="DQ106" s="1883"/>
      <c r="DR106" s="1883"/>
      <c r="DS106" s="1883"/>
      <c r="DT106" s="1883"/>
      <c r="DU106" s="1883"/>
      <c r="DV106" s="1883"/>
      <c r="DW106" s="1883"/>
    </row>
    <row r="107" spans="1:127" s="2197" customFormat="1" ht="63" customHeight="1">
      <c r="A107" s="3767"/>
      <c r="B107" s="1851" t="str">
        <f t="shared" si="3"/>
        <v>2200001871</v>
      </c>
      <c r="C107" s="1851" t="s">
        <v>193</v>
      </c>
      <c r="D107" s="2454"/>
      <c r="E107" s="1851"/>
      <c r="F107" s="1872" t="s">
        <v>3401</v>
      </c>
      <c r="G107" s="1495"/>
      <c r="H107" s="1947"/>
      <c r="I107" s="2320" t="s">
        <v>19</v>
      </c>
      <c r="J107" s="1872" t="s">
        <v>63</v>
      </c>
      <c r="K107" s="1496" t="s">
        <v>6911</v>
      </c>
      <c r="L107" s="2266">
        <v>45</v>
      </c>
      <c r="M107" s="2378" t="s">
        <v>6912</v>
      </c>
      <c r="N107" s="2131"/>
      <c r="O107" s="2102">
        <v>2</v>
      </c>
      <c r="P107" s="1548"/>
      <c r="Q107" s="1982"/>
      <c r="R107" s="1883"/>
      <c r="S107" s="1883"/>
      <c r="T107" s="1883"/>
      <c r="U107" s="1883"/>
      <c r="V107" s="1883"/>
      <c r="W107" s="1883"/>
      <c r="X107" s="1883"/>
      <c r="Y107" s="1883"/>
      <c r="Z107" s="1883"/>
      <c r="AA107" s="1883"/>
      <c r="AB107" s="1883"/>
      <c r="AC107" s="1883"/>
      <c r="AD107" s="1883"/>
      <c r="AE107" s="1883"/>
      <c r="AF107" s="1883"/>
      <c r="AG107" s="1883"/>
      <c r="AH107" s="1883"/>
      <c r="AI107" s="1883"/>
      <c r="AJ107" s="1883"/>
      <c r="AK107" s="1883"/>
      <c r="AL107" s="1883"/>
      <c r="AM107" s="1883"/>
      <c r="AN107" s="1883"/>
      <c r="AO107" s="1883"/>
      <c r="AP107" s="1883"/>
      <c r="AQ107" s="1883"/>
      <c r="AR107" s="1883"/>
      <c r="AS107" s="1883"/>
      <c r="AT107" s="1883"/>
      <c r="AU107" s="1883"/>
      <c r="AV107" s="1883"/>
      <c r="AW107" s="1883"/>
      <c r="AX107" s="1883"/>
      <c r="AY107" s="1883"/>
      <c r="AZ107" s="1883"/>
      <c r="BA107" s="1883"/>
      <c r="BB107" s="1883"/>
      <c r="BC107" s="1883"/>
      <c r="BD107" s="1883"/>
      <c r="BE107" s="1883"/>
      <c r="BF107" s="1883"/>
      <c r="BG107" s="1883"/>
      <c r="BH107" s="1883"/>
      <c r="BI107" s="1883"/>
      <c r="BJ107" s="1883"/>
      <c r="BK107" s="1883"/>
      <c r="BL107" s="1883"/>
      <c r="BM107" s="1883"/>
      <c r="BN107" s="1883"/>
      <c r="BO107" s="1883"/>
      <c r="BP107" s="1883"/>
      <c r="BQ107" s="1883"/>
      <c r="BR107" s="1883"/>
      <c r="BS107" s="1883"/>
      <c r="BT107" s="1883"/>
      <c r="BU107" s="1883"/>
      <c r="BV107" s="1883"/>
      <c r="BW107" s="1883"/>
      <c r="BX107" s="1883"/>
      <c r="BY107" s="1883"/>
      <c r="BZ107" s="1883"/>
      <c r="CA107" s="1883"/>
      <c r="CB107" s="1883"/>
      <c r="CC107" s="1883"/>
      <c r="CD107" s="1883"/>
      <c r="CE107" s="1883"/>
      <c r="CF107" s="1883"/>
      <c r="CG107" s="1883"/>
      <c r="CH107" s="1883"/>
      <c r="CI107" s="1883"/>
      <c r="CJ107" s="1883"/>
      <c r="CK107" s="1883"/>
      <c r="CL107" s="1883"/>
      <c r="CM107" s="1883"/>
      <c r="CN107" s="1883"/>
      <c r="CO107" s="1883"/>
      <c r="CP107" s="1883"/>
      <c r="CQ107" s="1883"/>
      <c r="CR107" s="1883"/>
      <c r="CS107" s="1883"/>
      <c r="CT107" s="1883"/>
      <c r="CU107" s="1883"/>
      <c r="CV107" s="1883"/>
      <c r="CW107" s="1883"/>
      <c r="CX107" s="1883"/>
      <c r="CY107" s="1883"/>
      <c r="CZ107" s="1883"/>
      <c r="DA107" s="1883"/>
      <c r="DB107" s="1883"/>
      <c r="DC107" s="1883"/>
      <c r="DD107" s="1883"/>
      <c r="DE107" s="1883"/>
      <c r="DF107" s="1883"/>
      <c r="DG107" s="1883"/>
      <c r="DH107" s="1883"/>
      <c r="DI107" s="1883"/>
      <c r="DJ107" s="1883"/>
      <c r="DK107" s="1883"/>
      <c r="DL107" s="1883"/>
      <c r="DM107" s="1883"/>
      <c r="DN107" s="1883"/>
      <c r="DO107" s="1883"/>
      <c r="DP107" s="1883"/>
      <c r="DQ107" s="1883"/>
      <c r="DR107" s="1883"/>
      <c r="DS107" s="1883"/>
      <c r="DT107" s="1883"/>
      <c r="DU107" s="1883"/>
      <c r="DV107" s="1883"/>
      <c r="DW107" s="1883"/>
    </row>
    <row r="108" spans="1:127" s="2197" customFormat="1" ht="51" customHeight="1">
      <c r="A108" s="3768"/>
      <c r="B108" s="1851" t="str">
        <f t="shared" si="3"/>
        <v>2000002708</v>
      </c>
      <c r="C108" s="1851" t="s">
        <v>193</v>
      </c>
      <c r="D108" s="2454"/>
      <c r="E108" s="1851"/>
      <c r="F108" s="1872" t="s">
        <v>3401</v>
      </c>
      <c r="G108" s="2120"/>
      <c r="H108" s="2118"/>
      <c r="I108" s="2320" t="s">
        <v>19</v>
      </c>
      <c r="J108" s="1851" t="s">
        <v>5325</v>
      </c>
      <c r="K108" s="1628" t="s">
        <v>6913</v>
      </c>
      <c r="L108" s="2352">
        <v>7000</v>
      </c>
      <c r="M108" s="2378" t="s">
        <v>5937</v>
      </c>
      <c r="N108" s="1843" t="s">
        <v>6914</v>
      </c>
      <c r="O108" s="1748">
        <v>2</v>
      </c>
      <c r="P108" s="1883"/>
      <c r="Q108" s="1883"/>
      <c r="R108" s="1883"/>
      <c r="S108" s="1883"/>
      <c r="T108" s="1883"/>
      <c r="U108" s="1883"/>
      <c r="V108" s="1883"/>
      <c r="W108" s="1883"/>
      <c r="X108" s="1883"/>
      <c r="Y108" s="1883"/>
      <c r="Z108" s="1883"/>
      <c r="AA108" s="1883"/>
      <c r="AB108" s="1883"/>
      <c r="AC108" s="1883"/>
      <c r="AD108" s="1883"/>
      <c r="AE108" s="1883"/>
      <c r="AF108" s="1883"/>
      <c r="AG108" s="1883"/>
      <c r="AH108" s="1883"/>
      <c r="AI108" s="1883"/>
      <c r="AJ108" s="1883"/>
      <c r="AK108" s="1883"/>
      <c r="AL108" s="1883"/>
      <c r="AM108" s="1883"/>
      <c r="AN108" s="1883"/>
      <c r="AO108" s="1883"/>
      <c r="AP108" s="1883"/>
      <c r="AQ108" s="1883"/>
      <c r="AR108" s="1883"/>
      <c r="AS108" s="1883"/>
      <c r="AT108" s="1883"/>
      <c r="AU108" s="1883"/>
      <c r="AV108" s="1883"/>
      <c r="AW108" s="1883"/>
      <c r="AX108" s="1883"/>
      <c r="AY108" s="1883"/>
      <c r="AZ108" s="1883"/>
      <c r="BA108" s="1883"/>
      <c r="BB108" s="1883"/>
      <c r="BC108" s="1883"/>
      <c r="BD108" s="1883"/>
      <c r="BE108" s="1883"/>
      <c r="BF108" s="1883"/>
      <c r="BG108" s="1883"/>
      <c r="BH108" s="1883"/>
      <c r="BI108" s="1883"/>
      <c r="BJ108" s="1883"/>
      <c r="BK108" s="1883"/>
      <c r="BL108" s="1883"/>
      <c r="BM108" s="1883"/>
      <c r="BN108" s="1883"/>
      <c r="BO108" s="1883"/>
      <c r="BP108" s="1883"/>
      <c r="BQ108" s="1883"/>
      <c r="BR108" s="1883"/>
      <c r="BS108" s="1883"/>
      <c r="BT108" s="1883"/>
      <c r="BU108" s="1883"/>
      <c r="BV108" s="1883"/>
      <c r="BW108" s="1883"/>
      <c r="BX108" s="1883"/>
      <c r="BY108" s="1883"/>
      <c r="BZ108" s="1883"/>
      <c r="CA108" s="1883"/>
      <c r="CB108" s="1883"/>
      <c r="CC108" s="1883"/>
      <c r="CD108" s="1883"/>
      <c r="CE108" s="1883"/>
      <c r="CF108" s="1883"/>
      <c r="CG108" s="1883"/>
      <c r="CH108" s="1883"/>
      <c r="CI108" s="1883"/>
      <c r="CJ108" s="1883"/>
      <c r="CK108" s="1883"/>
      <c r="CL108" s="1883"/>
      <c r="CM108" s="1883"/>
      <c r="CN108" s="1883"/>
      <c r="CO108" s="1883"/>
      <c r="CP108" s="1883"/>
      <c r="CQ108" s="1883"/>
      <c r="CR108" s="1883"/>
      <c r="CS108" s="1883"/>
      <c r="CT108" s="1883"/>
      <c r="CU108" s="1883"/>
      <c r="CV108" s="1883"/>
      <c r="CW108" s="1883"/>
      <c r="CX108" s="1883"/>
      <c r="CY108" s="1883"/>
      <c r="CZ108" s="1883"/>
      <c r="DA108" s="1883"/>
      <c r="DB108" s="1883"/>
      <c r="DC108" s="1883"/>
      <c r="DD108" s="1883"/>
      <c r="DE108" s="1883"/>
      <c r="DF108" s="1883"/>
      <c r="DG108" s="1883"/>
      <c r="DH108" s="1883"/>
      <c r="DI108" s="1883"/>
      <c r="DJ108" s="1883"/>
      <c r="DK108" s="1883"/>
      <c r="DL108" s="1883"/>
      <c r="DM108" s="1883"/>
      <c r="DN108" s="1883"/>
      <c r="DO108" s="1883"/>
      <c r="DP108" s="1883"/>
      <c r="DQ108" s="1883"/>
      <c r="DR108" s="1883"/>
      <c r="DS108" s="1883"/>
      <c r="DT108" s="1883"/>
      <c r="DU108" s="1883"/>
      <c r="DV108" s="1883"/>
      <c r="DW108" s="1883"/>
    </row>
    <row r="109" spans="1:127" s="2197" customFormat="1" ht="60" customHeight="1">
      <c r="A109" s="3773">
        <v>28</v>
      </c>
      <c r="B109" s="1921" t="str">
        <f t="shared" si="3"/>
        <v>2200001870</v>
      </c>
      <c r="C109" s="1921" t="s">
        <v>3464</v>
      </c>
      <c r="D109" s="2461">
        <v>3200</v>
      </c>
      <c r="E109" s="1921" t="s">
        <v>6915</v>
      </c>
      <c r="F109" s="1921" t="s">
        <v>84</v>
      </c>
      <c r="G109" s="1921" t="s">
        <v>6916</v>
      </c>
      <c r="H109" s="1921" t="s">
        <v>6317</v>
      </c>
      <c r="I109" s="1921" t="s">
        <v>19</v>
      </c>
      <c r="J109" s="1921" t="s">
        <v>101</v>
      </c>
      <c r="K109" s="2194" t="s">
        <v>6917</v>
      </c>
      <c r="L109" s="2325">
        <v>600</v>
      </c>
      <c r="M109" s="1748" t="s">
        <v>5454</v>
      </c>
      <c r="N109" s="1962"/>
      <c r="O109" s="1748">
        <v>2</v>
      </c>
      <c r="P109" s="1807"/>
      <c r="Q109" s="1548"/>
      <c r="R109" s="1548"/>
      <c r="S109" s="1548"/>
      <c r="T109" s="1548"/>
      <c r="U109" s="1548"/>
      <c r="V109" s="1548"/>
      <c r="W109" s="1548"/>
      <c r="X109" s="1548"/>
      <c r="Y109" s="1548"/>
      <c r="Z109" s="1548"/>
      <c r="AA109" s="1548"/>
      <c r="AB109" s="1548"/>
      <c r="AC109" s="1548"/>
      <c r="AD109" s="1548"/>
      <c r="AE109" s="1548"/>
      <c r="AF109" s="1548"/>
      <c r="AG109" s="1548"/>
      <c r="AH109" s="1548"/>
      <c r="AI109" s="1548"/>
      <c r="AJ109" s="1548"/>
      <c r="AK109" s="1548"/>
      <c r="AL109" s="1548"/>
      <c r="AM109" s="1548"/>
      <c r="AN109" s="1548"/>
      <c r="AO109" s="1548"/>
      <c r="AP109" s="1548"/>
      <c r="AQ109" s="1548"/>
      <c r="AR109" s="1548"/>
      <c r="AS109" s="1548"/>
      <c r="AT109" s="1548"/>
      <c r="AU109" s="1548"/>
      <c r="AV109" s="1548"/>
      <c r="AW109" s="1548"/>
      <c r="AX109" s="1548"/>
      <c r="AY109" s="1548"/>
      <c r="AZ109" s="1548"/>
      <c r="BA109" s="1548"/>
      <c r="BB109" s="1548"/>
      <c r="BC109" s="1548"/>
      <c r="BD109" s="1548"/>
      <c r="BE109" s="1548"/>
      <c r="BF109" s="1548"/>
      <c r="BG109" s="1548"/>
      <c r="BH109" s="1548"/>
      <c r="BI109" s="1548"/>
      <c r="BJ109" s="1548"/>
      <c r="BK109" s="1548"/>
      <c r="BL109" s="1548"/>
      <c r="BM109" s="1548"/>
      <c r="BN109" s="1548"/>
      <c r="BO109" s="1548"/>
      <c r="BP109" s="1548"/>
      <c r="BQ109" s="1548"/>
      <c r="BR109" s="1548"/>
      <c r="BS109" s="1548"/>
      <c r="BT109" s="1548"/>
      <c r="BU109" s="1548"/>
      <c r="BV109" s="1548"/>
      <c r="BW109" s="1548"/>
      <c r="BX109" s="1548"/>
      <c r="BY109" s="1548"/>
      <c r="BZ109" s="1548"/>
      <c r="CA109" s="1548"/>
      <c r="CB109" s="1548"/>
      <c r="CC109" s="1548"/>
      <c r="CD109" s="1548"/>
      <c r="CE109" s="1548"/>
      <c r="CF109" s="1548"/>
      <c r="CG109" s="1548"/>
      <c r="CH109" s="1548"/>
      <c r="CI109" s="1548"/>
      <c r="CJ109" s="1548"/>
      <c r="CK109" s="1548"/>
      <c r="CL109" s="1548"/>
      <c r="CM109" s="1548"/>
      <c r="CN109" s="1548"/>
      <c r="CO109" s="1548"/>
      <c r="CP109" s="1548"/>
      <c r="CQ109" s="1548"/>
      <c r="CR109" s="1548"/>
      <c r="CS109" s="1548"/>
      <c r="CT109" s="1548"/>
      <c r="CU109" s="1548"/>
      <c r="CV109" s="1548"/>
      <c r="CW109" s="1548"/>
      <c r="CX109" s="1548"/>
      <c r="CY109" s="1548"/>
      <c r="CZ109" s="1548"/>
      <c r="DA109" s="1548"/>
      <c r="DB109" s="1548"/>
      <c r="DC109" s="1548"/>
      <c r="DD109" s="1548"/>
      <c r="DE109" s="1548"/>
      <c r="DF109" s="1548"/>
      <c r="DG109" s="1548"/>
      <c r="DH109" s="1548"/>
      <c r="DI109" s="1548"/>
      <c r="DJ109" s="1548"/>
      <c r="DK109" s="1548"/>
      <c r="DL109" s="1548"/>
      <c r="DM109" s="1548"/>
      <c r="DN109" s="1548"/>
      <c r="DO109" s="1548"/>
      <c r="DP109" s="1548"/>
      <c r="DQ109" s="1548"/>
      <c r="DR109" s="1548"/>
      <c r="DS109" s="1548"/>
      <c r="DT109" s="1548"/>
      <c r="DU109" s="1548"/>
      <c r="DV109" s="1548"/>
      <c r="DW109" s="1548"/>
    </row>
    <row r="110" spans="1:127" s="2197" customFormat="1" ht="60" customHeight="1">
      <c r="A110" s="3768"/>
      <c r="B110" s="1495" t="str">
        <f t="shared" si="3"/>
        <v>2200001876</v>
      </c>
      <c r="C110" s="1495" t="s">
        <v>3464</v>
      </c>
      <c r="D110" s="2454"/>
      <c r="E110" s="1851"/>
      <c r="F110" s="1495" t="s">
        <v>84</v>
      </c>
      <c r="G110" s="1495"/>
      <c r="H110" s="1947"/>
      <c r="I110" s="2320" t="s">
        <v>19</v>
      </c>
      <c r="J110" s="1872" t="s">
        <v>74</v>
      </c>
      <c r="K110" s="1496" t="s">
        <v>6918</v>
      </c>
      <c r="L110" s="2266">
        <v>2600</v>
      </c>
      <c r="M110" s="2030" t="s">
        <v>6919</v>
      </c>
      <c r="N110" s="2131"/>
      <c r="O110" s="2053">
        <v>2</v>
      </c>
      <c r="P110" s="1548"/>
      <c r="Q110" s="1982"/>
      <c r="R110" s="1883"/>
      <c r="S110" s="1883"/>
      <c r="T110" s="1883"/>
      <c r="U110" s="1883"/>
      <c r="V110" s="1883"/>
      <c r="W110" s="1883"/>
      <c r="X110" s="1883"/>
      <c r="Y110" s="1883"/>
      <c r="Z110" s="1883"/>
      <c r="AA110" s="1883"/>
      <c r="AB110" s="1883"/>
      <c r="AC110" s="1883"/>
      <c r="AD110" s="1883"/>
      <c r="AE110" s="1883"/>
      <c r="AF110" s="1883"/>
      <c r="AG110" s="1883"/>
      <c r="AH110" s="1883"/>
      <c r="AI110" s="1883"/>
      <c r="AJ110" s="1883"/>
      <c r="AK110" s="1883"/>
      <c r="AL110" s="1883"/>
      <c r="AM110" s="1883"/>
      <c r="AN110" s="1883"/>
      <c r="AO110" s="1883"/>
      <c r="AP110" s="1883"/>
      <c r="AQ110" s="1883"/>
      <c r="AR110" s="1883"/>
      <c r="AS110" s="1883"/>
      <c r="AT110" s="1883"/>
      <c r="AU110" s="1883"/>
      <c r="AV110" s="1883"/>
      <c r="AW110" s="1883"/>
      <c r="AX110" s="1883"/>
      <c r="AY110" s="1883"/>
      <c r="AZ110" s="1883"/>
      <c r="BA110" s="1883"/>
      <c r="BB110" s="1883"/>
      <c r="BC110" s="1883"/>
      <c r="BD110" s="1883"/>
      <c r="BE110" s="1883"/>
      <c r="BF110" s="1883"/>
      <c r="BG110" s="1883"/>
      <c r="BH110" s="1883"/>
      <c r="BI110" s="1883"/>
      <c r="BJ110" s="1883"/>
      <c r="BK110" s="1883"/>
      <c r="BL110" s="1883"/>
      <c r="BM110" s="1883"/>
      <c r="BN110" s="1883"/>
      <c r="BO110" s="1883"/>
      <c r="BP110" s="1883"/>
      <c r="BQ110" s="1883"/>
      <c r="BR110" s="1883"/>
      <c r="BS110" s="1883"/>
      <c r="BT110" s="1883"/>
      <c r="BU110" s="1883"/>
      <c r="BV110" s="1883"/>
      <c r="BW110" s="1883"/>
      <c r="BX110" s="1883"/>
      <c r="BY110" s="1883"/>
      <c r="BZ110" s="1883"/>
      <c r="CA110" s="1883"/>
      <c r="CB110" s="1883"/>
      <c r="CC110" s="1883"/>
      <c r="CD110" s="1883"/>
      <c r="CE110" s="1883"/>
      <c r="CF110" s="1883"/>
      <c r="CG110" s="1883"/>
      <c r="CH110" s="1883"/>
      <c r="CI110" s="1883"/>
      <c r="CJ110" s="1883"/>
      <c r="CK110" s="1883"/>
      <c r="CL110" s="1883"/>
      <c r="CM110" s="1883"/>
      <c r="CN110" s="1883"/>
      <c r="CO110" s="1883"/>
      <c r="CP110" s="1883"/>
      <c r="CQ110" s="1883"/>
      <c r="CR110" s="1883"/>
      <c r="CS110" s="1883"/>
      <c r="CT110" s="1883"/>
      <c r="CU110" s="1883"/>
      <c r="CV110" s="1883"/>
      <c r="CW110" s="1883"/>
      <c r="CX110" s="1883"/>
      <c r="CY110" s="1883"/>
      <c r="CZ110" s="1883"/>
      <c r="DA110" s="1883"/>
      <c r="DB110" s="1883"/>
      <c r="DC110" s="1883"/>
      <c r="DD110" s="1883"/>
      <c r="DE110" s="1883"/>
      <c r="DF110" s="1883"/>
      <c r="DG110" s="1883"/>
      <c r="DH110" s="1883"/>
      <c r="DI110" s="1883"/>
      <c r="DJ110" s="1883"/>
      <c r="DK110" s="1883"/>
      <c r="DL110" s="1883"/>
      <c r="DM110" s="1883"/>
      <c r="DN110" s="1883"/>
      <c r="DO110" s="1883"/>
      <c r="DP110" s="1883"/>
      <c r="DQ110" s="1883"/>
      <c r="DR110" s="1883"/>
      <c r="DS110" s="1883"/>
      <c r="DT110" s="1883"/>
      <c r="DU110" s="1883"/>
      <c r="DV110" s="1883"/>
      <c r="DW110" s="1883"/>
    </row>
    <row r="111" spans="1:127" s="2197" customFormat="1" ht="51" customHeight="1">
      <c r="A111" s="3773">
        <v>29</v>
      </c>
      <c r="B111" s="2118" t="str">
        <f t="shared" si="3"/>
        <v>2200001856</v>
      </c>
      <c r="C111" s="2118" t="s">
        <v>3460</v>
      </c>
      <c r="D111" s="2453">
        <v>4000</v>
      </c>
      <c r="E111" s="2118" t="s">
        <v>6920</v>
      </c>
      <c r="F111" s="2120" t="s">
        <v>61</v>
      </c>
      <c r="G111" s="1921" t="s">
        <v>6921</v>
      </c>
      <c r="H111" s="1561" t="s">
        <v>6317</v>
      </c>
      <c r="I111" s="1921" t="s">
        <v>19</v>
      </c>
      <c r="J111" s="1921" t="s">
        <v>101</v>
      </c>
      <c r="K111" s="2360" t="s">
        <v>6922</v>
      </c>
      <c r="L111" s="2236">
        <v>600</v>
      </c>
      <c r="M111" s="2378" t="s">
        <v>5937</v>
      </c>
      <c r="N111" s="2264" t="s">
        <v>6389</v>
      </c>
      <c r="O111" s="1748">
        <v>2</v>
      </c>
      <c r="P111" s="2181"/>
      <c r="Q111" s="2324"/>
      <c r="R111" s="2122"/>
      <c r="S111" s="2122"/>
      <c r="T111" s="2122"/>
      <c r="U111" s="2122"/>
      <c r="V111" s="2122"/>
      <c r="W111" s="2122"/>
      <c r="X111" s="2122"/>
      <c r="Y111" s="2122"/>
      <c r="Z111" s="2122"/>
      <c r="AA111" s="2122"/>
      <c r="AB111" s="2122"/>
      <c r="AC111" s="2122"/>
      <c r="AD111" s="2122"/>
      <c r="AE111" s="2122"/>
      <c r="AF111" s="2122"/>
      <c r="AG111" s="2122"/>
      <c r="AH111" s="2122"/>
      <c r="AI111" s="2122"/>
      <c r="AJ111" s="2122"/>
      <c r="AK111" s="2122"/>
      <c r="AL111" s="2122"/>
      <c r="AM111" s="2122"/>
      <c r="AN111" s="2122"/>
      <c r="AO111" s="2122"/>
      <c r="AP111" s="2122"/>
      <c r="AQ111" s="2122"/>
      <c r="AR111" s="2122"/>
      <c r="AS111" s="2122"/>
      <c r="AT111" s="2122"/>
      <c r="AU111" s="2122"/>
      <c r="AV111" s="2122"/>
      <c r="AW111" s="2122"/>
      <c r="AX111" s="2122"/>
      <c r="AY111" s="2122"/>
      <c r="AZ111" s="2122"/>
      <c r="BA111" s="2122"/>
      <c r="BB111" s="2122"/>
      <c r="BC111" s="2122"/>
      <c r="BD111" s="2122"/>
      <c r="BE111" s="2122"/>
      <c r="BF111" s="2122"/>
      <c r="BG111" s="2122"/>
      <c r="BH111" s="2122"/>
      <c r="BI111" s="2122"/>
      <c r="BJ111" s="2122"/>
      <c r="BK111" s="2122"/>
      <c r="BL111" s="2122"/>
      <c r="BM111" s="2122"/>
      <c r="BN111" s="2122"/>
      <c r="BO111" s="2122"/>
      <c r="BP111" s="2122"/>
      <c r="BQ111" s="2122"/>
      <c r="BR111" s="2122"/>
      <c r="BS111" s="2122"/>
      <c r="BT111" s="2122"/>
      <c r="BU111" s="2122"/>
      <c r="BV111" s="2122"/>
      <c r="BW111" s="2122"/>
      <c r="BX111" s="2122"/>
      <c r="BY111" s="2122"/>
      <c r="BZ111" s="2122"/>
      <c r="CA111" s="2122"/>
      <c r="CB111" s="2122"/>
      <c r="CC111" s="2122"/>
      <c r="CD111" s="2122"/>
      <c r="CE111" s="2122"/>
      <c r="CF111" s="2122"/>
      <c r="CG111" s="2122"/>
      <c r="CH111" s="2122"/>
      <c r="CI111" s="2122"/>
      <c r="CJ111" s="2122"/>
      <c r="CK111" s="2122"/>
      <c r="CL111" s="2122"/>
      <c r="CM111" s="2122"/>
      <c r="CN111" s="2122"/>
      <c r="CO111" s="2122"/>
      <c r="CP111" s="2122"/>
      <c r="CQ111" s="2122"/>
      <c r="CR111" s="2122"/>
      <c r="CS111" s="2122"/>
      <c r="CT111" s="2122"/>
      <c r="CU111" s="2122"/>
      <c r="CV111" s="2122"/>
      <c r="CW111" s="2122"/>
      <c r="CX111" s="2122"/>
      <c r="CY111" s="2122"/>
      <c r="CZ111" s="2122"/>
      <c r="DA111" s="2122"/>
      <c r="DB111" s="2122"/>
      <c r="DC111" s="2122"/>
      <c r="DD111" s="2122"/>
      <c r="DE111" s="2122"/>
      <c r="DF111" s="2122"/>
      <c r="DG111" s="2122"/>
      <c r="DH111" s="2122"/>
      <c r="DI111" s="2122"/>
      <c r="DJ111" s="2122"/>
      <c r="DK111" s="2122"/>
      <c r="DL111" s="2122"/>
      <c r="DM111" s="2122"/>
      <c r="DN111" s="2122"/>
      <c r="DO111" s="2122"/>
      <c r="DP111" s="2122"/>
      <c r="DQ111" s="2122"/>
      <c r="DR111" s="2122"/>
      <c r="DS111" s="2122"/>
      <c r="DT111" s="2122"/>
      <c r="DU111" s="2122"/>
      <c r="DV111" s="2122"/>
      <c r="DW111" s="2122"/>
    </row>
    <row r="112" spans="1:127" s="2197" customFormat="1" ht="51" customHeight="1">
      <c r="A112" s="3767"/>
      <c r="B112" s="1851" t="str">
        <f t="shared" si="3"/>
        <v>2200001879</v>
      </c>
      <c r="C112" s="1851" t="s">
        <v>3460</v>
      </c>
      <c r="D112" s="2454"/>
      <c r="E112" s="2118"/>
      <c r="F112" s="1872" t="s">
        <v>61</v>
      </c>
      <c r="G112" s="2120"/>
      <c r="H112" s="2118"/>
      <c r="I112" s="1947" t="s">
        <v>19</v>
      </c>
      <c r="J112" s="1851" t="s">
        <v>101</v>
      </c>
      <c r="K112" s="1497" t="s">
        <v>6923</v>
      </c>
      <c r="L112" s="2361">
        <v>840</v>
      </c>
      <c r="M112" s="2295" t="s">
        <v>5937</v>
      </c>
      <c r="N112" s="2277" t="s">
        <v>6924</v>
      </c>
      <c r="O112" s="2102">
        <v>2</v>
      </c>
      <c r="P112" s="1945"/>
      <c r="Q112" s="1883"/>
      <c r="R112" s="1883"/>
      <c r="S112" s="1883"/>
      <c r="T112" s="1883"/>
      <c r="U112" s="1883"/>
      <c r="V112" s="1883"/>
      <c r="W112" s="1883"/>
      <c r="X112" s="1883"/>
      <c r="Y112" s="1883"/>
      <c r="Z112" s="1883"/>
      <c r="AA112" s="1883"/>
      <c r="AB112" s="1883"/>
      <c r="AC112" s="1883"/>
      <c r="AD112" s="1883"/>
      <c r="AE112" s="1883"/>
      <c r="AF112" s="1883"/>
      <c r="AG112" s="1883"/>
      <c r="AH112" s="1883"/>
      <c r="AI112" s="1883"/>
      <c r="AJ112" s="1883"/>
      <c r="AK112" s="1883"/>
      <c r="AL112" s="1883"/>
      <c r="AM112" s="1883"/>
      <c r="AN112" s="1883"/>
      <c r="AO112" s="1883"/>
      <c r="AP112" s="1883"/>
      <c r="AQ112" s="1883"/>
      <c r="AR112" s="1883"/>
      <c r="AS112" s="1883"/>
      <c r="AT112" s="1883"/>
      <c r="AU112" s="1883"/>
      <c r="AV112" s="1883"/>
      <c r="AW112" s="1883"/>
      <c r="AX112" s="1883"/>
      <c r="AY112" s="1883"/>
      <c r="AZ112" s="1883"/>
      <c r="BA112" s="1883"/>
      <c r="BB112" s="1883"/>
      <c r="BC112" s="1883"/>
      <c r="BD112" s="1883"/>
      <c r="BE112" s="1883"/>
      <c r="BF112" s="1883"/>
      <c r="BG112" s="1883"/>
      <c r="BH112" s="1883"/>
      <c r="BI112" s="1883"/>
      <c r="BJ112" s="1883"/>
      <c r="BK112" s="1883"/>
      <c r="BL112" s="1883"/>
      <c r="BM112" s="1883"/>
      <c r="BN112" s="1883"/>
      <c r="BO112" s="1883"/>
      <c r="BP112" s="1883"/>
      <c r="BQ112" s="1883"/>
      <c r="BR112" s="1883"/>
      <c r="BS112" s="1883"/>
      <c r="BT112" s="1883"/>
      <c r="BU112" s="1883"/>
      <c r="BV112" s="1883"/>
      <c r="BW112" s="1883"/>
      <c r="BX112" s="1883"/>
      <c r="BY112" s="1883"/>
      <c r="BZ112" s="1883"/>
      <c r="CA112" s="1883"/>
      <c r="CB112" s="1883"/>
      <c r="CC112" s="1883"/>
      <c r="CD112" s="1883"/>
      <c r="CE112" s="1883"/>
      <c r="CF112" s="1883"/>
      <c r="CG112" s="1883"/>
      <c r="CH112" s="1883"/>
      <c r="CI112" s="1883"/>
      <c r="CJ112" s="1883"/>
      <c r="CK112" s="1883"/>
      <c r="CL112" s="1883"/>
      <c r="CM112" s="1883"/>
      <c r="CN112" s="1883"/>
      <c r="CO112" s="1883"/>
      <c r="CP112" s="1883"/>
      <c r="CQ112" s="1883"/>
      <c r="CR112" s="1883"/>
      <c r="CS112" s="1883"/>
      <c r="CT112" s="1883"/>
      <c r="CU112" s="1883"/>
      <c r="CV112" s="1883"/>
      <c r="CW112" s="1883"/>
      <c r="CX112" s="1883"/>
      <c r="CY112" s="1883"/>
      <c r="CZ112" s="1883"/>
      <c r="DA112" s="1883"/>
      <c r="DB112" s="1883"/>
      <c r="DC112" s="1883"/>
      <c r="DD112" s="1883"/>
      <c r="DE112" s="1883"/>
      <c r="DF112" s="1883"/>
      <c r="DG112" s="1883"/>
      <c r="DH112" s="1883"/>
      <c r="DI112" s="1883"/>
      <c r="DJ112" s="1883"/>
      <c r="DK112" s="1883"/>
      <c r="DL112" s="1883"/>
      <c r="DM112" s="1883"/>
      <c r="DN112" s="1883"/>
      <c r="DO112" s="1883"/>
      <c r="DP112" s="1883"/>
      <c r="DQ112" s="1883"/>
      <c r="DR112" s="1883"/>
      <c r="DS112" s="1883"/>
      <c r="DT112" s="1883"/>
      <c r="DU112" s="1883"/>
      <c r="DV112" s="1883"/>
      <c r="DW112" s="1883"/>
    </row>
    <row r="113" spans="1:127" s="2197" customFormat="1" ht="51" customHeight="1">
      <c r="A113" s="3767"/>
      <c r="B113" s="1851" t="str">
        <f t="shared" si="3"/>
        <v>2200001891</v>
      </c>
      <c r="C113" s="1851" t="s">
        <v>3460</v>
      </c>
      <c r="D113" s="2454"/>
      <c r="E113" s="1851"/>
      <c r="F113" s="1872" t="s">
        <v>61</v>
      </c>
      <c r="G113" s="1495"/>
      <c r="H113" s="2025"/>
      <c r="I113" s="1495" t="s">
        <v>19</v>
      </c>
      <c r="J113" s="1495" t="s">
        <v>101</v>
      </c>
      <c r="K113" s="1886" t="s">
        <v>6925</v>
      </c>
      <c r="L113" s="2266">
        <v>786</v>
      </c>
      <c r="M113" s="2030" t="s">
        <v>6926</v>
      </c>
      <c r="N113" s="2131"/>
      <c r="O113" s="2102">
        <v>2</v>
      </c>
      <c r="P113" s="1548"/>
      <c r="Q113" s="1982"/>
      <c r="R113" s="1883"/>
      <c r="S113" s="1883"/>
      <c r="T113" s="1883"/>
      <c r="U113" s="1883"/>
      <c r="V113" s="1883"/>
      <c r="W113" s="1883"/>
      <c r="X113" s="1883"/>
      <c r="Y113" s="1883"/>
      <c r="Z113" s="1883"/>
      <c r="AA113" s="1883"/>
      <c r="AB113" s="1883"/>
      <c r="AC113" s="1883"/>
      <c r="AD113" s="1883"/>
      <c r="AE113" s="1883"/>
      <c r="AF113" s="1883"/>
      <c r="AG113" s="1883"/>
      <c r="AH113" s="1883"/>
      <c r="AI113" s="1883"/>
      <c r="AJ113" s="1883"/>
      <c r="AK113" s="1883"/>
      <c r="AL113" s="1883"/>
      <c r="AM113" s="1883"/>
      <c r="AN113" s="1883"/>
      <c r="AO113" s="1883"/>
      <c r="AP113" s="1883"/>
      <c r="AQ113" s="1883"/>
      <c r="AR113" s="1883"/>
      <c r="AS113" s="1883"/>
      <c r="AT113" s="1883"/>
      <c r="AU113" s="1883"/>
      <c r="AV113" s="1883"/>
      <c r="AW113" s="1883"/>
      <c r="AX113" s="1883"/>
      <c r="AY113" s="1883"/>
      <c r="AZ113" s="1883"/>
      <c r="BA113" s="1883"/>
      <c r="BB113" s="1883"/>
      <c r="BC113" s="1883"/>
      <c r="BD113" s="1883"/>
      <c r="BE113" s="1883"/>
      <c r="BF113" s="1883"/>
      <c r="BG113" s="1883"/>
      <c r="BH113" s="1883"/>
      <c r="BI113" s="1883"/>
      <c r="BJ113" s="1883"/>
      <c r="BK113" s="1883"/>
      <c r="BL113" s="1883"/>
      <c r="BM113" s="1883"/>
      <c r="BN113" s="1883"/>
      <c r="BO113" s="1883"/>
      <c r="BP113" s="1883"/>
      <c r="BQ113" s="1883"/>
      <c r="BR113" s="1883"/>
      <c r="BS113" s="1883"/>
      <c r="BT113" s="1883"/>
      <c r="BU113" s="1883"/>
      <c r="BV113" s="1883"/>
      <c r="BW113" s="1883"/>
      <c r="BX113" s="1883"/>
      <c r="BY113" s="1883"/>
      <c r="BZ113" s="1883"/>
      <c r="CA113" s="1883"/>
      <c r="CB113" s="1883"/>
      <c r="CC113" s="1883"/>
      <c r="CD113" s="1883"/>
      <c r="CE113" s="1883"/>
      <c r="CF113" s="1883"/>
      <c r="CG113" s="1883"/>
      <c r="CH113" s="1883"/>
      <c r="CI113" s="1883"/>
      <c r="CJ113" s="1883"/>
      <c r="CK113" s="1883"/>
      <c r="CL113" s="1883"/>
      <c r="CM113" s="1883"/>
      <c r="CN113" s="1883"/>
      <c r="CO113" s="1883"/>
      <c r="CP113" s="1883"/>
      <c r="CQ113" s="1883"/>
      <c r="CR113" s="1883"/>
      <c r="CS113" s="1883"/>
      <c r="CT113" s="1883"/>
      <c r="CU113" s="1883"/>
      <c r="CV113" s="1883"/>
      <c r="CW113" s="1883"/>
      <c r="CX113" s="1883"/>
      <c r="CY113" s="1883"/>
      <c r="CZ113" s="1883"/>
      <c r="DA113" s="1883"/>
      <c r="DB113" s="1883"/>
      <c r="DC113" s="1883"/>
      <c r="DD113" s="1883"/>
      <c r="DE113" s="1883"/>
      <c r="DF113" s="1883"/>
      <c r="DG113" s="1883"/>
      <c r="DH113" s="1883"/>
      <c r="DI113" s="1883"/>
      <c r="DJ113" s="1883"/>
      <c r="DK113" s="1883"/>
      <c r="DL113" s="1883"/>
      <c r="DM113" s="1883"/>
      <c r="DN113" s="1883"/>
      <c r="DO113" s="1883"/>
      <c r="DP113" s="1883"/>
      <c r="DQ113" s="1883"/>
      <c r="DR113" s="1883"/>
      <c r="DS113" s="1883"/>
      <c r="DT113" s="1883"/>
      <c r="DU113" s="1883"/>
      <c r="DV113" s="1883"/>
      <c r="DW113" s="1883"/>
    </row>
    <row r="114" spans="1:127" s="2197" customFormat="1" ht="51" customHeight="1">
      <c r="A114" s="3767"/>
      <c r="B114" s="1875" t="str">
        <f t="shared" si="3"/>
        <v>2200001886</v>
      </c>
      <c r="C114" s="1875" t="s">
        <v>3460</v>
      </c>
      <c r="D114" s="2465"/>
      <c r="E114" s="1875"/>
      <c r="F114" s="2028" t="s">
        <v>61</v>
      </c>
      <c r="G114" s="1543"/>
      <c r="H114" s="1946"/>
      <c r="I114" s="2362" t="s">
        <v>19</v>
      </c>
      <c r="J114" s="2028" t="s">
        <v>101</v>
      </c>
      <c r="K114" s="1546" t="s">
        <v>6927</v>
      </c>
      <c r="L114" s="2363">
        <v>1368</v>
      </c>
      <c r="M114" s="2036" t="s">
        <v>6928</v>
      </c>
      <c r="N114" s="2364"/>
      <c r="O114" s="2053">
        <v>2</v>
      </c>
      <c r="P114" s="1559"/>
      <c r="Q114" s="1985"/>
      <c r="R114" s="1945"/>
      <c r="S114" s="1945"/>
      <c r="T114" s="1945"/>
      <c r="U114" s="1945"/>
      <c r="V114" s="1945"/>
      <c r="W114" s="1945"/>
      <c r="X114" s="1945"/>
      <c r="Y114" s="1945"/>
      <c r="Z114" s="1945"/>
      <c r="AA114" s="1945"/>
      <c r="AB114" s="1945"/>
      <c r="AC114" s="1945"/>
      <c r="AD114" s="1945"/>
      <c r="AE114" s="1945"/>
      <c r="AF114" s="1945"/>
      <c r="AG114" s="1945"/>
      <c r="AH114" s="1945"/>
      <c r="AI114" s="1945"/>
      <c r="AJ114" s="1945"/>
      <c r="AK114" s="1945"/>
      <c r="AL114" s="1945"/>
      <c r="AM114" s="1945"/>
      <c r="AN114" s="1945"/>
      <c r="AO114" s="1945"/>
      <c r="AP114" s="1945"/>
      <c r="AQ114" s="1945"/>
      <c r="AR114" s="1945"/>
      <c r="AS114" s="1945"/>
      <c r="AT114" s="1945"/>
      <c r="AU114" s="1945"/>
      <c r="AV114" s="1945"/>
      <c r="AW114" s="1945"/>
      <c r="AX114" s="1945"/>
      <c r="AY114" s="1945"/>
      <c r="AZ114" s="1945"/>
      <c r="BA114" s="1945"/>
      <c r="BB114" s="1945"/>
      <c r="BC114" s="1945"/>
      <c r="BD114" s="1945"/>
      <c r="BE114" s="1945"/>
      <c r="BF114" s="1945"/>
      <c r="BG114" s="1945"/>
      <c r="BH114" s="1945"/>
      <c r="BI114" s="1945"/>
      <c r="BJ114" s="1945"/>
      <c r="BK114" s="1945"/>
      <c r="BL114" s="1945"/>
      <c r="BM114" s="1945"/>
      <c r="BN114" s="1945"/>
      <c r="BO114" s="1945"/>
      <c r="BP114" s="1945"/>
      <c r="BQ114" s="1945"/>
      <c r="BR114" s="1945"/>
      <c r="BS114" s="1945"/>
      <c r="BT114" s="1945"/>
      <c r="BU114" s="1945"/>
      <c r="BV114" s="1945"/>
      <c r="BW114" s="1945"/>
      <c r="BX114" s="1945"/>
      <c r="BY114" s="1945"/>
      <c r="BZ114" s="1945"/>
      <c r="CA114" s="1945"/>
      <c r="CB114" s="1945"/>
      <c r="CC114" s="1945"/>
      <c r="CD114" s="1945"/>
      <c r="CE114" s="1945"/>
      <c r="CF114" s="1945"/>
      <c r="CG114" s="1945"/>
      <c r="CH114" s="1945"/>
      <c r="CI114" s="1945"/>
      <c r="CJ114" s="1945"/>
      <c r="CK114" s="1945"/>
      <c r="CL114" s="1945"/>
      <c r="CM114" s="1945"/>
      <c r="CN114" s="1945"/>
      <c r="CO114" s="1945"/>
      <c r="CP114" s="1945"/>
      <c r="CQ114" s="1945"/>
      <c r="CR114" s="1945"/>
      <c r="CS114" s="1945"/>
      <c r="CT114" s="1945"/>
      <c r="CU114" s="1945"/>
      <c r="CV114" s="1945"/>
      <c r="CW114" s="1945"/>
      <c r="CX114" s="1945"/>
      <c r="CY114" s="1945"/>
      <c r="CZ114" s="1945"/>
      <c r="DA114" s="1945"/>
      <c r="DB114" s="1945"/>
      <c r="DC114" s="1945"/>
      <c r="DD114" s="1945"/>
      <c r="DE114" s="1945"/>
      <c r="DF114" s="1945"/>
      <c r="DG114" s="1945"/>
      <c r="DH114" s="1945"/>
      <c r="DI114" s="1945"/>
      <c r="DJ114" s="1945"/>
      <c r="DK114" s="1945"/>
      <c r="DL114" s="1945"/>
      <c r="DM114" s="1945"/>
      <c r="DN114" s="1945"/>
      <c r="DO114" s="1945"/>
      <c r="DP114" s="1945"/>
      <c r="DQ114" s="1945"/>
      <c r="DR114" s="1945"/>
      <c r="DS114" s="1945"/>
      <c r="DT114" s="1945"/>
      <c r="DU114" s="1945"/>
      <c r="DV114" s="1945"/>
      <c r="DW114" s="1945"/>
    </row>
    <row r="115" spans="1:127" s="1770" customFormat="1" ht="60.75" customHeight="1">
      <c r="A115" s="3768"/>
      <c r="B115" s="1495" t="str">
        <f t="shared" si="3"/>
        <v>2200001870</v>
      </c>
      <c r="C115" s="1495" t="s">
        <v>3460</v>
      </c>
      <c r="D115" s="2463"/>
      <c r="E115" s="1495"/>
      <c r="F115" s="1495" t="s">
        <v>61</v>
      </c>
      <c r="G115" s="1495"/>
      <c r="H115" s="1495"/>
      <c r="I115" s="1495" t="s">
        <v>19</v>
      </c>
      <c r="J115" s="1495" t="s">
        <v>101</v>
      </c>
      <c r="K115" s="1496" t="s">
        <v>6929</v>
      </c>
      <c r="L115" s="2325">
        <v>500</v>
      </c>
      <c r="M115" s="1748" t="s">
        <v>5454</v>
      </c>
      <c r="N115" s="1843"/>
      <c r="O115" s="1748">
        <v>2</v>
      </c>
      <c r="P115" s="1548"/>
      <c r="Q115" s="1548"/>
      <c r="R115" s="1548"/>
      <c r="S115" s="1548"/>
      <c r="T115" s="1548"/>
      <c r="U115" s="1548"/>
      <c r="V115" s="1548"/>
      <c r="W115" s="1548"/>
      <c r="X115" s="1548"/>
      <c r="Y115" s="1548"/>
      <c r="Z115" s="1548"/>
      <c r="AA115" s="1548"/>
      <c r="AB115" s="1548"/>
      <c r="AC115" s="1548"/>
      <c r="AD115" s="1548"/>
      <c r="AE115" s="1548"/>
      <c r="AF115" s="1548"/>
      <c r="AG115" s="1548"/>
      <c r="AH115" s="1548"/>
      <c r="AI115" s="1548"/>
      <c r="AJ115" s="1548"/>
      <c r="AK115" s="1548"/>
      <c r="AL115" s="1548"/>
      <c r="AM115" s="1548"/>
      <c r="AN115" s="1548"/>
      <c r="AO115" s="1548"/>
      <c r="AP115" s="1548"/>
      <c r="AQ115" s="1548"/>
      <c r="AR115" s="1548"/>
      <c r="AS115" s="1548"/>
      <c r="AT115" s="1548"/>
      <c r="AU115" s="1548"/>
      <c r="AV115" s="1548"/>
      <c r="AW115" s="1548"/>
      <c r="AX115" s="1548"/>
      <c r="AY115" s="1548"/>
      <c r="AZ115" s="1548"/>
      <c r="BA115" s="1548"/>
      <c r="BB115" s="1548"/>
      <c r="BC115" s="1548"/>
      <c r="BD115" s="1548"/>
      <c r="BE115" s="1548"/>
      <c r="BF115" s="1548"/>
      <c r="BG115" s="1548"/>
      <c r="BH115" s="1548"/>
      <c r="BI115" s="1548"/>
      <c r="BJ115" s="1548"/>
      <c r="BK115" s="1548"/>
      <c r="BL115" s="1548"/>
      <c r="BM115" s="1548"/>
      <c r="BN115" s="1548"/>
      <c r="BO115" s="1548"/>
      <c r="BP115" s="1548"/>
      <c r="BQ115" s="1548"/>
      <c r="BR115" s="1548"/>
      <c r="BS115" s="1548"/>
      <c r="BT115" s="1548"/>
      <c r="BU115" s="1548"/>
      <c r="BV115" s="1548"/>
      <c r="BW115" s="1548"/>
      <c r="BX115" s="1548"/>
      <c r="BY115" s="1548"/>
      <c r="BZ115" s="1548"/>
      <c r="CA115" s="1548"/>
      <c r="CB115" s="1548"/>
      <c r="CC115" s="1548"/>
      <c r="CD115" s="1548"/>
      <c r="CE115" s="1548"/>
      <c r="CF115" s="1548"/>
      <c r="CG115" s="1548"/>
      <c r="CH115" s="1548"/>
      <c r="CI115" s="1548"/>
      <c r="CJ115" s="1548"/>
      <c r="CK115" s="1548"/>
      <c r="CL115" s="1548"/>
      <c r="CM115" s="1548"/>
      <c r="CN115" s="1548"/>
      <c r="CO115" s="1548"/>
      <c r="CP115" s="1548"/>
      <c r="CQ115" s="1548"/>
      <c r="CR115" s="1548"/>
      <c r="CS115" s="1548"/>
      <c r="CT115" s="1548"/>
      <c r="CU115" s="1548"/>
      <c r="CV115" s="1548"/>
      <c r="CW115" s="1548"/>
      <c r="CX115" s="1548"/>
      <c r="CY115" s="1548"/>
      <c r="CZ115" s="1548"/>
      <c r="DA115" s="1548"/>
      <c r="DB115" s="1548"/>
      <c r="DC115" s="1548"/>
      <c r="DD115" s="1548"/>
      <c r="DE115" s="1548"/>
      <c r="DF115" s="1548"/>
      <c r="DG115" s="1548"/>
      <c r="DH115" s="1548"/>
      <c r="DI115" s="1548"/>
      <c r="DJ115" s="1548"/>
      <c r="DK115" s="1548"/>
      <c r="DL115" s="1548"/>
      <c r="DM115" s="1548"/>
      <c r="DN115" s="1548"/>
      <c r="DO115" s="1548"/>
      <c r="DP115" s="1548"/>
      <c r="DQ115" s="1548"/>
      <c r="DR115" s="1548"/>
      <c r="DS115" s="1548"/>
      <c r="DT115" s="1548"/>
      <c r="DU115" s="1548"/>
      <c r="DV115" s="1548"/>
      <c r="DW115" s="1548"/>
    </row>
    <row r="116" spans="1:127" s="2033" customFormat="1" ht="99.75" customHeight="1">
      <c r="A116" s="2365">
        <v>30</v>
      </c>
      <c r="B116" s="2118" t="str">
        <f t="shared" si="3"/>
        <v>2200001869</v>
      </c>
      <c r="C116" s="2118" t="s">
        <v>6930</v>
      </c>
      <c r="D116" s="2453">
        <v>3270</v>
      </c>
      <c r="E116" s="2118" t="s">
        <v>6931</v>
      </c>
      <c r="F116" s="2159" t="s">
        <v>16</v>
      </c>
      <c r="G116" s="1632" t="s">
        <v>6932</v>
      </c>
      <c r="H116" s="2120" t="s">
        <v>1599</v>
      </c>
      <c r="I116" s="2118" t="s">
        <v>19</v>
      </c>
      <c r="J116" s="2118" t="s">
        <v>234</v>
      </c>
      <c r="K116" s="2694" t="s">
        <v>6933</v>
      </c>
      <c r="L116" s="2366">
        <v>3270</v>
      </c>
      <c r="M116" s="2030" t="s">
        <v>6934</v>
      </c>
      <c r="N116" s="2367" t="s">
        <v>6935</v>
      </c>
      <c r="O116" s="2376">
        <v>2</v>
      </c>
      <c r="P116" s="2324"/>
      <c r="Q116" s="2122"/>
      <c r="R116" s="2122"/>
      <c r="S116" s="2122"/>
      <c r="T116" s="2122"/>
      <c r="U116" s="2122"/>
      <c r="V116" s="2122"/>
      <c r="W116" s="2122"/>
      <c r="X116" s="2122"/>
      <c r="Y116" s="2122"/>
      <c r="Z116" s="2122"/>
      <c r="AA116" s="2122"/>
      <c r="AB116" s="2122"/>
      <c r="AC116" s="2122"/>
      <c r="AD116" s="2122"/>
      <c r="AE116" s="2122"/>
      <c r="AF116" s="2122"/>
      <c r="AG116" s="2122"/>
      <c r="AH116" s="2122"/>
      <c r="AI116" s="2122"/>
      <c r="AJ116" s="2122"/>
      <c r="AK116" s="2122"/>
      <c r="AL116" s="2122"/>
      <c r="AM116" s="2122"/>
      <c r="AN116" s="2122"/>
      <c r="AO116" s="2122"/>
      <c r="AP116" s="2122"/>
      <c r="AQ116" s="2122"/>
      <c r="AR116" s="2122"/>
      <c r="AS116" s="2122"/>
      <c r="AT116" s="2122"/>
      <c r="AU116" s="2122"/>
      <c r="AV116" s="2122"/>
      <c r="AW116" s="2122"/>
      <c r="AX116" s="2122"/>
      <c r="AY116" s="2122"/>
      <c r="AZ116" s="2122"/>
      <c r="BA116" s="2122"/>
      <c r="BB116" s="2122"/>
      <c r="BC116" s="2122"/>
      <c r="BD116" s="2122"/>
      <c r="BE116" s="2122"/>
      <c r="BF116" s="2122"/>
      <c r="BG116" s="2122"/>
      <c r="BH116" s="2122"/>
      <c r="BI116" s="2122"/>
      <c r="BJ116" s="2122"/>
      <c r="BK116" s="2122"/>
      <c r="BL116" s="2122"/>
      <c r="BM116" s="2122"/>
      <c r="BN116" s="2122"/>
      <c r="BO116" s="2122"/>
      <c r="BP116" s="2122"/>
      <c r="BQ116" s="2122"/>
      <c r="BR116" s="2122"/>
      <c r="BS116" s="2122"/>
      <c r="BT116" s="2122"/>
      <c r="BU116" s="2122"/>
      <c r="BV116" s="2122"/>
      <c r="BW116" s="2122"/>
      <c r="BX116" s="2122"/>
      <c r="BY116" s="2122"/>
      <c r="BZ116" s="2122"/>
      <c r="CA116" s="2122"/>
      <c r="CB116" s="2122"/>
      <c r="CC116" s="2122"/>
      <c r="CD116" s="2122"/>
      <c r="CE116" s="2122"/>
      <c r="CF116" s="2122"/>
      <c r="CG116" s="2122"/>
      <c r="CH116" s="2122"/>
      <c r="CI116" s="2122"/>
      <c r="CJ116" s="2122"/>
      <c r="CK116" s="2122"/>
      <c r="CL116" s="2122"/>
      <c r="CM116" s="2122"/>
      <c r="CN116" s="2122"/>
      <c r="CO116" s="2122"/>
      <c r="CP116" s="2122"/>
      <c r="CQ116" s="2122"/>
      <c r="CR116" s="2122"/>
      <c r="CS116" s="2122"/>
      <c r="CT116" s="2122"/>
      <c r="CU116" s="2122"/>
      <c r="CV116" s="2122"/>
      <c r="CW116" s="2122"/>
      <c r="CX116" s="2122"/>
      <c r="CY116" s="2122"/>
      <c r="CZ116" s="2122"/>
      <c r="DA116" s="2122"/>
      <c r="DB116" s="2122"/>
      <c r="DC116" s="2122"/>
      <c r="DD116" s="2122"/>
      <c r="DE116" s="2122"/>
      <c r="DF116" s="2122"/>
      <c r="DG116" s="2122"/>
      <c r="DH116" s="2122"/>
      <c r="DI116" s="2122"/>
      <c r="DJ116" s="2122"/>
      <c r="DK116" s="2122"/>
      <c r="DL116" s="2122"/>
      <c r="DM116" s="2122"/>
      <c r="DN116" s="2122"/>
      <c r="DO116" s="2122"/>
      <c r="DP116" s="2122"/>
      <c r="DQ116" s="2122"/>
      <c r="DR116" s="2122"/>
      <c r="DS116" s="2122"/>
      <c r="DT116" s="2122"/>
      <c r="DU116" s="2122"/>
      <c r="DV116" s="2122"/>
      <c r="DW116" s="2122"/>
    </row>
    <row r="117" spans="1:127" s="2033" customFormat="1" ht="67.5" customHeight="1">
      <c r="A117" s="3773">
        <v>31</v>
      </c>
      <c r="B117" s="2118" t="str">
        <f t="shared" si="3"/>
        <v>2000002697</v>
      </c>
      <c r="C117" s="2118" t="s">
        <v>52</v>
      </c>
      <c r="D117" s="2453">
        <v>4600</v>
      </c>
      <c r="E117" s="2118" t="s">
        <v>6936</v>
      </c>
      <c r="F117" s="2118" t="s">
        <v>16</v>
      </c>
      <c r="G117" s="2118" t="s">
        <v>6937</v>
      </c>
      <c r="H117" s="2118" t="s">
        <v>6317</v>
      </c>
      <c r="I117" s="2118" t="s">
        <v>19</v>
      </c>
      <c r="J117" s="2118" t="s">
        <v>74</v>
      </c>
      <c r="K117" s="2369" t="s">
        <v>6938</v>
      </c>
      <c r="L117" s="2266">
        <v>2612</v>
      </c>
      <c r="M117" s="2326" t="s">
        <v>5937</v>
      </c>
      <c r="N117" s="1862" t="s">
        <v>6874</v>
      </c>
      <c r="O117" s="1939">
        <v>2</v>
      </c>
      <c r="P117" s="1883"/>
      <c r="Q117" s="1883"/>
      <c r="R117" s="1883"/>
      <c r="S117" s="1883"/>
      <c r="T117" s="1883"/>
      <c r="U117" s="1883"/>
      <c r="V117" s="1883"/>
      <c r="W117" s="1883"/>
      <c r="X117" s="1883"/>
      <c r="Y117" s="1883"/>
      <c r="Z117" s="1883"/>
      <c r="AA117" s="1883"/>
      <c r="AB117" s="1883"/>
      <c r="AC117" s="1883"/>
      <c r="AD117" s="1883"/>
      <c r="AE117" s="1883"/>
      <c r="AF117" s="1883"/>
      <c r="AG117" s="1883"/>
      <c r="AH117" s="1883"/>
      <c r="AI117" s="1883"/>
      <c r="AJ117" s="1883"/>
      <c r="AK117" s="1883"/>
      <c r="AL117" s="1883"/>
      <c r="AM117" s="1883"/>
      <c r="AN117" s="1883"/>
      <c r="AO117" s="1883"/>
      <c r="AP117" s="1883"/>
      <c r="AQ117" s="1883"/>
      <c r="AR117" s="1883"/>
      <c r="AS117" s="1883"/>
      <c r="AT117" s="1883"/>
      <c r="AU117" s="1883"/>
      <c r="AV117" s="1883"/>
      <c r="AW117" s="1883"/>
      <c r="AX117" s="1883"/>
      <c r="AY117" s="1883"/>
      <c r="AZ117" s="1883"/>
      <c r="BA117" s="1883"/>
      <c r="BB117" s="1883"/>
      <c r="BC117" s="1883"/>
      <c r="BD117" s="1883"/>
      <c r="BE117" s="1883"/>
      <c r="BF117" s="1883"/>
      <c r="BG117" s="1883"/>
      <c r="BH117" s="1883"/>
      <c r="BI117" s="1883"/>
      <c r="BJ117" s="1883"/>
      <c r="BK117" s="1883"/>
      <c r="BL117" s="1883"/>
      <c r="BM117" s="1883"/>
      <c r="BN117" s="1883"/>
      <c r="BO117" s="1883"/>
      <c r="BP117" s="1883"/>
      <c r="BQ117" s="1883"/>
      <c r="BR117" s="1883"/>
      <c r="BS117" s="1883"/>
      <c r="BT117" s="1883"/>
      <c r="BU117" s="1883"/>
      <c r="BV117" s="1883"/>
      <c r="BW117" s="1883"/>
      <c r="BX117" s="1883"/>
      <c r="BY117" s="1883"/>
      <c r="BZ117" s="1883"/>
      <c r="CA117" s="1883"/>
      <c r="CB117" s="1883"/>
      <c r="CC117" s="1883"/>
      <c r="CD117" s="1883"/>
      <c r="CE117" s="1883"/>
      <c r="CF117" s="1883"/>
      <c r="CG117" s="1883"/>
      <c r="CH117" s="1883"/>
      <c r="CI117" s="1883"/>
      <c r="CJ117" s="1883"/>
      <c r="CK117" s="1883"/>
      <c r="CL117" s="1883"/>
      <c r="CM117" s="1883"/>
      <c r="CN117" s="1883"/>
      <c r="CO117" s="1883"/>
      <c r="CP117" s="1883"/>
      <c r="CQ117" s="1883"/>
      <c r="CR117" s="1883"/>
      <c r="CS117" s="1883"/>
      <c r="CT117" s="1883"/>
      <c r="CU117" s="1883"/>
      <c r="CV117" s="1883"/>
      <c r="CW117" s="1883"/>
      <c r="CX117" s="1883"/>
      <c r="CY117" s="1883"/>
      <c r="CZ117" s="1883"/>
      <c r="DA117" s="1883"/>
      <c r="DB117" s="1883"/>
      <c r="DC117" s="1883"/>
      <c r="DD117" s="1883"/>
      <c r="DE117" s="1883"/>
      <c r="DF117" s="1883"/>
      <c r="DG117" s="1883"/>
      <c r="DH117" s="1883"/>
      <c r="DI117" s="1883"/>
      <c r="DJ117" s="1883"/>
      <c r="DK117" s="1883"/>
      <c r="DL117" s="1883"/>
      <c r="DM117" s="1883"/>
      <c r="DN117" s="1883"/>
      <c r="DO117" s="1883"/>
      <c r="DP117" s="1883"/>
      <c r="DQ117" s="1883"/>
      <c r="DR117" s="1883"/>
      <c r="DS117" s="1883"/>
      <c r="DT117" s="1883"/>
      <c r="DU117" s="1883"/>
      <c r="DV117" s="1883"/>
      <c r="DW117" s="1883"/>
    </row>
    <row r="118" spans="1:127" s="2033" customFormat="1" ht="67.5" customHeight="1">
      <c r="A118" s="3768"/>
      <c r="B118" s="1495" t="str">
        <f t="shared" si="3"/>
        <v>2000002698</v>
      </c>
      <c r="C118" s="1495" t="s">
        <v>52</v>
      </c>
      <c r="D118" s="2463"/>
      <c r="E118" s="1495"/>
      <c r="F118" s="1495" t="s">
        <v>16</v>
      </c>
      <c r="G118" s="1921"/>
      <c r="H118" s="1921"/>
      <c r="I118" s="1495" t="s">
        <v>19</v>
      </c>
      <c r="J118" s="1495" t="s">
        <v>74</v>
      </c>
      <c r="K118" s="1600" t="s">
        <v>6939</v>
      </c>
      <c r="L118" s="2372">
        <v>1987</v>
      </c>
      <c r="M118" s="2295" t="s">
        <v>6888</v>
      </c>
      <c r="N118" s="1862" t="s">
        <v>6874</v>
      </c>
      <c r="O118" s="1939">
        <v>2</v>
      </c>
      <c r="P118" s="1548"/>
      <c r="Q118" s="1548"/>
      <c r="R118" s="1548"/>
      <c r="S118" s="1548"/>
      <c r="T118" s="1548"/>
      <c r="U118" s="1548"/>
      <c r="V118" s="1548"/>
      <c r="W118" s="1548"/>
      <c r="X118" s="1548"/>
      <c r="Y118" s="1548"/>
      <c r="Z118" s="1548"/>
      <c r="AA118" s="1548"/>
      <c r="AB118" s="1548"/>
      <c r="AC118" s="1548"/>
      <c r="AD118" s="1548"/>
      <c r="AE118" s="1548"/>
      <c r="AF118" s="1548"/>
      <c r="AG118" s="1548"/>
      <c r="AH118" s="1548"/>
      <c r="AI118" s="1548"/>
      <c r="AJ118" s="1548"/>
      <c r="AK118" s="1548"/>
      <c r="AL118" s="1548"/>
      <c r="AM118" s="1548"/>
      <c r="AN118" s="1548"/>
      <c r="AO118" s="1548"/>
      <c r="AP118" s="1548"/>
      <c r="AQ118" s="1548"/>
      <c r="AR118" s="1548"/>
      <c r="AS118" s="1548"/>
      <c r="AT118" s="1548"/>
      <c r="AU118" s="1548"/>
      <c r="AV118" s="1548"/>
      <c r="AW118" s="1548"/>
      <c r="AX118" s="1548"/>
      <c r="AY118" s="1548"/>
      <c r="AZ118" s="1548"/>
      <c r="BA118" s="1548"/>
      <c r="BB118" s="1548"/>
      <c r="BC118" s="1548"/>
      <c r="BD118" s="1548"/>
      <c r="BE118" s="1548"/>
      <c r="BF118" s="1548"/>
      <c r="BG118" s="1548"/>
      <c r="BH118" s="1548"/>
      <c r="BI118" s="1548"/>
      <c r="BJ118" s="1548"/>
      <c r="BK118" s="1548"/>
      <c r="BL118" s="1548"/>
      <c r="BM118" s="1548"/>
      <c r="BN118" s="1548"/>
      <c r="BO118" s="1548"/>
      <c r="BP118" s="1548"/>
      <c r="BQ118" s="1548"/>
      <c r="BR118" s="1548"/>
      <c r="BS118" s="1548"/>
      <c r="BT118" s="1548"/>
      <c r="BU118" s="1548"/>
      <c r="BV118" s="1548"/>
      <c r="BW118" s="1548"/>
      <c r="BX118" s="1548"/>
      <c r="BY118" s="1548"/>
      <c r="BZ118" s="1548"/>
      <c r="CA118" s="1548"/>
      <c r="CB118" s="1548"/>
      <c r="CC118" s="1548"/>
      <c r="CD118" s="1548"/>
      <c r="CE118" s="1548"/>
      <c r="CF118" s="1548"/>
      <c r="CG118" s="1548"/>
      <c r="CH118" s="1548"/>
      <c r="CI118" s="1548"/>
      <c r="CJ118" s="1548"/>
      <c r="CK118" s="1548"/>
      <c r="CL118" s="1548"/>
      <c r="CM118" s="1548"/>
      <c r="CN118" s="1548"/>
      <c r="CO118" s="1548"/>
      <c r="CP118" s="1548"/>
      <c r="CQ118" s="1548"/>
      <c r="CR118" s="1548"/>
      <c r="CS118" s="1548"/>
      <c r="CT118" s="1548"/>
      <c r="CU118" s="1548"/>
      <c r="CV118" s="1548"/>
      <c r="CW118" s="1548"/>
      <c r="CX118" s="1548"/>
      <c r="CY118" s="1548"/>
      <c r="CZ118" s="1548"/>
      <c r="DA118" s="1548"/>
      <c r="DB118" s="1548"/>
      <c r="DC118" s="1548"/>
      <c r="DD118" s="1548"/>
      <c r="DE118" s="1548"/>
      <c r="DF118" s="1548"/>
      <c r="DG118" s="1548"/>
      <c r="DH118" s="1548"/>
      <c r="DI118" s="1548"/>
      <c r="DJ118" s="1548"/>
      <c r="DK118" s="1548"/>
      <c r="DL118" s="1548"/>
      <c r="DM118" s="1548"/>
      <c r="DN118" s="1548"/>
      <c r="DO118" s="1548"/>
      <c r="DP118" s="1548"/>
      <c r="DQ118" s="1548"/>
      <c r="DR118" s="1548"/>
      <c r="DS118" s="1548"/>
      <c r="DT118" s="1548"/>
      <c r="DU118" s="1548"/>
      <c r="DV118" s="1548"/>
      <c r="DW118" s="1548"/>
    </row>
    <row r="119" spans="1:127" s="2033" customFormat="1" ht="67.5" customHeight="1">
      <c r="A119" s="2165">
        <v>32</v>
      </c>
      <c r="B119" s="2187" t="str">
        <f t="shared" si="3"/>
        <v>2000002691</v>
      </c>
      <c r="C119" s="2187" t="s">
        <v>211</v>
      </c>
      <c r="D119" s="2462">
        <v>4000</v>
      </c>
      <c r="E119" s="2184" t="s">
        <v>6940</v>
      </c>
      <c r="F119" s="2186" t="s">
        <v>61</v>
      </c>
      <c r="G119" s="2370" t="s">
        <v>6941</v>
      </c>
      <c r="H119" s="2187" t="s">
        <v>6317</v>
      </c>
      <c r="I119" s="2371" t="s">
        <v>19</v>
      </c>
      <c r="J119" s="2186" t="s">
        <v>6942</v>
      </c>
      <c r="K119" s="2188" t="s">
        <v>6943</v>
      </c>
      <c r="L119" s="2352">
        <v>4000</v>
      </c>
      <c r="M119" s="2378" t="s">
        <v>5937</v>
      </c>
      <c r="N119" s="1843" t="s">
        <v>6874</v>
      </c>
      <c r="O119" s="1748">
        <v>2</v>
      </c>
      <c r="P119" s="2122"/>
      <c r="Q119" s="2122"/>
      <c r="R119" s="2122"/>
      <c r="S119" s="2122"/>
      <c r="T119" s="2122"/>
      <c r="U119" s="2122"/>
      <c r="V119" s="2122"/>
      <c r="W119" s="2122"/>
      <c r="X119" s="2122"/>
      <c r="Y119" s="2122"/>
      <c r="Z119" s="2122"/>
      <c r="AA119" s="2122"/>
      <c r="AB119" s="2122"/>
      <c r="AC119" s="2122"/>
      <c r="AD119" s="2122"/>
      <c r="AE119" s="2122"/>
      <c r="AF119" s="2122"/>
      <c r="AG119" s="2122"/>
      <c r="AH119" s="2122"/>
      <c r="AI119" s="2122"/>
      <c r="AJ119" s="2122"/>
      <c r="AK119" s="2122"/>
      <c r="AL119" s="2122"/>
      <c r="AM119" s="2122"/>
      <c r="AN119" s="2122"/>
      <c r="AO119" s="2122"/>
      <c r="AP119" s="2122"/>
      <c r="AQ119" s="2122"/>
      <c r="AR119" s="2122"/>
      <c r="AS119" s="2122"/>
      <c r="AT119" s="2122"/>
      <c r="AU119" s="2122"/>
      <c r="AV119" s="2122"/>
      <c r="AW119" s="2122"/>
      <c r="AX119" s="2122"/>
      <c r="AY119" s="2122"/>
      <c r="AZ119" s="2122"/>
      <c r="BA119" s="2122"/>
      <c r="BB119" s="2122"/>
      <c r="BC119" s="2122"/>
      <c r="BD119" s="2122"/>
      <c r="BE119" s="2122"/>
      <c r="BF119" s="2122"/>
      <c r="BG119" s="2122"/>
      <c r="BH119" s="2122"/>
      <c r="BI119" s="2122"/>
      <c r="BJ119" s="2122"/>
      <c r="BK119" s="2122"/>
      <c r="BL119" s="2122"/>
      <c r="BM119" s="2122"/>
      <c r="BN119" s="2122"/>
      <c r="BO119" s="2122"/>
      <c r="BP119" s="2122"/>
      <c r="BQ119" s="2122"/>
      <c r="BR119" s="2122"/>
      <c r="BS119" s="2122"/>
      <c r="BT119" s="2122"/>
      <c r="BU119" s="2122"/>
      <c r="BV119" s="2122"/>
      <c r="BW119" s="2122"/>
      <c r="BX119" s="2122"/>
      <c r="BY119" s="2122"/>
      <c r="BZ119" s="2122"/>
      <c r="CA119" s="2122"/>
      <c r="CB119" s="2122"/>
      <c r="CC119" s="2122"/>
      <c r="CD119" s="2122"/>
      <c r="CE119" s="2122"/>
      <c r="CF119" s="2122"/>
      <c r="CG119" s="2122"/>
      <c r="CH119" s="2122"/>
      <c r="CI119" s="2122"/>
      <c r="CJ119" s="2122"/>
      <c r="CK119" s="2122"/>
      <c r="CL119" s="2122"/>
      <c r="CM119" s="2122"/>
      <c r="CN119" s="2122"/>
      <c r="CO119" s="2122"/>
      <c r="CP119" s="2122"/>
      <c r="CQ119" s="2122"/>
      <c r="CR119" s="2122"/>
      <c r="CS119" s="2122"/>
      <c r="CT119" s="2122"/>
      <c r="CU119" s="2122"/>
      <c r="CV119" s="2122"/>
      <c r="CW119" s="2122"/>
      <c r="CX119" s="2122"/>
      <c r="CY119" s="2122"/>
      <c r="CZ119" s="2122"/>
      <c r="DA119" s="2122"/>
      <c r="DB119" s="2122"/>
      <c r="DC119" s="2122"/>
      <c r="DD119" s="2122"/>
      <c r="DE119" s="2122"/>
      <c r="DF119" s="2122"/>
      <c r="DG119" s="2122"/>
      <c r="DH119" s="2122"/>
      <c r="DI119" s="2122"/>
      <c r="DJ119" s="2122"/>
      <c r="DK119" s="2122"/>
      <c r="DL119" s="2122"/>
      <c r="DM119" s="2122"/>
      <c r="DN119" s="2122"/>
      <c r="DO119" s="2122"/>
      <c r="DP119" s="2122"/>
      <c r="DQ119" s="2122"/>
      <c r="DR119" s="2122"/>
      <c r="DS119" s="2122"/>
      <c r="DT119" s="2122"/>
      <c r="DU119" s="2122"/>
      <c r="DV119" s="2122"/>
      <c r="DW119" s="2122"/>
    </row>
    <row r="120" spans="1:127" s="2033" customFormat="1" ht="67.5" customHeight="1">
      <c r="A120" s="3783">
        <v>33</v>
      </c>
      <c r="B120" s="1902" t="str">
        <f t="shared" si="3"/>
        <v>2200001892</v>
      </c>
      <c r="C120" s="1902" t="s">
        <v>5699</v>
      </c>
      <c r="D120" s="2461">
        <v>3620</v>
      </c>
      <c r="E120" s="1921" t="s">
        <v>6944</v>
      </c>
      <c r="F120" s="1921" t="s">
        <v>84</v>
      </c>
      <c r="G120" s="1921" t="s">
        <v>6945</v>
      </c>
      <c r="H120" s="1921" t="s">
        <v>6317</v>
      </c>
      <c r="I120" s="1921" t="s">
        <v>19</v>
      </c>
      <c r="J120" s="2279" t="s">
        <v>959</v>
      </c>
      <c r="K120" s="1845" t="s">
        <v>6946</v>
      </c>
      <c r="L120" s="2368">
        <v>2970</v>
      </c>
      <c r="M120" s="2378" t="s">
        <v>6947</v>
      </c>
      <c r="N120" s="1862" t="s">
        <v>125</v>
      </c>
      <c r="O120" s="1939">
        <v>2</v>
      </c>
      <c r="P120" s="1883"/>
      <c r="Q120" s="1982"/>
      <c r="R120" s="1883"/>
      <c r="S120" s="1883"/>
      <c r="T120" s="1883"/>
      <c r="U120" s="1883"/>
      <c r="V120" s="1883"/>
      <c r="W120" s="1883"/>
      <c r="X120" s="1883"/>
      <c r="Y120" s="1883"/>
      <c r="Z120" s="1883"/>
      <c r="AA120" s="1883"/>
      <c r="AB120" s="1883"/>
      <c r="AC120" s="1883"/>
      <c r="AD120" s="1883"/>
      <c r="AE120" s="1883"/>
      <c r="AF120" s="1883"/>
      <c r="AG120" s="1883"/>
      <c r="AH120" s="1883"/>
      <c r="AI120" s="1883"/>
      <c r="AJ120" s="1883"/>
      <c r="AK120" s="1883"/>
      <c r="AL120" s="1883"/>
      <c r="AM120" s="1883"/>
      <c r="AN120" s="1883"/>
      <c r="AO120" s="1883"/>
      <c r="AP120" s="1883"/>
      <c r="AQ120" s="1883"/>
      <c r="AR120" s="1883"/>
      <c r="AS120" s="1883"/>
      <c r="AT120" s="1883"/>
      <c r="AU120" s="1883"/>
      <c r="AV120" s="1883"/>
      <c r="AW120" s="1883"/>
      <c r="AX120" s="1883"/>
      <c r="AY120" s="1883"/>
      <c r="AZ120" s="1883"/>
      <c r="BA120" s="1883"/>
      <c r="BB120" s="1883"/>
      <c r="BC120" s="1883"/>
      <c r="BD120" s="1883"/>
      <c r="BE120" s="1883"/>
      <c r="BF120" s="1883"/>
      <c r="BG120" s="1883"/>
      <c r="BH120" s="1883"/>
      <c r="BI120" s="1883"/>
      <c r="BJ120" s="1883"/>
      <c r="BK120" s="1883"/>
      <c r="BL120" s="1883"/>
      <c r="BM120" s="1883"/>
      <c r="BN120" s="1883"/>
      <c r="BO120" s="1883"/>
      <c r="BP120" s="1883"/>
      <c r="BQ120" s="1883"/>
      <c r="BR120" s="1883"/>
      <c r="BS120" s="1883"/>
      <c r="BT120" s="1883"/>
      <c r="BU120" s="1883"/>
      <c r="BV120" s="1883"/>
      <c r="BW120" s="1883"/>
      <c r="BX120" s="1883"/>
      <c r="BY120" s="1883"/>
      <c r="BZ120" s="1883"/>
      <c r="CA120" s="1883"/>
      <c r="CB120" s="1883"/>
      <c r="CC120" s="1883"/>
      <c r="CD120" s="1883"/>
      <c r="CE120" s="1883"/>
      <c r="CF120" s="1883"/>
      <c r="CG120" s="1883"/>
      <c r="CH120" s="1883"/>
      <c r="CI120" s="1883"/>
      <c r="CJ120" s="1883"/>
      <c r="CK120" s="1883"/>
      <c r="CL120" s="1883"/>
      <c r="CM120" s="1883"/>
      <c r="CN120" s="1883"/>
      <c r="CO120" s="1883"/>
      <c r="CP120" s="1883"/>
      <c r="CQ120" s="1883"/>
      <c r="CR120" s="1883"/>
      <c r="CS120" s="1883"/>
      <c r="CT120" s="1883"/>
      <c r="CU120" s="1883"/>
      <c r="CV120" s="1883"/>
      <c r="CW120" s="1883"/>
      <c r="CX120" s="1883"/>
      <c r="CY120" s="1883"/>
      <c r="CZ120" s="1883"/>
      <c r="DA120" s="1883"/>
      <c r="DB120" s="1883"/>
      <c r="DC120" s="1883"/>
      <c r="DD120" s="1883"/>
      <c r="DE120" s="1883"/>
      <c r="DF120" s="1883"/>
      <c r="DG120" s="1883"/>
      <c r="DH120" s="1883"/>
      <c r="DI120" s="1883"/>
      <c r="DJ120" s="1883"/>
      <c r="DK120" s="1883"/>
      <c r="DL120" s="1883"/>
      <c r="DM120" s="1883"/>
      <c r="DN120" s="1883"/>
      <c r="DO120" s="1883"/>
      <c r="DP120" s="1883"/>
      <c r="DQ120" s="1883"/>
      <c r="DR120" s="1883"/>
      <c r="DS120" s="1883"/>
      <c r="DT120" s="1883"/>
      <c r="DU120" s="1883"/>
      <c r="DV120" s="1883"/>
      <c r="DW120" s="1883"/>
    </row>
    <row r="121" spans="1:127" s="2033" customFormat="1" ht="67.5" customHeight="1">
      <c r="A121" s="3785"/>
      <c r="B121" s="1630" t="str">
        <f t="shared" si="3"/>
        <v>2200001894</v>
      </c>
      <c r="C121" s="1630" t="s">
        <v>5699</v>
      </c>
      <c r="D121" s="2454"/>
      <c r="E121" s="1851"/>
      <c r="F121" s="1872" t="s">
        <v>84</v>
      </c>
      <c r="G121" s="1851"/>
      <c r="H121" s="2159"/>
      <c r="I121" s="2374" t="s">
        <v>19</v>
      </c>
      <c r="J121" s="1495" t="s">
        <v>959</v>
      </c>
      <c r="K121" s="1600" t="s">
        <v>6948</v>
      </c>
      <c r="L121" s="2368">
        <v>650</v>
      </c>
      <c r="M121" s="2378" t="s">
        <v>6947</v>
      </c>
      <c r="N121" s="2369" t="s">
        <v>6949</v>
      </c>
      <c r="O121" s="1939">
        <v>2</v>
      </c>
      <c r="P121" s="2122"/>
      <c r="Q121" s="2324"/>
      <c r="R121" s="2122"/>
      <c r="S121" s="2122"/>
      <c r="T121" s="2122"/>
      <c r="U121" s="2122"/>
      <c r="V121" s="2122"/>
      <c r="W121" s="2122"/>
      <c r="X121" s="2122"/>
      <c r="Y121" s="2122"/>
      <c r="Z121" s="2122"/>
      <c r="AA121" s="2122"/>
      <c r="AB121" s="2122"/>
      <c r="AC121" s="2122"/>
      <c r="AD121" s="2122"/>
      <c r="AE121" s="2122"/>
      <c r="AF121" s="2122"/>
      <c r="AG121" s="2122"/>
      <c r="AH121" s="2122"/>
      <c r="AI121" s="2122"/>
      <c r="AJ121" s="2122"/>
      <c r="AK121" s="2122"/>
      <c r="AL121" s="2122"/>
      <c r="AM121" s="2122"/>
      <c r="AN121" s="2122"/>
      <c r="AO121" s="2122"/>
      <c r="AP121" s="2122"/>
      <c r="AQ121" s="2122"/>
      <c r="AR121" s="2122"/>
      <c r="AS121" s="2122"/>
      <c r="AT121" s="2122"/>
      <c r="AU121" s="2122"/>
      <c r="AV121" s="2122"/>
      <c r="AW121" s="2122"/>
      <c r="AX121" s="2122"/>
      <c r="AY121" s="2122"/>
      <c r="AZ121" s="2122"/>
      <c r="BA121" s="2122"/>
      <c r="BB121" s="2122"/>
      <c r="BC121" s="2122"/>
      <c r="BD121" s="2122"/>
      <c r="BE121" s="2122"/>
      <c r="BF121" s="2122"/>
      <c r="BG121" s="2122"/>
      <c r="BH121" s="2122"/>
      <c r="BI121" s="2122"/>
      <c r="BJ121" s="2122"/>
      <c r="BK121" s="2122"/>
      <c r="BL121" s="2122"/>
      <c r="BM121" s="2122"/>
      <c r="BN121" s="2122"/>
      <c r="BO121" s="2122"/>
      <c r="BP121" s="2122"/>
      <c r="BQ121" s="2122"/>
      <c r="BR121" s="2122"/>
      <c r="BS121" s="2122"/>
      <c r="BT121" s="2122"/>
      <c r="BU121" s="2122"/>
      <c r="BV121" s="2122"/>
      <c r="BW121" s="2122"/>
      <c r="BX121" s="2122"/>
      <c r="BY121" s="2122"/>
      <c r="BZ121" s="2122"/>
      <c r="CA121" s="2122"/>
      <c r="CB121" s="2122"/>
      <c r="CC121" s="2122"/>
      <c r="CD121" s="2122"/>
      <c r="CE121" s="2122"/>
      <c r="CF121" s="2122"/>
      <c r="CG121" s="2122"/>
      <c r="CH121" s="2122"/>
      <c r="CI121" s="2122"/>
      <c r="CJ121" s="2122"/>
      <c r="CK121" s="2122"/>
      <c r="CL121" s="2122"/>
      <c r="CM121" s="2122"/>
      <c r="CN121" s="2122"/>
      <c r="CO121" s="2122"/>
      <c r="CP121" s="2122"/>
      <c r="CQ121" s="2122"/>
      <c r="CR121" s="2122"/>
      <c r="CS121" s="2122"/>
      <c r="CT121" s="2122"/>
      <c r="CU121" s="2122"/>
      <c r="CV121" s="2122"/>
      <c r="CW121" s="2122"/>
      <c r="CX121" s="2122"/>
      <c r="CY121" s="2122"/>
      <c r="CZ121" s="2122"/>
      <c r="DA121" s="2122"/>
      <c r="DB121" s="2122"/>
      <c r="DC121" s="2122"/>
      <c r="DD121" s="2122"/>
      <c r="DE121" s="2122"/>
      <c r="DF121" s="2122"/>
      <c r="DG121" s="2122"/>
      <c r="DH121" s="2122"/>
      <c r="DI121" s="2122"/>
      <c r="DJ121" s="2122"/>
      <c r="DK121" s="2122"/>
      <c r="DL121" s="2122"/>
      <c r="DM121" s="2122"/>
      <c r="DN121" s="2122"/>
      <c r="DO121" s="2122"/>
      <c r="DP121" s="2122"/>
      <c r="DQ121" s="2122"/>
      <c r="DR121" s="2122"/>
      <c r="DS121" s="2122"/>
      <c r="DT121" s="2122"/>
      <c r="DU121" s="2122"/>
      <c r="DV121" s="2122"/>
      <c r="DW121" s="2122"/>
    </row>
    <row r="122" spans="1:127" s="2079" customFormat="1" ht="75" customHeight="1">
      <c r="A122" s="2214">
        <v>34</v>
      </c>
      <c r="B122" s="2184" t="str">
        <f t="shared" si="3"/>
        <v>2000002668</v>
      </c>
      <c r="C122" s="2184" t="s">
        <v>3708</v>
      </c>
      <c r="D122" s="2466">
        <v>6000</v>
      </c>
      <c r="E122" s="2184" t="s">
        <v>6931</v>
      </c>
      <c r="F122" s="2186" t="s">
        <v>3401</v>
      </c>
      <c r="G122" s="2187" t="s">
        <v>6950</v>
      </c>
      <c r="H122" s="2187" t="s">
        <v>6317</v>
      </c>
      <c r="I122" s="2371" t="s">
        <v>19</v>
      </c>
      <c r="J122" s="2187" t="s">
        <v>20</v>
      </c>
      <c r="K122" s="2695" t="s">
        <v>6951</v>
      </c>
      <c r="L122" s="2392">
        <v>6000</v>
      </c>
      <c r="M122" s="2051" t="s">
        <v>6952</v>
      </c>
      <c r="N122" s="2393"/>
      <c r="O122" s="2053">
        <v>2</v>
      </c>
      <c r="P122" s="2127"/>
      <c r="Q122" s="2316"/>
      <c r="R122" s="2129"/>
      <c r="S122" s="2129"/>
      <c r="T122" s="2129"/>
      <c r="U122" s="2129"/>
      <c r="V122" s="2129"/>
      <c r="W122" s="2129"/>
      <c r="X122" s="2129"/>
      <c r="Y122" s="2129"/>
      <c r="Z122" s="2129"/>
      <c r="AA122" s="2129"/>
      <c r="AB122" s="2129"/>
      <c r="AC122" s="2129"/>
      <c r="AD122" s="2129"/>
      <c r="AE122" s="2129"/>
      <c r="AF122" s="2129"/>
      <c r="AG122" s="2129"/>
      <c r="AH122" s="2129"/>
      <c r="AI122" s="2129"/>
      <c r="AJ122" s="2129"/>
      <c r="AK122" s="2129"/>
      <c r="AL122" s="2129"/>
      <c r="AM122" s="2129"/>
      <c r="AN122" s="2129"/>
      <c r="AO122" s="2129"/>
      <c r="AP122" s="2129"/>
      <c r="AQ122" s="2129"/>
      <c r="AR122" s="2129"/>
      <c r="AS122" s="2129"/>
      <c r="AT122" s="2129"/>
      <c r="AU122" s="2129"/>
      <c r="AV122" s="2129"/>
      <c r="AW122" s="2129"/>
      <c r="AX122" s="2129"/>
      <c r="AY122" s="2129"/>
      <c r="AZ122" s="2129"/>
      <c r="BA122" s="2129"/>
      <c r="BB122" s="2129"/>
      <c r="BC122" s="2129"/>
      <c r="BD122" s="2129"/>
      <c r="BE122" s="2129"/>
      <c r="BF122" s="2129"/>
      <c r="BG122" s="2129"/>
      <c r="BH122" s="2129"/>
      <c r="BI122" s="2129"/>
      <c r="BJ122" s="2129"/>
      <c r="BK122" s="2129"/>
      <c r="BL122" s="2129"/>
      <c r="BM122" s="2129"/>
      <c r="BN122" s="2129"/>
      <c r="BO122" s="2129"/>
      <c r="BP122" s="2129"/>
      <c r="BQ122" s="2129"/>
      <c r="BR122" s="2129"/>
      <c r="BS122" s="2129"/>
      <c r="BT122" s="2129"/>
      <c r="BU122" s="2129"/>
      <c r="BV122" s="2129"/>
      <c r="BW122" s="2129"/>
      <c r="BX122" s="2129"/>
      <c r="BY122" s="2129"/>
      <c r="BZ122" s="2129"/>
      <c r="CA122" s="2129"/>
      <c r="CB122" s="2129"/>
      <c r="CC122" s="2129"/>
      <c r="CD122" s="2129"/>
      <c r="CE122" s="2129"/>
      <c r="CF122" s="2129"/>
      <c r="CG122" s="2129"/>
      <c r="CH122" s="2129"/>
      <c r="CI122" s="2129"/>
      <c r="CJ122" s="2129"/>
      <c r="CK122" s="2129"/>
      <c r="CL122" s="2129"/>
      <c r="CM122" s="2129"/>
      <c r="CN122" s="2129"/>
      <c r="CO122" s="2129"/>
      <c r="CP122" s="2129"/>
      <c r="CQ122" s="2129"/>
      <c r="CR122" s="2129"/>
      <c r="CS122" s="2129"/>
      <c r="CT122" s="2129"/>
      <c r="CU122" s="2129"/>
      <c r="CV122" s="2129"/>
      <c r="CW122" s="2129"/>
      <c r="CX122" s="2129"/>
      <c r="CY122" s="2129"/>
      <c r="CZ122" s="2129"/>
      <c r="DA122" s="2129"/>
      <c r="DB122" s="2129"/>
      <c r="DC122" s="2129"/>
      <c r="DD122" s="2129"/>
      <c r="DE122" s="2129"/>
      <c r="DF122" s="2129"/>
      <c r="DG122" s="2129"/>
      <c r="DH122" s="2129"/>
      <c r="DI122" s="2129"/>
      <c r="DJ122" s="2129"/>
      <c r="DK122" s="2129"/>
      <c r="DL122" s="2129"/>
      <c r="DM122" s="2129"/>
      <c r="DN122" s="2129"/>
      <c r="DO122" s="2129"/>
      <c r="DP122" s="2129"/>
      <c r="DQ122" s="2129"/>
      <c r="DR122" s="2129"/>
      <c r="DS122" s="2129"/>
      <c r="DT122" s="2129"/>
      <c r="DU122" s="2129"/>
      <c r="DV122" s="2129"/>
      <c r="DW122" s="2129"/>
    </row>
    <row r="123" spans="1:127" s="1916" customFormat="1" ht="67.5" customHeight="1">
      <c r="A123" s="3773">
        <v>35</v>
      </c>
      <c r="B123" s="1921" t="str">
        <f t="shared" si="3"/>
        <v>2200001870</v>
      </c>
      <c r="C123" s="1921" t="s">
        <v>217</v>
      </c>
      <c r="D123" s="2461">
        <v>4250</v>
      </c>
      <c r="E123" s="1921" t="s">
        <v>6953</v>
      </c>
      <c r="F123" s="1921" t="s">
        <v>3401</v>
      </c>
      <c r="G123" s="1921" t="s">
        <v>6954</v>
      </c>
      <c r="H123" s="1921" t="s">
        <v>6317</v>
      </c>
      <c r="I123" s="1921" t="s">
        <v>19</v>
      </c>
      <c r="J123" s="1921" t="s">
        <v>101</v>
      </c>
      <c r="K123" s="2194" t="s">
        <v>6955</v>
      </c>
      <c r="L123" s="2325">
        <v>3800</v>
      </c>
      <c r="M123" s="1748" t="s">
        <v>5454</v>
      </c>
      <c r="N123" s="1862"/>
      <c r="O123" s="1748">
        <v>2</v>
      </c>
      <c r="P123" s="1548"/>
      <c r="Q123" s="1548"/>
      <c r="R123" s="1548"/>
      <c r="S123" s="1548"/>
      <c r="T123" s="1548"/>
      <c r="U123" s="1548"/>
      <c r="V123" s="1548"/>
      <c r="W123" s="1548"/>
      <c r="X123" s="1548"/>
      <c r="Y123" s="1548"/>
      <c r="Z123" s="1548"/>
      <c r="AA123" s="1548"/>
      <c r="AB123" s="1548"/>
      <c r="AC123" s="1548"/>
      <c r="AD123" s="1548"/>
      <c r="AE123" s="1548"/>
      <c r="AF123" s="1548"/>
      <c r="AG123" s="1548"/>
      <c r="AH123" s="1548"/>
      <c r="AI123" s="1548"/>
      <c r="AJ123" s="1548"/>
      <c r="AK123" s="1548"/>
      <c r="AL123" s="1548"/>
      <c r="AM123" s="1548"/>
      <c r="AN123" s="1548"/>
      <c r="AO123" s="1548"/>
      <c r="AP123" s="1548"/>
      <c r="AQ123" s="1548"/>
      <c r="AR123" s="1548"/>
      <c r="AS123" s="1548"/>
      <c r="AT123" s="1548"/>
      <c r="AU123" s="1548"/>
      <c r="AV123" s="1548"/>
      <c r="AW123" s="1548"/>
      <c r="AX123" s="1548"/>
      <c r="AY123" s="1548"/>
      <c r="AZ123" s="1548"/>
      <c r="BA123" s="1548"/>
      <c r="BB123" s="1548"/>
      <c r="BC123" s="1548"/>
      <c r="BD123" s="1548"/>
      <c r="BE123" s="1548"/>
      <c r="BF123" s="1548"/>
      <c r="BG123" s="1548"/>
      <c r="BH123" s="1548"/>
      <c r="BI123" s="1548"/>
      <c r="BJ123" s="1548"/>
      <c r="BK123" s="1548"/>
      <c r="BL123" s="1548"/>
      <c r="BM123" s="1548"/>
      <c r="BN123" s="1548"/>
      <c r="BO123" s="1548"/>
      <c r="BP123" s="1548"/>
      <c r="BQ123" s="1548"/>
      <c r="BR123" s="1548"/>
      <c r="BS123" s="1548"/>
      <c r="BT123" s="1548"/>
      <c r="BU123" s="1548"/>
      <c r="BV123" s="1548"/>
      <c r="BW123" s="1548"/>
      <c r="BX123" s="1548"/>
      <c r="BY123" s="1548"/>
      <c r="BZ123" s="1548"/>
      <c r="CA123" s="1548"/>
      <c r="CB123" s="1548"/>
      <c r="CC123" s="1548"/>
      <c r="CD123" s="1548"/>
      <c r="CE123" s="1548"/>
      <c r="CF123" s="1548"/>
      <c r="CG123" s="1548"/>
      <c r="CH123" s="1548"/>
      <c r="CI123" s="1548"/>
      <c r="CJ123" s="1548"/>
      <c r="CK123" s="1548"/>
      <c r="CL123" s="1548"/>
      <c r="CM123" s="1548"/>
      <c r="CN123" s="1548"/>
      <c r="CO123" s="1548"/>
      <c r="CP123" s="1548"/>
      <c r="CQ123" s="1548"/>
      <c r="CR123" s="1548"/>
      <c r="CS123" s="1548"/>
      <c r="CT123" s="1548"/>
      <c r="CU123" s="1548"/>
      <c r="CV123" s="1548"/>
      <c r="CW123" s="1548"/>
      <c r="CX123" s="1548"/>
      <c r="CY123" s="1548"/>
      <c r="CZ123" s="1548"/>
      <c r="DA123" s="1548"/>
      <c r="DB123" s="1548"/>
      <c r="DC123" s="1548"/>
      <c r="DD123" s="1548"/>
      <c r="DE123" s="1548"/>
      <c r="DF123" s="1548"/>
      <c r="DG123" s="1548"/>
      <c r="DH123" s="1548"/>
      <c r="DI123" s="1548"/>
      <c r="DJ123" s="1548"/>
      <c r="DK123" s="1548"/>
      <c r="DL123" s="1548"/>
      <c r="DM123" s="1548"/>
      <c r="DN123" s="1548"/>
      <c r="DO123" s="1548"/>
      <c r="DP123" s="1548"/>
      <c r="DQ123" s="1548"/>
      <c r="DR123" s="1548"/>
      <c r="DS123" s="1548"/>
      <c r="DT123" s="1548"/>
      <c r="DU123" s="1548"/>
      <c r="DV123" s="1548"/>
      <c r="DW123" s="1548"/>
    </row>
    <row r="124" spans="1:127" s="1916" customFormat="1" ht="67.5" customHeight="1">
      <c r="A124" s="3768"/>
      <c r="B124" s="1495" t="str">
        <f t="shared" si="3"/>
        <v>2000002612</v>
      </c>
      <c r="C124" s="1495" t="s">
        <v>217</v>
      </c>
      <c r="D124" s="2463"/>
      <c r="E124" s="1495"/>
      <c r="F124" s="1495" t="s">
        <v>3401</v>
      </c>
      <c r="G124" s="1495"/>
      <c r="H124" s="1495"/>
      <c r="I124" s="1495" t="s">
        <v>19</v>
      </c>
      <c r="J124" s="1495" t="s">
        <v>123</v>
      </c>
      <c r="K124" s="1770" t="s">
        <v>6956</v>
      </c>
      <c r="L124" s="2388">
        <v>500</v>
      </c>
      <c r="M124" s="2378" t="s">
        <v>5937</v>
      </c>
      <c r="N124" s="1862"/>
      <c r="O124" s="1748">
        <v>2</v>
      </c>
      <c r="P124" s="1548"/>
      <c r="Q124" s="1548"/>
      <c r="R124" s="1548"/>
      <c r="S124" s="1548"/>
      <c r="T124" s="1548"/>
      <c r="U124" s="1548"/>
      <c r="V124" s="1548"/>
      <c r="W124" s="1548"/>
      <c r="X124" s="1548"/>
      <c r="Y124" s="1548"/>
      <c r="Z124" s="1548"/>
      <c r="AA124" s="1548"/>
      <c r="AB124" s="1548"/>
      <c r="AC124" s="1548"/>
      <c r="AD124" s="1548"/>
      <c r="AE124" s="1548"/>
      <c r="AF124" s="1548"/>
      <c r="AG124" s="1548"/>
      <c r="AH124" s="1548"/>
      <c r="AI124" s="1548"/>
      <c r="AJ124" s="1548"/>
      <c r="AK124" s="1548"/>
      <c r="AL124" s="1548"/>
      <c r="AM124" s="1548"/>
      <c r="AN124" s="1548"/>
      <c r="AO124" s="1548"/>
      <c r="AP124" s="1548"/>
      <c r="AQ124" s="1548"/>
      <c r="AR124" s="1548"/>
      <c r="AS124" s="1548"/>
      <c r="AT124" s="1548"/>
      <c r="AU124" s="1548"/>
      <c r="AV124" s="1548"/>
      <c r="AW124" s="1548"/>
      <c r="AX124" s="1548"/>
      <c r="AY124" s="1548"/>
      <c r="AZ124" s="1548"/>
      <c r="BA124" s="1548"/>
      <c r="BB124" s="1548"/>
      <c r="BC124" s="1548"/>
      <c r="BD124" s="1548"/>
      <c r="BE124" s="1548"/>
      <c r="BF124" s="1548"/>
      <c r="BG124" s="1548"/>
      <c r="BH124" s="1548"/>
      <c r="BI124" s="1548"/>
      <c r="BJ124" s="1548"/>
      <c r="BK124" s="1548"/>
      <c r="BL124" s="1548"/>
      <c r="BM124" s="1548"/>
      <c r="BN124" s="1548"/>
      <c r="BO124" s="1548"/>
      <c r="BP124" s="1548"/>
      <c r="BQ124" s="1548"/>
      <c r="BR124" s="1548"/>
      <c r="BS124" s="1548"/>
      <c r="BT124" s="1548"/>
      <c r="BU124" s="1548"/>
      <c r="BV124" s="1548"/>
      <c r="BW124" s="1548"/>
      <c r="BX124" s="1548"/>
      <c r="BY124" s="1548"/>
      <c r="BZ124" s="1548"/>
      <c r="CA124" s="1548"/>
      <c r="CB124" s="1548"/>
      <c r="CC124" s="1548"/>
      <c r="CD124" s="1548"/>
      <c r="CE124" s="1548"/>
      <c r="CF124" s="1548"/>
      <c r="CG124" s="1548"/>
      <c r="CH124" s="1548"/>
      <c r="CI124" s="1548"/>
      <c r="CJ124" s="1548"/>
      <c r="CK124" s="1548"/>
      <c r="CL124" s="1548"/>
      <c r="CM124" s="1548"/>
      <c r="CN124" s="1548"/>
      <c r="CO124" s="1548"/>
      <c r="CP124" s="1548"/>
      <c r="CQ124" s="1548"/>
      <c r="CR124" s="1548"/>
      <c r="CS124" s="1548"/>
      <c r="CT124" s="1548"/>
      <c r="CU124" s="1548"/>
      <c r="CV124" s="1548"/>
      <c r="CW124" s="1548"/>
      <c r="CX124" s="1548"/>
      <c r="CY124" s="1548"/>
      <c r="CZ124" s="1548"/>
      <c r="DA124" s="1548"/>
      <c r="DB124" s="1548"/>
      <c r="DC124" s="1548"/>
      <c r="DD124" s="1548"/>
      <c r="DE124" s="1548"/>
      <c r="DF124" s="1548"/>
      <c r="DG124" s="1548"/>
      <c r="DH124" s="1548"/>
      <c r="DI124" s="1548"/>
      <c r="DJ124" s="1548"/>
      <c r="DK124" s="1548"/>
      <c r="DL124" s="1548"/>
      <c r="DM124" s="1548"/>
      <c r="DN124" s="1548"/>
      <c r="DO124" s="1548"/>
      <c r="DP124" s="1548"/>
      <c r="DQ124" s="1548"/>
      <c r="DR124" s="1548"/>
      <c r="DS124" s="1548"/>
      <c r="DT124" s="1548"/>
      <c r="DU124" s="1548"/>
      <c r="DV124" s="1548"/>
      <c r="DW124" s="1548"/>
    </row>
    <row r="125" spans="1:127" s="2033" customFormat="1" ht="67.5" customHeight="1">
      <c r="A125" s="3773">
        <v>36</v>
      </c>
      <c r="B125" s="1921" t="str">
        <f t="shared" si="3"/>
        <v>2000002691</v>
      </c>
      <c r="C125" s="1921" t="s">
        <v>4786</v>
      </c>
      <c r="D125" s="2461">
        <v>5800</v>
      </c>
      <c r="E125" s="1921" t="s">
        <v>6957</v>
      </c>
      <c r="F125" s="1921" t="s">
        <v>16</v>
      </c>
      <c r="G125" s="1921" t="s">
        <v>6958</v>
      </c>
      <c r="H125" s="1921" t="s">
        <v>6317</v>
      </c>
      <c r="I125" s="1921" t="s">
        <v>19</v>
      </c>
      <c r="J125" s="1921" t="s">
        <v>1138</v>
      </c>
      <c r="K125" s="2194" t="s">
        <v>6959</v>
      </c>
      <c r="L125" s="2467">
        <v>2055</v>
      </c>
      <c r="M125" s="2378" t="s">
        <v>5937</v>
      </c>
      <c r="N125" s="2468" t="s">
        <v>6874</v>
      </c>
      <c r="O125" s="2102">
        <v>2</v>
      </c>
      <c r="P125" s="2122"/>
      <c r="Q125" s="2122"/>
      <c r="R125" s="2122"/>
      <c r="S125" s="2122"/>
      <c r="T125" s="2122"/>
      <c r="U125" s="2122"/>
      <c r="V125" s="2122"/>
      <c r="W125" s="2122"/>
      <c r="X125" s="2122"/>
      <c r="Y125" s="2122"/>
      <c r="Z125" s="2122"/>
      <c r="AA125" s="2122"/>
      <c r="AB125" s="2122"/>
      <c r="AC125" s="2122"/>
      <c r="AD125" s="2122"/>
      <c r="AE125" s="2122"/>
      <c r="AF125" s="2122"/>
      <c r="AG125" s="2122"/>
      <c r="AH125" s="2122"/>
      <c r="AI125" s="2122"/>
      <c r="AJ125" s="2122"/>
      <c r="AK125" s="2122"/>
      <c r="AL125" s="2122"/>
      <c r="AM125" s="2122"/>
      <c r="AN125" s="2122"/>
      <c r="AO125" s="2122"/>
      <c r="AP125" s="2122"/>
      <c r="AQ125" s="2122"/>
      <c r="AR125" s="2122"/>
      <c r="AS125" s="2122"/>
      <c r="AT125" s="2122"/>
      <c r="AU125" s="2122"/>
      <c r="AV125" s="2122"/>
      <c r="AW125" s="2122"/>
      <c r="AX125" s="2122"/>
      <c r="AY125" s="2122"/>
      <c r="AZ125" s="2122"/>
      <c r="BA125" s="2122"/>
      <c r="BB125" s="2122"/>
      <c r="BC125" s="2122"/>
      <c r="BD125" s="2122"/>
      <c r="BE125" s="2122"/>
      <c r="BF125" s="2122"/>
      <c r="BG125" s="2122"/>
      <c r="BH125" s="2122"/>
      <c r="BI125" s="2122"/>
      <c r="BJ125" s="2122"/>
      <c r="BK125" s="2122"/>
      <c r="BL125" s="2122"/>
      <c r="BM125" s="2122"/>
      <c r="BN125" s="2122"/>
      <c r="BO125" s="2122"/>
      <c r="BP125" s="2122"/>
      <c r="BQ125" s="2122"/>
      <c r="BR125" s="2122"/>
      <c r="BS125" s="2122"/>
      <c r="BT125" s="2122"/>
      <c r="BU125" s="2122"/>
      <c r="BV125" s="2122"/>
      <c r="BW125" s="2122"/>
      <c r="BX125" s="2122"/>
      <c r="BY125" s="2122"/>
      <c r="BZ125" s="2122"/>
      <c r="CA125" s="2122"/>
      <c r="CB125" s="2122"/>
      <c r="CC125" s="2122"/>
      <c r="CD125" s="2122"/>
      <c r="CE125" s="2122"/>
      <c r="CF125" s="2122"/>
      <c r="CG125" s="2122"/>
      <c r="CH125" s="2122"/>
      <c r="CI125" s="2122"/>
      <c r="CJ125" s="2122"/>
      <c r="CK125" s="2122"/>
      <c r="CL125" s="2122"/>
      <c r="CM125" s="2122"/>
      <c r="CN125" s="2122"/>
      <c r="CO125" s="2122"/>
      <c r="CP125" s="2122"/>
      <c r="CQ125" s="2122"/>
      <c r="CR125" s="2122"/>
      <c r="CS125" s="2122"/>
      <c r="CT125" s="2122"/>
      <c r="CU125" s="2122"/>
      <c r="CV125" s="2122"/>
      <c r="CW125" s="2122"/>
      <c r="CX125" s="2122"/>
      <c r="CY125" s="2122"/>
      <c r="CZ125" s="2122"/>
      <c r="DA125" s="2122"/>
      <c r="DB125" s="2122"/>
      <c r="DC125" s="2122"/>
      <c r="DD125" s="2122"/>
      <c r="DE125" s="2122"/>
      <c r="DF125" s="2122"/>
      <c r="DG125" s="2122"/>
      <c r="DH125" s="2122"/>
      <c r="DI125" s="2122"/>
      <c r="DJ125" s="2122"/>
      <c r="DK125" s="2122"/>
      <c r="DL125" s="2122"/>
      <c r="DM125" s="2122"/>
      <c r="DN125" s="2122"/>
      <c r="DO125" s="2122"/>
      <c r="DP125" s="2122"/>
      <c r="DQ125" s="2122"/>
      <c r="DR125" s="2122"/>
      <c r="DS125" s="2122"/>
      <c r="DT125" s="2122"/>
      <c r="DU125" s="2122"/>
      <c r="DV125" s="2122"/>
      <c r="DW125" s="2122"/>
    </row>
    <row r="126" spans="1:127" s="2033" customFormat="1" ht="67.5" customHeight="1">
      <c r="A126" s="3768"/>
      <c r="B126" s="1495" t="str">
        <f t="shared" si="3"/>
        <v>2000002707</v>
      </c>
      <c r="C126" s="1495" t="s">
        <v>4786</v>
      </c>
      <c r="D126" s="2463"/>
      <c r="E126" s="1495"/>
      <c r="F126" s="1495" t="s">
        <v>16</v>
      </c>
      <c r="G126" s="1495"/>
      <c r="H126" s="1495"/>
      <c r="I126" s="1495" t="s">
        <v>19</v>
      </c>
      <c r="J126" s="1495" t="s">
        <v>1138</v>
      </c>
      <c r="K126" s="1496" t="s">
        <v>6960</v>
      </c>
      <c r="L126" s="2345">
        <v>3700</v>
      </c>
      <c r="M126" s="2378" t="s">
        <v>6961</v>
      </c>
      <c r="N126" s="2131"/>
      <c r="O126" s="2102">
        <v>2</v>
      </c>
      <c r="P126" s="1883"/>
      <c r="Q126" s="1883"/>
      <c r="R126" s="2122"/>
      <c r="S126" s="2122"/>
      <c r="T126" s="2122"/>
      <c r="U126" s="2122"/>
      <c r="V126" s="2122"/>
      <c r="W126" s="2122"/>
      <c r="X126" s="2122"/>
      <c r="Y126" s="2122"/>
      <c r="Z126" s="2122"/>
      <c r="AA126" s="2122"/>
      <c r="AB126" s="2122"/>
      <c r="AC126" s="2122"/>
      <c r="AD126" s="2122"/>
      <c r="AE126" s="2122"/>
      <c r="AF126" s="2122"/>
      <c r="AG126" s="2122"/>
      <c r="AH126" s="2122"/>
      <c r="AI126" s="2122"/>
      <c r="AJ126" s="2122"/>
      <c r="AK126" s="2122"/>
      <c r="AL126" s="2122"/>
      <c r="AM126" s="2122"/>
      <c r="AN126" s="2122"/>
      <c r="AO126" s="2122"/>
      <c r="AP126" s="2122"/>
      <c r="AQ126" s="2122"/>
      <c r="AR126" s="2122"/>
      <c r="AS126" s="2122"/>
      <c r="AT126" s="2122"/>
      <c r="AU126" s="2122"/>
      <c r="AV126" s="2122"/>
      <c r="AW126" s="2122"/>
      <c r="AX126" s="2122"/>
      <c r="AY126" s="2122"/>
      <c r="AZ126" s="2122"/>
      <c r="BA126" s="2122"/>
      <c r="BB126" s="2122"/>
      <c r="BC126" s="2122"/>
      <c r="BD126" s="2122"/>
      <c r="BE126" s="2122"/>
      <c r="BF126" s="2122"/>
      <c r="BG126" s="2122"/>
      <c r="BH126" s="2122"/>
      <c r="BI126" s="2122"/>
      <c r="BJ126" s="2122"/>
      <c r="BK126" s="2122"/>
      <c r="BL126" s="2122"/>
      <c r="BM126" s="2122"/>
      <c r="BN126" s="2122"/>
      <c r="BO126" s="2122"/>
      <c r="BP126" s="2122"/>
      <c r="BQ126" s="2122"/>
      <c r="BR126" s="2122"/>
      <c r="BS126" s="2122"/>
      <c r="BT126" s="2122"/>
      <c r="BU126" s="2122"/>
      <c r="BV126" s="2122"/>
      <c r="BW126" s="2122"/>
      <c r="BX126" s="2122"/>
      <c r="BY126" s="2122"/>
      <c r="BZ126" s="2122"/>
      <c r="CA126" s="2122"/>
      <c r="CB126" s="2122"/>
      <c r="CC126" s="2122"/>
      <c r="CD126" s="2122"/>
      <c r="CE126" s="2122"/>
      <c r="CF126" s="2122"/>
      <c r="CG126" s="2122"/>
      <c r="CH126" s="2122"/>
      <c r="CI126" s="2122"/>
      <c r="CJ126" s="2122"/>
      <c r="CK126" s="2122"/>
      <c r="CL126" s="2122"/>
      <c r="CM126" s="2122"/>
      <c r="CN126" s="2122"/>
      <c r="CO126" s="2122"/>
      <c r="CP126" s="2122"/>
      <c r="CQ126" s="2122"/>
      <c r="CR126" s="2122"/>
      <c r="CS126" s="2122"/>
      <c r="CT126" s="2122"/>
      <c r="CU126" s="2122"/>
      <c r="CV126" s="2122"/>
      <c r="CW126" s="2122"/>
      <c r="CX126" s="2122"/>
      <c r="CY126" s="2122"/>
      <c r="CZ126" s="2122"/>
      <c r="DA126" s="2122"/>
      <c r="DB126" s="2122"/>
      <c r="DC126" s="2122"/>
      <c r="DD126" s="2122"/>
      <c r="DE126" s="2122"/>
      <c r="DF126" s="2122"/>
      <c r="DG126" s="2122"/>
      <c r="DH126" s="2122"/>
      <c r="DI126" s="2122"/>
      <c r="DJ126" s="2122"/>
      <c r="DK126" s="2122"/>
      <c r="DL126" s="2122"/>
      <c r="DM126" s="2122"/>
      <c r="DN126" s="2122"/>
      <c r="DO126" s="2122"/>
      <c r="DP126" s="2122"/>
      <c r="DQ126" s="2122"/>
      <c r="DR126" s="2122"/>
      <c r="DS126" s="2122"/>
      <c r="DT126" s="2122"/>
      <c r="DU126" s="2122"/>
      <c r="DV126" s="2122"/>
      <c r="DW126" s="2122"/>
    </row>
    <row r="127" spans="1:127" s="2033" customFormat="1" ht="63" customHeight="1">
      <c r="A127" s="3773">
        <v>37</v>
      </c>
      <c r="B127" s="2118" t="str">
        <f t="shared" si="3"/>
        <v>2400001041</v>
      </c>
      <c r="C127" s="2118" t="s">
        <v>6962</v>
      </c>
      <c r="D127" s="2453">
        <f>SUM(L127:L138)</f>
        <v>13515</v>
      </c>
      <c r="E127" s="2118" t="s">
        <v>6963</v>
      </c>
      <c r="F127" s="2298" t="s">
        <v>25</v>
      </c>
      <c r="G127" s="2118" t="s">
        <v>6964</v>
      </c>
      <c r="H127" s="2297"/>
      <c r="I127" s="2297" t="s">
        <v>19</v>
      </c>
      <c r="J127" s="2318" t="s">
        <v>267</v>
      </c>
      <c r="K127" s="2033" t="s">
        <v>6965</v>
      </c>
      <c r="L127" s="2358">
        <v>600</v>
      </c>
      <c r="M127" s="2326" t="s">
        <v>6705</v>
      </c>
      <c r="N127" s="2491"/>
      <c r="O127" s="2102">
        <v>2</v>
      </c>
      <c r="P127" s="2122"/>
      <c r="Q127" s="2122"/>
      <c r="R127" s="2122"/>
      <c r="S127" s="2122"/>
      <c r="T127" s="2122"/>
      <c r="U127" s="2122"/>
      <c r="V127" s="2122"/>
      <c r="W127" s="2122"/>
      <c r="X127" s="2122"/>
      <c r="Y127" s="2122"/>
      <c r="Z127" s="2122"/>
      <c r="AA127" s="2122"/>
      <c r="AB127" s="2122"/>
      <c r="AC127" s="2122"/>
      <c r="AD127" s="2122"/>
      <c r="AE127" s="2122"/>
      <c r="AF127" s="2122"/>
      <c r="AG127" s="2122"/>
      <c r="AH127" s="2122"/>
      <c r="AI127" s="2122"/>
      <c r="AJ127" s="2122"/>
      <c r="AK127" s="2122"/>
      <c r="AL127" s="2122"/>
      <c r="AM127" s="2122"/>
      <c r="AN127" s="2122"/>
      <c r="AO127" s="2122"/>
      <c r="AP127" s="2122"/>
      <c r="AQ127" s="2122"/>
      <c r="AR127" s="2122"/>
      <c r="AS127" s="2122"/>
      <c r="AT127" s="2122"/>
      <c r="AU127" s="2122"/>
      <c r="AV127" s="2122"/>
      <c r="AW127" s="2122"/>
      <c r="AX127" s="2122"/>
      <c r="AY127" s="2122"/>
      <c r="AZ127" s="2122"/>
      <c r="BA127" s="2122"/>
      <c r="BB127" s="2122"/>
      <c r="BC127" s="2122"/>
      <c r="BD127" s="2122"/>
      <c r="BE127" s="2122"/>
      <c r="BF127" s="2122"/>
      <c r="BG127" s="2122"/>
      <c r="BH127" s="2122"/>
      <c r="BI127" s="2122"/>
      <c r="BJ127" s="2122"/>
      <c r="BK127" s="2122"/>
      <c r="BL127" s="2122"/>
      <c r="BM127" s="2122"/>
      <c r="BN127" s="2122"/>
      <c r="BO127" s="2122"/>
      <c r="BP127" s="2122"/>
      <c r="BQ127" s="2122"/>
      <c r="BR127" s="2122"/>
      <c r="BS127" s="2122"/>
      <c r="BT127" s="2122"/>
      <c r="BU127" s="2122"/>
      <c r="BV127" s="2122"/>
      <c r="BW127" s="2122"/>
      <c r="BX127" s="2122"/>
      <c r="BY127" s="2122"/>
      <c r="BZ127" s="2122"/>
      <c r="CA127" s="2122"/>
      <c r="CB127" s="2122"/>
      <c r="CC127" s="2122"/>
      <c r="CD127" s="2122"/>
      <c r="CE127" s="2122"/>
      <c r="CF127" s="2122"/>
      <c r="CG127" s="2122"/>
      <c r="CH127" s="2122"/>
      <c r="CI127" s="2122"/>
      <c r="CJ127" s="2122"/>
      <c r="CK127" s="2122"/>
      <c r="CL127" s="2122"/>
      <c r="CM127" s="2122"/>
      <c r="CN127" s="2122"/>
      <c r="CO127" s="2122"/>
      <c r="CP127" s="2122"/>
      <c r="CQ127" s="2122"/>
      <c r="CR127" s="2122"/>
      <c r="CS127" s="2122"/>
      <c r="CT127" s="2122"/>
      <c r="CU127" s="2122"/>
      <c r="CV127" s="2122"/>
      <c r="CW127" s="2122"/>
      <c r="CX127" s="2122"/>
      <c r="CY127" s="2122"/>
      <c r="CZ127" s="2122"/>
      <c r="DA127" s="2122"/>
      <c r="DB127" s="2122"/>
      <c r="DC127" s="2122"/>
      <c r="DD127" s="2122"/>
      <c r="DE127" s="2122"/>
      <c r="DF127" s="2122"/>
      <c r="DG127" s="2122"/>
      <c r="DH127" s="2122"/>
      <c r="DI127" s="2122"/>
      <c r="DJ127" s="2122"/>
      <c r="DK127" s="2122"/>
      <c r="DL127" s="2122"/>
      <c r="DM127" s="2122"/>
      <c r="DN127" s="2122"/>
      <c r="DO127" s="2122"/>
      <c r="DP127" s="2122"/>
      <c r="DQ127" s="2122"/>
      <c r="DR127" s="2122"/>
      <c r="DS127" s="2122"/>
      <c r="DT127" s="2122"/>
      <c r="DU127" s="2122"/>
      <c r="DV127" s="2122"/>
    </row>
    <row r="128" spans="1:127" s="2033" customFormat="1" ht="63" customHeight="1">
      <c r="A128" s="3767"/>
      <c r="B128" s="1495" t="str">
        <f t="shared" si="3"/>
        <v>2400001042</v>
      </c>
      <c r="C128" s="1495" t="s">
        <v>6962</v>
      </c>
      <c r="D128" s="2454"/>
      <c r="E128" s="1947"/>
      <c r="F128" s="2298" t="s">
        <v>25</v>
      </c>
      <c r="G128" s="1851"/>
      <c r="H128" s="1460"/>
      <c r="I128" s="1460" t="s">
        <v>19</v>
      </c>
      <c r="J128" s="2098" t="s">
        <v>267</v>
      </c>
      <c r="K128" s="1770" t="s">
        <v>6966</v>
      </c>
      <c r="L128" s="2358">
        <v>3890</v>
      </c>
      <c r="M128" s="2326" t="s">
        <v>6705</v>
      </c>
      <c r="N128" s="2491" t="s">
        <v>6967</v>
      </c>
      <c r="O128" s="2102">
        <v>2</v>
      </c>
      <c r="P128" s="1883"/>
      <c r="Q128" s="1883"/>
      <c r="R128" s="1883"/>
      <c r="S128" s="1883"/>
      <c r="T128" s="1883"/>
      <c r="U128" s="1883"/>
      <c r="V128" s="1883"/>
      <c r="W128" s="1883"/>
      <c r="X128" s="1883"/>
      <c r="Y128" s="1883"/>
      <c r="Z128" s="1883"/>
      <c r="AA128" s="1883"/>
      <c r="AB128" s="1883"/>
      <c r="AC128" s="1883"/>
      <c r="AD128" s="1883"/>
      <c r="AE128" s="1883"/>
      <c r="AF128" s="1883"/>
      <c r="AG128" s="1883"/>
      <c r="AH128" s="1883"/>
      <c r="AI128" s="1883"/>
      <c r="AJ128" s="1883"/>
      <c r="AK128" s="1883"/>
      <c r="AL128" s="1883"/>
      <c r="AM128" s="1883"/>
      <c r="AN128" s="1883"/>
      <c r="AO128" s="1883"/>
      <c r="AP128" s="1883"/>
      <c r="AQ128" s="1883"/>
      <c r="AR128" s="1883"/>
      <c r="AS128" s="1883"/>
      <c r="AT128" s="1883"/>
      <c r="AU128" s="1883"/>
      <c r="AV128" s="1883"/>
      <c r="AW128" s="1883"/>
      <c r="AX128" s="1883"/>
      <c r="AY128" s="1883"/>
      <c r="AZ128" s="1883"/>
      <c r="BA128" s="1883"/>
      <c r="BB128" s="1883"/>
      <c r="BC128" s="1883"/>
      <c r="BD128" s="1883"/>
      <c r="BE128" s="1883"/>
      <c r="BF128" s="1883"/>
      <c r="BG128" s="1883"/>
      <c r="BH128" s="1883"/>
      <c r="BI128" s="1883"/>
      <c r="BJ128" s="1883"/>
      <c r="BK128" s="1883"/>
      <c r="BL128" s="1883"/>
      <c r="BM128" s="1883"/>
      <c r="BN128" s="1883"/>
      <c r="BO128" s="1883"/>
      <c r="BP128" s="1883"/>
      <c r="BQ128" s="1883"/>
      <c r="BR128" s="1883"/>
      <c r="BS128" s="1883"/>
      <c r="BT128" s="1883"/>
      <c r="BU128" s="1883"/>
      <c r="BV128" s="1883"/>
      <c r="BW128" s="1883"/>
      <c r="BX128" s="1883"/>
      <c r="BY128" s="1883"/>
      <c r="BZ128" s="1883"/>
      <c r="CA128" s="1883"/>
      <c r="CB128" s="1883"/>
      <c r="CC128" s="1883"/>
      <c r="CD128" s="1883"/>
      <c r="CE128" s="1883"/>
      <c r="CF128" s="1883"/>
      <c r="CG128" s="1883"/>
      <c r="CH128" s="1883"/>
      <c r="CI128" s="1883"/>
      <c r="CJ128" s="1883"/>
      <c r="CK128" s="1883"/>
      <c r="CL128" s="1883"/>
      <c r="CM128" s="1883"/>
      <c r="CN128" s="1883"/>
      <c r="CO128" s="1883"/>
      <c r="CP128" s="1883"/>
      <c r="CQ128" s="1883"/>
      <c r="CR128" s="1883"/>
      <c r="CS128" s="1883"/>
      <c r="CT128" s="1883"/>
      <c r="CU128" s="1883"/>
      <c r="CV128" s="1883"/>
      <c r="CW128" s="1883"/>
      <c r="CX128" s="1883"/>
      <c r="CY128" s="1883"/>
      <c r="CZ128" s="1883"/>
      <c r="DA128" s="1883"/>
      <c r="DB128" s="1883"/>
      <c r="DC128" s="1883"/>
      <c r="DD128" s="1883"/>
      <c r="DE128" s="1883"/>
      <c r="DF128" s="1883"/>
      <c r="DG128" s="1883"/>
      <c r="DH128" s="1883"/>
      <c r="DI128" s="1883"/>
      <c r="DJ128" s="1883"/>
      <c r="DK128" s="1883"/>
      <c r="DL128" s="1883"/>
      <c r="DM128" s="1883"/>
      <c r="DN128" s="1883"/>
      <c r="DO128" s="1883"/>
      <c r="DP128" s="1883"/>
      <c r="DQ128" s="1883"/>
      <c r="DR128" s="1883"/>
      <c r="DS128" s="1883"/>
      <c r="DT128" s="1883"/>
      <c r="DU128" s="1883"/>
      <c r="DV128" s="1883"/>
    </row>
    <row r="129" spans="1:127" s="2033" customFormat="1" ht="63" customHeight="1">
      <c r="A129" s="3767"/>
      <c r="B129" s="1495" t="str">
        <f t="shared" si="3"/>
        <v>2400001043</v>
      </c>
      <c r="C129" s="1495" t="s">
        <v>6962</v>
      </c>
      <c r="D129" s="2463"/>
      <c r="E129" s="1947"/>
      <c r="F129" s="2298" t="s">
        <v>25</v>
      </c>
      <c r="G129" s="1851"/>
      <c r="H129" s="1460"/>
      <c r="I129" s="1460" t="s">
        <v>19</v>
      </c>
      <c r="J129" s="2098" t="s">
        <v>267</v>
      </c>
      <c r="K129" s="1770" t="s">
        <v>6968</v>
      </c>
      <c r="L129" s="2358">
        <v>3800</v>
      </c>
      <c r="M129" s="2326" t="s">
        <v>6705</v>
      </c>
      <c r="N129" s="2131"/>
      <c r="O129" s="2102">
        <v>2</v>
      </c>
      <c r="P129" s="1883"/>
      <c r="Q129" s="1883"/>
      <c r="R129" s="1883"/>
      <c r="S129" s="1883"/>
      <c r="T129" s="1883"/>
      <c r="U129" s="1883"/>
      <c r="V129" s="1883"/>
      <c r="W129" s="1883"/>
      <c r="X129" s="1883"/>
      <c r="Y129" s="1883"/>
      <c r="Z129" s="1883"/>
      <c r="AA129" s="1883"/>
      <c r="AB129" s="1883"/>
      <c r="AC129" s="1883"/>
      <c r="AD129" s="1883"/>
      <c r="AE129" s="1883"/>
      <c r="AF129" s="1883"/>
      <c r="AG129" s="1883"/>
      <c r="AH129" s="1883"/>
      <c r="AI129" s="1883"/>
      <c r="AJ129" s="1883"/>
      <c r="AK129" s="1883"/>
      <c r="AL129" s="1883"/>
      <c r="AM129" s="1883"/>
      <c r="AN129" s="1883"/>
      <c r="AO129" s="1883"/>
      <c r="AP129" s="1883"/>
      <c r="AQ129" s="1883"/>
      <c r="AR129" s="1883"/>
      <c r="AS129" s="1883"/>
      <c r="AT129" s="1883"/>
      <c r="AU129" s="1883"/>
      <c r="AV129" s="1883"/>
      <c r="AW129" s="1883"/>
      <c r="AX129" s="1883"/>
      <c r="AY129" s="1883"/>
      <c r="AZ129" s="1883"/>
      <c r="BA129" s="1883"/>
      <c r="BB129" s="1883"/>
      <c r="BC129" s="1883"/>
      <c r="BD129" s="1883"/>
      <c r="BE129" s="1883"/>
      <c r="BF129" s="1883"/>
      <c r="BG129" s="1883"/>
      <c r="BH129" s="1883"/>
      <c r="BI129" s="1883"/>
      <c r="BJ129" s="1883"/>
      <c r="BK129" s="1883"/>
      <c r="BL129" s="1883"/>
      <c r="BM129" s="1883"/>
      <c r="BN129" s="1883"/>
      <c r="BO129" s="1883"/>
      <c r="BP129" s="1883"/>
      <c r="BQ129" s="1883"/>
      <c r="BR129" s="1883"/>
      <c r="BS129" s="1883"/>
      <c r="BT129" s="1883"/>
      <c r="BU129" s="1883"/>
      <c r="BV129" s="1883"/>
      <c r="BW129" s="1883"/>
      <c r="BX129" s="1883"/>
      <c r="BY129" s="1883"/>
      <c r="BZ129" s="1883"/>
      <c r="CA129" s="1883"/>
      <c r="CB129" s="1883"/>
      <c r="CC129" s="1883"/>
      <c r="CD129" s="1883"/>
      <c r="CE129" s="1883"/>
      <c r="CF129" s="1883"/>
      <c r="CG129" s="1883"/>
      <c r="CH129" s="1883"/>
      <c r="CI129" s="1883"/>
      <c r="CJ129" s="1883"/>
      <c r="CK129" s="1883"/>
      <c r="CL129" s="1883"/>
      <c r="CM129" s="1883"/>
      <c r="CN129" s="1883"/>
      <c r="CO129" s="1883"/>
      <c r="CP129" s="1883"/>
      <c r="CQ129" s="1883"/>
      <c r="CR129" s="1883"/>
      <c r="CS129" s="1883"/>
      <c r="CT129" s="1883"/>
      <c r="CU129" s="1883"/>
      <c r="CV129" s="1883"/>
      <c r="CW129" s="1883"/>
      <c r="CX129" s="1883"/>
      <c r="CY129" s="1883"/>
      <c r="CZ129" s="1883"/>
      <c r="DA129" s="1883"/>
      <c r="DB129" s="1883"/>
      <c r="DC129" s="1883"/>
      <c r="DD129" s="1883"/>
      <c r="DE129" s="1883"/>
      <c r="DF129" s="1883"/>
      <c r="DG129" s="1883"/>
      <c r="DH129" s="1883"/>
      <c r="DI129" s="1883"/>
      <c r="DJ129" s="1883"/>
      <c r="DK129" s="1883"/>
      <c r="DL129" s="1883"/>
      <c r="DM129" s="1883"/>
      <c r="DN129" s="1883"/>
      <c r="DO129" s="1883"/>
      <c r="DP129" s="1883"/>
      <c r="DQ129" s="1883"/>
      <c r="DR129" s="1883"/>
      <c r="DS129" s="1883"/>
      <c r="DT129" s="1883"/>
      <c r="DU129" s="1883"/>
      <c r="DV129" s="1883"/>
    </row>
    <row r="130" spans="1:127" s="2033" customFormat="1" ht="48.75" customHeight="1">
      <c r="A130" s="3767"/>
      <c r="B130" s="1495" t="str">
        <f t="shared" si="3"/>
        <v>2400001085</v>
      </c>
      <c r="C130" s="1495" t="s">
        <v>6962</v>
      </c>
      <c r="D130" s="2454"/>
      <c r="E130" s="1851"/>
      <c r="F130" s="2298" t="s">
        <v>25</v>
      </c>
      <c r="G130" s="1851"/>
      <c r="H130" s="1460"/>
      <c r="I130" s="1460" t="s">
        <v>19</v>
      </c>
      <c r="J130" s="2098" t="s">
        <v>267</v>
      </c>
      <c r="K130" s="1770" t="s">
        <v>6969</v>
      </c>
      <c r="L130" s="2358">
        <v>150</v>
      </c>
      <c r="M130" s="2326" t="s">
        <v>6705</v>
      </c>
      <c r="N130" s="2491"/>
      <c r="O130" s="2102">
        <v>2</v>
      </c>
      <c r="P130" s="1883"/>
      <c r="Q130" s="1883"/>
      <c r="R130" s="1883"/>
      <c r="S130" s="1883"/>
      <c r="T130" s="1883"/>
      <c r="U130" s="1883"/>
      <c r="V130" s="1883"/>
      <c r="W130" s="1883"/>
      <c r="X130" s="1883"/>
      <c r="Y130" s="1883"/>
      <c r="Z130" s="1883"/>
      <c r="AA130" s="1883"/>
      <c r="AB130" s="1883"/>
      <c r="AC130" s="1883"/>
      <c r="AD130" s="1883"/>
      <c r="AE130" s="1883"/>
      <c r="AF130" s="1883"/>
      <c r="AG130" s="1883"/>
      <c r="AH130" s="1883"/>
      <c r="AI130" s="1883"/>
      <c r="AJ130" s="1883"/>
      <c r="AK130" s="1883"/>
      <c r="AL130" s="1883"/>
      <c r="AM130" s="1883"/>
      <c r="AN130" s="1883"/>
      <c r="AO130" s="1883"/>
      <c r="AP130" s="1883"/>
      <c r="AQ130" s="1883"/>
      <c r="AR130" s="1883"/>
      <c r="AS130" s="1883"/>
      <c r="AT130" s="1883"/>
      <c r="AU130" s="1883"/>
      <c r="AV130" s="1883"/>
      <c r="AW130" s="1883"/>
      <c r="AX130" s="1883"/>
      <c r="AY130" s="1883"/>
      <c r="AZ130" s="1883"/>
      <c r="BA130" s="1883"/>
      <c r="BB130" s="1883"/>
      <c r="BC130" s="1883"/>
      <c r="BD130" s="1883"/>
      <c r="BE130" s="1883"/>
      <c r="BF130" s="1883"/>
      <c r="BG130" s="1883"/>
      <c r="BH130" s="1883"/>
      <c r="BI130" s="1883"/>
      <c r="BJ130" s="1883"/>
      <c r="BK130" s="1883"/>
      <c r="BL130" s="1883"/>
      <c r="BM130" s="1883"/>
      <c r="BN130" s="1883"/>
      <c r="BO130" s="1883"/>
      <c r="BP130" s="1883"/>
      <c r="BQ130" s="1883"/>
      <c r="BR130" s="1883"/>
      <c r="BS130" s="1883"/>
      <c r="BT130" s="1883"/>
      <c r="BU130" s="1883"/>
      <c r="BV130" s="1883"/>
      <c r="BW130" s="1883"/>
      <c r="BX130" s="1883"/>
      <c r="BY130" s="1883"/>
      <c r="BZ130" s="1883"/>
      <c r="CA130" s="1883"/>
      <c r="CB130" s="1883"/>
      <c r="CC130" s="1883"/>
      <c r="CD130" s="1883"/>
      <c r="CE130" s="1883"/>
      <c r="CF130" s="1883"/>
      <c r="CG130" s="1883"/>
      <c r="CH130" s="1883"/>
      <c r="CI130" s="1883"/>
      <c r="CJ130" s="1883"/>
      <c r="CK130" s="1883"/>
      <c r="CL130" s="1883"/>
      <c r="CM130" s="1883"/>
      <c r="CN130" s="1883"/>
      <c r="CO130" s="1883"/>
      <c r="CP130" s="1883"/>
      <c r="CQ130" s="1883"/>
      <c r="CR130" s="1883"/>
      <c r="CS130" s="1883"/>
      <c r="CT130" s="1883"/>
      <c r="CU130" s="1883"/>
      <c r="CV130" s="1883"/>
      <c r="CW130" s="1883"/>
      <c r="CX130" s="1883"/>
      <c r="CY130" s="1883"/>
      <c r="CZ130" s="1883"/>
      <c r="DA130" s="1883"/>
      <c r="DB130" s="1883"/>
      <c r="DC130" s="1883"/>
      <c r="DD130" s="1883"/>
      <c r="DE130" s="1883"/>
      <c r="DF130" s="1883"/>
      <c r="DG130" s="1883"/>
      <c r="DH130" s="1883"/>
      <c r="DI130" s="1883"/>
      <c r="DJ130" s="1883"/>
      <c r="DK130" s="1883"/>
      <c r="DL130" s="1883"/>
      <c r="DM130" s="1883"/>
      <c r="DN130" s="1883"/>
      <c r="DO130" s="1883"/>
      <c r="DP130" s="1883"/>
      <c r="DQ130" s="1883"/>
      <c r="DR130" s="1883"/>
      <c r="DS130" s="1883"/>
      <c r="DT130" s="1883"/>
      <c r="DU130" s="1883"/>
      <c r="DV130" s="1883"/>
    </row>
    <row r="131" spans="1:127" s="2033" customFormat="1" ht="48.75" customHeight="1">
      <c r="A131" s="3767"/>
      <c r="B131" s="1495" t="str">
        <f t="shared" si="3"/>
        <v>2400001086</v>
      </c>
      <c r="C131" s="1495" t="s">
        <v>6962</v>
      </c>
      <c r="D131" s="2454"/>
      <c r="E131" s="1851"/>
      <c r="F131" s="2298" t="s">
        <v>25</v>
      </c>
      <c r="G131" s="1851"/>
      <c r="H131" s="1460"/>
      <c r="I131" s="1460" t="s">
        <v>19</v>
      </c>
      <c r="J131" s="2098" t="s">
        <v>267</v>
      </c>
      <c r="K131" s="1770" t="s">
        <v>6970</v>
      </c>
      <c r="L131" s="2358">
        <v>200</v>
      </c>
      <c r="M131" s="2326" t="s">
        <v>6705</v>
      </c>
      <c r="N131" s="2491"/>
      <c r="O131" s="2102">
        <v>2</v>
      </c>
      <c r="P131" s="1883"/>
      <c r="Q131" s="1883"/>
      <c r="R131" s="1883"/>
      <c r="S131" s="1883"/>
      <c r="T131" s="1883"/>
      <c r="U131" s="1883"/>
      <c r="V131" s="1883"/>
      <c r="W131" s="1883"/>
      <c r="X131" s="1883"/>
      <c r="Y131" s="1883"/>
      <c r="Z131" s="1883"/>
      <c r="AA131" s="1883"/>
      <c r="AB131" s="1883"/>
      <c r="AC131" s="1883"/>
      <c r="AD131" s="1883"/>
      <c r="AE131" s="1883"/>
      <c r="AF131" s="1883"/>
      <c r="AG131" s="1883"/>
      <c r="AH131" s="1883"/>
      <c r="AI131" s="1883"/>
      <c r="AJ131" s="1883"/>
      <c r="AK131" s="1883"/>
      <c r="AL131" s="1883"/>
      <c r="AM131" s="1883"/>
      <c r="AN131" s="1883"/>
      <c r="AO131" s="1883"/>
      <c r="AP131" s="1883"/>
      <c r="AQ131" s="1883"/>
      <c r="AR131" s="1883"/>
      <c r="AS131" s="1883"/>
      <c r="AT131" s="1883"/>
      <c r="AU131" s="1883"/>
      <c r="AV131" s="1883"/>
      <c r="AW131" s="1883"/>
      <c r="AX131" s="1883"/>
      <c r="AY131" s="1883"/>
      <c r="AZ131" s="1883"/>
      <c r="BA131" s="1883"/>
      <c r="BB131" s="1883"/>
      <c r="BC131" s="1883"/>
      <c r="BD131" s="1883"/>
      <c r="BE131" s="1883"/>
      <c r="BF131" s="1883"/>
      <c r="BG131" s="1883"/>
      <c r="BH131" s="1883"/>
      <c r="BI131" s="1883"/>
      <c r="BJ131" s="1883"/>
      <c r="BK131" s="1883"/>
      <c r="BL131" s="1883"/>
      <c r="BM131" s="1883"/>
      <c r="BN131" s="1883"/>
      <c r="BO131" s="1883"/>
      <c r="BP131" s="1883"/>
      <c r="BQ131" s="1883"/>
      <c r="BR131" s="1883"/>
      <c r="BS131" s="1883"/>
      <c r="BT131" s="1883"/>
      <c r="BU131" s="1883"/>
      <c r="BV131" s="1883"/>
      <c r="BW131" s="1883"/>
      <c r="BX131" s="1883"/>
      <c r="BY131" s="1883"/>
      <c r="BZ131" s="1883"/>
      <c r="CA131" s="1883"/>
      <c r="CB131" s="1883"/>
      <c r="CC131" s="1883"/>
      <c r="CD131" s="1883"/>
      <c r="CE131" s="1883"/>
      <c r="CF131" s="1883"/>
      <c r="CG131" s="1883"/>
      <c r="CH131" s="1883"/>
      <c r="CI131" s="1883"/>
      <c r="CJ131" s="1883"/>
      <c r="CK131" s="1883"/>
      <c r="CL131" s="1883"/>
      <c r="CM131" s="1883"/>
      <c r="CN131" s="1883"/>
      <c r="CO131" s="1883"/>
      <c r="CP131" s="1883"/>
      <c r="CQ131" s="1883"/>
      <c r="CR131" s="1883"/>
      <c r="CS131" s="1883"/>
      <c r="CT131" s="1883"/>
      <c r="CU131" s="1883"/>
      <c r="CV131" s="1883"/>
      <c r="CW131" s="1883"/>
      <c r="CX131" s="1883"/>
      <c r="CY131" s="1883"/>
      <c r="CZ131" s="1883"/>
      <c r="DA131" s="1883"/>
      <c r="DB131" s="1883"/>
      <c r="DC131" s="1883"/>
      <c r="DD131" s="1883"/>
      <c r="DE131" s="1883"/>
      <c r="DF131" s="1883"/>
      <c r="DG131" s="1883"/>
      <c r="DH131" s="1883"/>
      <c r="DI131" s="1883"/>
      <c r="DJ131" s="1883"/>
      <c r="DK131" s="1883"/>
      <c r="DL131" s="1883"/>
      <c r="DM131" s="1883"/>
      <c r="DN131" s="1883"/>
      <c r="DO131" s="1883"/>
      <c r="DP131" s="1883"/>
      <c r="DQ131" s="1883"/>
      <c r="DR131" s="1883"/>
      <c r="DS131" s="1883"/>
      <c r="DT131" s="1883"/>
      <c r="DU131" s="1883"/>
      <c r="DV131" s="1883"/>
    </row>
    <row r="132" spans="1:127" s="2033" customFormat="1" ht="48.75" customHeight="1">
      <c r="A132" s="3767"/>
      <c r="B132" s="1495" t="str">
        <f t="shared" ref="B132:B163" si="4">TEXT(LEFT(K132,10),"0000000000")</f>
        <v>2400001087</v>
      </c>
      <c r="C132" s="1495" t="s">
        <v>6962</v>
      </c>
      <c r="D132" s="2454"/>
      <c r="E132" s="1851"/>
      <c r="F132" s="2298" t="s">
        <v>25</v>
      </c>
      <c r="G132" s="1851"/>
      <c r="H132" s="1460"/>
      <c r="I132" s="1460" t="s">
        <v>19</v>
      </c>
      <c r="J132" s="2098" t="s">
        <v>267</v>
      </c>
      <c r="K132" s="1770" t="s">
        <v>6971</v>
      </c>
      <c r="L132" s="2358">
        <v>1150</v>
      </c>
      <c r="M132" s="2326" t="s">
        <v>6705</v>
      </c>
      <c r="N132" s="2491"/>
      <c r="O132" s="2102">
        <v>2</v>
      </c>
      <c r="P132" s="1883"/>
      <c r="Q132" s="1883"/>
      <c r="R132" s="1883"/>
      <c r="S132" s="1883"/>
      <c r="T132" s="1883"/>
      <c r="U132" s="1883"/>
      <c r="V132" s="1883"/>
      <c r="W132" s="1883"/>
      <c r="X132" s="1883"/>
      <c r="Y132" s="1883"/>
      <c r="Z132" s="1883"/>
      <c r="AA132" s="1883"/>
      <c r="AB132" s="1883"/>
      <c r="AC132" s="1883"/>
      <c r="AD132" s="1883"/>
      <c r="AE132" s="1883"/>
      <c r="AF132" s="1883"/>
      <c r="AG132" s="1883"/>
      <c r="AH132" s="1883"/>
      <c r="AI132" s="1883"/>
      <c r="AJ132" s="1883"/>
      <c r="AK132" s="1883"/>
      <c r="AL132" s="1883"/>
      <c r="AM132" s="1883"/>
      <c r="AN132" s="1883"/>
      <c r="AO132" s="1883"/>
      <c r="AP132" s="1883"/>
      <c r="AQ132" s="1883"/>
      <c r="AR132" s="1883"/>
      <c r="AS132" s="1883"/>
      <c r="AT132" s="1883"/>
      <c r="AU132" s="1883"/>
      <c r="AV132" s="1883"/>
      <c r="AW132" s="1883"/>
      <c r="AX132" s="1883"/>
      <c r="AY132" s="1883"/>
      <c r="AZ132" s="1883"/>
      <c r="BA132" s="1883"/>
      <c r="BB132" s="1883"/>
      <c r="BC132" s="1883"/>
      <c r="BD132" s="1883"/>
      <c r="BE132" s="1883"/>
      <c r="BF132" s="1883"/>
      <c r="BG132" s="1883"/>
      <c r="BH132" s="1883"/>
      <c r="BI132" s="1883"/>
      <c r="BJ132" s="1883"/>
      <c r="BK132" s="1883"/>
      <c r="BL132" s="1883"/>
      <c r="BM132" s="1883"/>
      <c r="BN132" s="1883"/>
      <c r="BO132" s="1883"/>
      <c r="BP132" s="1883"/>
      <c r="BQ132" s="1883"/>
      <c r="BR132" s="1883"/>
      <c r="BS132" s="1883"/>
      <c r="BT132" s="1883"/>
      <c r="BU132" s="1883"/>
      <c r="BV132" s="1883"/>
      <c r="BW132" s="1883"/>
      <c r="BX132" s="1883"/>
      <c r="BY132" s="1883"/>
      <c r="BZ132" s="1883"/>
      <c r="CA132" s="1883"/>
      <c r="CB132" s="1883"/>
      <c r="CC132" s="1883"/>
      <c r="CD132" s="1883"/>
      <c r="CE132" s="1883"/>
      <c r="CF132" s="1883"/>
      <c r="CG132" s="1883"/>
      <c r="CH132" s="1883"/>
      <c r="CI132" s="1883"/>
      <c r="CJ132" s="1883"/>
      <c r="CK132" s="1883"/>
      <c r="CL132" s="1883"/>
      <c r="CM132" s="1883"/>
      <c r="CN132" s="1883"/>
      <c r="CO132" s="1883"/>
      <c r="CP132" s="1883"/>
      <c r="CQ132" s="1883"/>
      <c r="CR132" s="1883"/>
      <c r="CS132" s="1883"/>
      <c r="CT132" s="1883"/>
      <c r="CU132" s="1883"/>
      <c r="CV132" s="1883"/>
      <c r="CW132" s="1883"/>
      <c r="CX132" s="1883"/>
      <c r="CY132" s="1883"/>
      <c r="CZ132" s="1883"/>
      <c r="DA132" s="1883"/>
      <c r="DB132" s="1883"/>
      <c r="DC132" s="1883"/>
      <c r="DD132" s="1883"/>
      <c r="DE132" s="1883"/>
      <c r="DF132" s="1883"/>
      <c r="DG132" s="1883"/>
      <c r="DH132" s="1883"/>
      <c r="DI132" s="1883"/>
      <c r="DJ132" s="1883"/>
      <c r="DK132" s="1883"/>
      <c r="DL132" s="1883"/>
      <c r="DM132" s="1883"/>
      <c r="DN132" s="1883"/>
      <c r="DO132" s="1883"/>
      <c r="DP132" s="1883"/>
      <c r="DQ132" s="1883"/>
      <c r="DR132" s="1883"/>
      <c r="DS132" s="1883"/>
      <c r="DT132" s="1883"/>
      <c r="DU132" s="1883"/>
      <c r="DV132" s="1883"/>
    </row>
    <row r="133" spans="1:127" s="2033" customFormat="1" ht="51" customHeight="1">
      <c r="A133" s="3767"/>
      <c r="B133" s="1495" t="str">
        <f t="shared" si="4"/>
        <v>2400001062</v>
      </c>
      <c r="C133" s="1495" t="s">
        <v>6962</v>
      </c>
      <c r="D133" s="2454"/>
      <c r="E133" s="1851"/>
      <c r="F133" s="2298" t="s">
        <v>25</v>
      </c>
      <c r="G133" s="1851"/>
      <c r="H133" s="1460"/>
      <c r="I133" s="1460" t="s">
        <v>19</v>
      </c>
      <c r="J133" s="2098" t="s">
        <v>267</v>
      </c>
      <c r="K133" s="1496" t="s">
        <v>6972</v>
      </c>
      <c r="L133" s="2358">
        <v>700</v>
      </c>
      <c r="M133" s="2326" t="s">
        <v>6705</v>
      </c>
      <c r="N133" s="2492" t="s">
        <v>6973</v>
      </c>
      <c r="O133" s="2102">
        <v>2</v>
      </c>
      <c r="P133" s="1883"/>
      <c r="Q133" s="1883"/>
      <c r="R133" s="1883"/>
      <c r="S133" s="1883"/>
      <c r="T133" s="1883"/>
      <c r="U133" s="1883"/>
      <c r="V133" s="1883"/>
      <c r="W133" s="1883"/>
      <c r="X133" s="1883"/>
      <c r="Y133" s="1883"/>
      <c r="Z133" s="1883"/>
      <c r="AA133" s="1883"/>
      <c r="AB133" s="1883"/>
      <c r="AC133" s="1883"/>
      <c r="AD133" s="1883"/>
      <c r="AE133" s="1883"/>
      <c r="AF133" s="1883"/>
      <c r="AG133" s="1883"/>
      <c r="AH133" s="1883"/>
      <c r="AI133" s="1883"/>
      <c r="AJ133" s="1883"/>
      <c r="AK133" s="1883"/>
      <c r="AL133" s="1883"/>
      <c r="AM133" s="1883"/>
      <c r="AN133" s="1883"/>
      <c r="AO133" s="1883"/>
      <c r="AP133" s="1883"/>
      <c r="AQ133" s="1883"/>
      <c r="AR133" s="1883"/>
      <c r="AS133" s="1883"/>
      <c r="AT133" s="1883"/>
      <c r="AU133" s="1883"/>
      <c r="AV133" s="1883"/>
      <c r="AW133" s="1883"/>
      <c r="AX133" s="1883"/>
      <c r="AY133" s="1883"/>
      <c r="AZ133" s="1883"/>
      <c r="BA133" s="1883"/>
      <c r="BB133" s="1883"/>
      <c r="BC133" s="1883"/>
      <c r="BD133" s="1883"/>
      <c r="BE133" s="1883"/>
      <c r="BF133" s="1883"/>
      <c r="BG133" s="1883"/>
      <c r="BH133" s="1883"/>
      <c r="BI133" s="1883"/>
      <c r="BJ133" s="1883"/>
      <c r="BK133" s="1883"/>
      <c r="BL133" s="1883"/>
      <c r="BM133" s="1883"/>
      <c r="BN133" s="1883"/>
      <c r="BO133" s="1883"/>
      <c r="BP133" s="1883"/>
      <c r="BQ133" s="1883"/>
      <c r="BR133" s="1883"/>
      <c r="BS133" s="1883"/>
      <c r="BT133" s="1883"/>
      <c r="BU133" s="1883"/>
      <c r="BV133" s="1883"/>
      <c r="BW133" s="1883"/>
      <c r="BX133" s="1883"/>
      <c r="BY133" s="1883"/>
      <c r="BZ133" s="1883"/>
      <c r="CA133" s="1883"/>
      <c r="CB133" s="1883"/>
      <c r="CC133" s="1883"/>
      <c r="CD133" s="1883"/>
      <c r="CE133" s="1883"/>
      <c r="CF133" s="1883"/>
      <c r="CG133" s="1883"/>
      <c r="CH133" s="1883"/>
      <c r="CI133" s="1883"/>
      <c r="CJ133" s="1883"/>
      <c r="CK133" s="1883"/>
      <c r="CL133" s="1883"/>
      <c r="CM133" s="1883"/>
      <c r="CN133" s="1883"/>
      <c r="CO133" s="1883"/>
      <c r="CP133" s="1883"/>
      <c r="CQ133" s="1883"/>
      <c r="CR133" s="1883"/>
      <c r="CS133" s="1883"/>
      <c r="CT133" s="1883"/>
      <c r="CU133" s="1883"/>
      <c r="CV133" s="1883"/>
      <c r="CW133" s="1883"/>
      <c r="CX133" s="1883"/>
      <c r="CY133" s="1883"/>
      <c r="CZ133" s="1883"/>
      <c r="DA133" s="1883"/>
      <c r="DB133" s="1883"/>
      <c r="DC133" s="1883"/>
      <c r="DD133" s="1883"/>
      <c r="DE133" s="1883"/>
      <c r="DF133" s="1883"/>
      <c r="DG133" s="1883"/>
      <c r="DH133" s="1883"/>
      <c r="DI133" s="1883"/>
      <c r="DJ133" s="1883"/>
      <c r="DK133" s="1883"/>
      <c r="DL133" s="1883"/>
      <c r="DM133" s="1883"/>
      <c r="DN133" s="1883"/>
      <c r="DO133" s="1883"/>
      <c r="DP133" s="1883"/>
      <c r="DQ133" s="1883"/>
      <c r="DR133" s="1883"/>
      <c r="DS133" s="1883"/>
      <c r="DT133" s="1883"/>
      <c r="DU133" s="1883"/>
      <c r="DV133" s="1883"/>
    </row>
    <row r="134" spans="1:127" s="2033" customFormat="1" ht="51" customHeight="1">
      <c r="A134" s="3767"/>
      <c r="B134" s="1495" t="str">
        <f t="shared" si="4"/>
        <v>2400001063</v>
      </c>
      <c r="C134" s="1495" t="s">
        <v>6962</v>
      </c>
      <c r="D134" s="2454"/>
      <c r="E134" s="1851"/>
      <c r="F134" s="2298" t="s">
        <v>25</v>
      </c>
      <c r="G134" s="1851"/>
      <c r="H134" s="1460"/>
      <c r="I134" s="1460" t="s">
        <v>19</v>
      </c>
      <c r="J134" s="2098" t="s">
        <v>267</v>
      </c>
      <c r="K134" s="1496" t="s">
        <v>6974</v>
      </c>
      <c r="L134" s="2356">
        <v>775</v>
      </c>
      <c r="M134" s="2326" t="s">
        <v>6705</v>
      </c>
      <c r="N134" s="1843"/>
      <c r="O134" s="1939">
        <v>2</v>
      </c>
      <c r="P134" s="1883"/>
      <c r="Q134" s="1883"/>
      <c r="R134" s="1883"/>
      <c r="S134" s="1883"/>
      <c r="T134" s="1883"/>
      <c r="U134" s="1883"/>
      <c r="V134" s="1883"/>
      <c r="W134" s="1883"/>
      <c r="X134" s="1883"/>
      <c r="Y134" s="1883"/>
      <c r="Z134" s="1883"/>
      <c r="AA134" s="1883"/>
      <c r="AB134" s="1883"/>
      <c r="AC134" s="1883"/>
      <c r="AD134" s="1883"/>
      <c r="AE134" s="1883"/>
      <c r="AF134" s="1883"/>
      <c r="AG134" s="1883"/>
      <c r="AH134" s="1883"/>
      <c r="AI134" s="1883"/>
      <c r="AJ134" s="1883"/>
      <c r="AK134" s="1883"/>
      <c r="AL134" s="1883"/>
      <c r="AM134" s="1883"/>
      <c r="AN134" s="1883"/>
      <c r="AO134" s="1883"/>
      <c r="AP134" s="1883"/>
      <c r="AQ134" s="1883"/>
      <c r="AR134" s="1883"/>
      <c r="AS134" s="1883"/>
      <c r="AT134" s="1883"/>
      <c r="AU134" s="1883"/>
      <c r="AV134" s="1883"/>
      <c r="AW134" s="1883"/>
      <c r="AX134" s="1883"/>
      <c r="AY134" s="1883"/>
      <c r="AZ134" s="1883"/>
      <c r="BA134" s="1883"/>
      <c r="BB134" s="1883"/>
      <c r="BC134" s="1883"/>
      <c r="BD134" s="1883"/>
      <c r="BE134" s="1883"/>
      <c r="BF134" s="1883"/>
      <c r="BG134" s="1883"/>
      <c r="BH134" s="1883"/>
      <c r="BI134" s="1883"/>
      <c r="BJ134" s="1883"/>
      <c r="BK134" s="1883"/>
      <c r="BL134" s="1883"/>
      <c r="BM134" s="1883"/>
      <c r="BN134" s="1883"/>
      <c r="BO134" s="1883"/>
      <c r="BP134" s="1883"/>
      <c r="BQ134" s="1883"/>
      <c r="BR134" s="1883"/>
      <c r="BS134" s="1883"/>
      <c r="BT134" s="1883"/>
      <c r="BU134" s="1883"/>
      <c r="BV134" s="1883"/>
      <c r="BW134" s="1883"/>
      <c r="BX134" s="1883"/>
      <c r="BY134" s="1883"/>
      <c r="BZ134" s="1883"/>
      <c r="CA134" s="1883"/>
      <c r="CB134" s="1883"/>
      <c r="CC134" s="1883"/>
      <c r="CD134" s="1883"/>
      <c r="CE134" s="1883"/>
      <c r="CF134" s="1883"/>
      <c r="CG134" s="1883"/>
      <c r="CH134" s="1883"/>
      <c r="CI134" s="1883"/>
      <c r="CJ134" s="1883"/>
      <c r="CK134" s="1883"/>
      <c r="CL134" s="1883"/>
      <c r="CM134" s="1883"/>
      <c r="CN134" s="1883"/>
      <c r="CO134" s="1883"/>
      <c r="CP134" s="1883"/>
      <c r="CQ134" s="1883"/>
      <c r="CR134" s="1883"/>
      <c r="CS134" s="1883"/>
      <c r="CT134" s="1883"/>
      <c r="CU134" s="1883"/>
      <c r="CV134" s="1883"/>
      <c r="CW134" s="1883"/>
      <c r="CX134" s="1883"/>
      <c r="CY134" s="1883"/>
      <c r="CZ134" s="1883"/>
      <c r="DA134" s="1883"/>
      <c r="DB134" s="1883"/>
      <c r="DC134" s="1883"/>
      <c r="DD134" s="1883"/>
      <c r="DE134" s="1883"/>
      <c r="DF134" s="1883"/>
      <c r="DG134" s="1883"/>
      <c r="DH134" s="1883"/>
      <c r="DI134" s="1883"/>
      <c r="DJ134" s="1883"/>
      <c r="DK134" s="1883"/>
      <c r="DL134" s="1883"/>
      <c r="DM134" s="1883"/>
      <c r="DN134" s="1883"/>
      <c r="DO134" s="1883"/>
      <c r="DP134" s="1883"/>
      <c r="DQ134" s="1883"/>
      <c r="DR134" s="1883"/>
      <c r="DS134" s="1883"/>
      <c r="DT134" s="1883"/>
      <c r="DU134" s="1883"/>
      <c r="DV134" s="1883"/>
    </row>
    <row r="135" spans="1:127" s="2033" customFormat="1" ht="66" customHeight="1">
      <c r="A135" s="3767"/>
      <c r="B135" s="1495" t="str">
        <f t="shared" si="4"/>
        <v>2400001032</v>
      </c>
      <c r="C135" s="1495" t="s">
        <v>6962</v>
      </c>
      <c r="D135" s="2453"/>
      <c r="E135" s="2118"/>
      <c r="F135" s="2298" t="s">
        <v>25</v>
      </c>
      <c r="G135" s="1921"/>
      <c r="H135" s="1461"/>
      <c r="I135" s="1460" t="s">
        <v>19</v>
      </c>
      <c r="J135" s="2098" t="s">
        <v>267</v>
      </c>
      <c r="K135" s="1548" t="s">
        <v>6975</v>
      </c>
      <c r="L135" s="2356">
        <v>200</v>
      </c>
      <c r="M135" s="2448" t="s">
        <v>5937</v>
      </c>
      <c r="N135" s="2275"/>
      <c r="O135" s="2102">
        <v>2</v>
      </c>
      <c r="P135" s="2122"/>
      <c r="Q135" s="2122"/>
      <c r="R135" s="2122"/>
      <c r="S135" s="2122"/>
      <c r="T135" s="2122"/>
      <c r="U135" s="2122"/>
      <c r="V135" s="2122"/>
      <c r="W135" s="2122"/>
      <c r="X135" s="2122"/>
      <c r="Y135" s="2122"/>
      <c r="Z135" s="2122"/>
      <c r="AA135" s="2122"/>
      <c r="AB135" s="2122"/>
      <c r="AC135" s="2122"/>
      <c r="AD135" s="2122"/>
      <c r="AE135" s="2122"/>
      <c r="AF135" s="2122"/>
      <c r="AG135" s="2122"/>
      <c r="AH135" s="2122"/>
      <c r="AI135" s="2122"/>
      <c r="AJ135" s="2122"/>
      <c r="AK135" s="2122"/>
      <c r="AL135" s="2122"/>
      <c r="AM135" s="2122"/>
      <c r="AN135" s="2122"/>
      <c r="AO135" s="2122"/>
      <c r="AP135" s="2122"/>
      <c r="AQ135" s="2122"/>
      <c r="AR135" s="2122"/>
      <c r="AS135" s="2122"/>
      <c r="AT135" s="2122"/>
      <c r="AU135" s="2122"/>
      <c r="AV135" s="2122"/>
      <c r="AW135" s="2122"/>
      <c r="AX135" s="2122"/>
      <c r="AY135" s="2122"/>
      <c r="AZ135" s="2122"/>
      <c r="BA135" s="2122"/>
      <c r="BB135" s="2122"/>
      <c r="BC135" s="2122"/>
      <c r="BD135" s="2122"/>
      <c r="BE135" s="2122"/>
      <c r="BF135" s="2122"/>
      <c r="BG135" s="2122"/>
      <c r="BH135" s="2122"/>
      <c r="BI135" s="2122"/>
      <c r="BJ135" s="2122"/>
      <c r="BK135" s="2122"/>
      <c r="BL135" s="2122"/>
      <c r="BM135" s="2122"/>
      <c r="BN135" s="2122"/>
      <c r="BO135" s="2122"/>
      <c r="BP135" s="2122"/>
      <c r="BQ135" s="2122"/>
      <c r="BR135" s="2122"/>
      <c r="BS135" s="2122"/>
      <c r="BT135" s="2122"/>
      <c r="BU135" s="2122"/>
      <c r="BV135" s="2122"/>
      <c r="BW135" s="2122"/>
      <c r="BX135" s="2122"/>
      <c r="BY135" s="2122"/>
      <c r="BZ135" s="2122"/>
      <c r="CA135" s="2122"/>
      <c r="CB135" s="2122"/>
      <c r="CC135" s="2122"/>
      <c r="CD135" s="2122"/>
      <c r="CE135" s="2122"/>
      <c r="CF135" s="2122"/>
      <c r="CG135" s="2122"/>
      <c r="CH135" s="2122"/>
      <c r="CI135" s="2122"/>
      <c r="CJ135" s="2122"/>
      <c r="CK135" s="2122"/>
      <c r="CL135" s="2122"/>
      <c r="CM135" s="2122"/>
      <c r="CN135" s="2122"/>
      <c r="CO135" s="2122"/>
      <c r="CP135" s="2122"/>
      <c r="CQ135" s="2122"/>
      <c r="CR135" s="2122"/>
      <c r="CS135" s="2122"/>
      <c r="CT135" s="2122"/>
      <c r="CU135" s="2122"/>
      <c r="CV135" s="2122"/>
      <c r="CW135" s="2122"/>
      <c r="CX135" s="2122"/>
      <c r="CY135" s="2122"/>
      <c r="CZ135" s="2122"/>
      <c r="DA135" s="2122"/>
      <c r="DB135" s="2122"/>
      <c r="DC135" s="2122"/>
      <c r="DD135" s="2122"/>
      <c r="DE135" s="2122"/>
      <c r="DF135" s="2122"/>
      <c r="DG135" s="2122"/>
      <c r="DH135" s="2122"/>
      <c r="DI135" s="2122"/>
      <c r="DJ135" s="2122"/>
      <c r="DK135" s="2122"/>
      <c r="DL135" s="2122"/>
      <c r="DM135" s="2122"/>
      <c r="DN135" s="2122"/>
      <c r="DO135" s="2122"/>
      <c r="DP135" s="2122"/>
      <c r="DQ135" s="2122"/>
      <c r="DR135" s="2122"/>
      <c r="DS135" s="2122"/>
      <c r="DT135" s="2122"/>
      <c r="DU135" s="2122"/>
      <c r="DV135" s="2122"/>
    </row>
    <row r="136" spans="1:127" s="2033" customFormat="1" ht="66" customHeight="1">
      <c r="A136" s="3767"/>
      <c r="B136" s="1495" t="str">
        <f t="shared" si="4"/>
        <v>2400001030</v>
      </c>
      <c r="C136" s="1495" t="s">
        <v>6962</v>
      </c>
      <c r="D136" s="2454"/>
      <c r="E136" s="1851"/>
      <c r="F136" s="2298" t="s">
        <v>25</v>
      </c>
      <c r="G136" s="1495"/>
      <c r="H136" s="1460"/>
      <c r="I136" s="1460" t="s">
        <v>19</v>
      </c>
      <c r="J136" s="2098" t="s">
        <v>267</v>
      </c>
      <c r="K136" s="1770" t="s">
        <v>6976</v>
      </c>
      <c r="L136" s="2356">
        <v>225</v>
      </c>
      <c r="M136" s="2448" t="s">
        <v>5937</v>
      </c>
      <c r="N136" s="2277"/>
      <c r="O136" s="2102">
        <v>2</v>
      </c>
      <c r="P136" s="1883"/>
      <c r="Q136" s="1883"/>
      <c r="R136" s="1883"/>
      <c r="S136" s="1883"/>
      <c r="T136" s="1883"/>
      <c r="U136" s="1883"/>
      <c r="V136" s="1883"/>
      <c r="W136" s="1883"/>
      <c r="X136" s="1883"/>
      <c r="Y136" s="1883"/>
      <c r="Z136" s="1883"/>
      <c r="AA136" s="1883"/>
      <c r="AB136" s="1883"/>
      <c r="AC136" s="1883"/>
      <c r="AD136" s="1883"/>
      <c r="AE136" s="1883"/>
      <c r="AF136" s="1883"/>
      <c r="AG136" s="1883"/>
      <c r="AH136" s="1883"/>
      <c r="AI136" s="1883"/>
      <c r="AJ136" s="1883"/>
      <c r="AK136" s="1883"/>
      <c r="AL136" s="1883"/>
      <c r="AM136" s="1883"/>
      <c r="AN136" s="1883"/>
      <c r="AO136" s="1883"/>
      <c r="AP136" s="1883"/>
      <c r="AQ136" s="1883"/>
      <c r="AR136" s="1883"/>
      <c r="AS136" s="1883"/>
      <c r="AT136" s="1883"/>
      <c r="AU136" s="1883"/>
      <c r="AV136" s="1883"/>
      <c r="AW136" s="1883"/>
      <c r="AX136" s="1883"/>
      <c r="AY136" s="1883"/>
      <c r="AZ136" s="1883"/>
      <c r="BA136" s="1883"/>
      <c r="BB136" s="1883"/>
      <c r="BC136" s="1883"/>
      <c r="BD136" s="1883"/>
      <c r="BE136" s="1883"/>
      <c r="BF136" s="1883"/>
      <c r="BG136" s="1883"/>
      <c r="BH136" s="1883"/>
      <c r="BI136" s="1883"/>
      <c r="BJ136" s="1883"/>
      <c r="BK136" s="1883"/>
      <c r="BL136" s="1883"/>
      <c r="BM136" s="1883"/>
      <c r="BN136" s="1883"/>
      <c r="BO136" s="1883"/>
      <c r="BP136" s="1883"/>
      <c r="BQ136" s="1883"/>
      <c r="BR136" s="1883"/>
      <c r="BS136" s="1883"/>
      <c r="BT136" s="1883"/>
      <c r="BU136" s="1883"/>
      <c r="BV136" s="1883"/>
      <c r="BW136" s="1883"/>
      <c r="BX136" s="1883"/>
      <c r="BY136" s="1883"/>
      <c r="BZ136" s="1883"/>
      <c r="CA136" s="1883"/>
      <c r="CB136" s="1883"/>
      <c r="CC136" s="1883"/>
      <c r="CD136" s="1883"/>
      <c r="CE136" s="1883"/>
      <c r="CF136" s="1883"/>
      <c r="CG136" s="1883"/>
      <c r="CH136" s="1883"/>
      <c r="CI136" s="1883"/>
      <c r="CJ136" s="1883"/>
      <c r="CK136" s="1883"/>
      <c r="CL136" s="1883"/>
      <c r="CM136" s="1883"/>
      <c r="CN136" s="1883"/>
      <c r="CO136" s="1883"/>
      <c r="CP136" s="1883"/>
      <c r="CQ136" s="1883"/>
      <c r="CR136" s="1883"/>
      <c r="CS136" s="1883"/>
      <c r="CT136" s="1883"/>
      <c r="CU136" s="1883"/>
      <c r="CV136" s="1883"/>
      <c r="CW136" s="1883"/>
      <c r="CX136" s="1883"/>
      <c r="CY136" s="1883"/>
      <c r="CZ136" s="1883"/>
      <c r="DA136" s="1883"/>
      <c r="DB136" s="1883"/>
      <c r="DC136" s="1883"/>
      <c r="DD136" s="1883"/>
      <c r="DE136" s="1883"/>
      <c r="DF136" s="1883"/>
      <c r="DG136" s="1883"/>
      <c r="DH136" s="1883"/>
      <c r="DI136" s="1883"/>
      <c r="DJ136" s="1883"/>
      <c r="DK136" s="1883"/>
      <c r="DL136" s="1883"/>
      <c r="DM136" s="1883"/>
      <c r="DN136" s="1883"/>
      <c r="DO136" s="1883"/>
      <c r="DP136" s="1883"/>
      <c r="DQ136" s="1883"/>
      <c r="DR136" s="1883"/>
      <c r="DS136" s="1883"/>
      <c r="DT136" s="1883"/>
      <c r="DU136" s="1883"/>
      <c r="DV136" s="1883"/>
    </row>
    <row r="137" spans="1:127" s="2033" customFormat="1" ht="66" customHeight="1">
      <c r="A137" s="3767"/>
      <c r="B137" s="1495" t="str">
        <f t="shared" si="4"/>
        <v>2400001031</v>
      </c>
      <c r="C137" s="1495" t="s">
        <v>6962</v>
      </c>
      <c r="D137" s="2454"/>
      <c r="E137" s="1851"/>
      <c r="F137" s="2298" t="s">
        <v>25</v>
      </c>
      <c r="G137" s="1495"/>
      <c r="H137" s="1554"/>
      <c r="I137" s="1460" t="s">
        <v>19</v>
      </c>
      <c r="J137" s="2098" t="s">
        <v>267</v>
      </c>
      <c r="K137" s="1770" t="s">
        <v>6977</v>
      </c>
      <c r="L137" s="2358">
        <v>175</v>
      </c>
      <c r="M137" s="2448" t="s">
        <v>5937</v>
      </c>
      <c r="N137" s="2131"/>
      <c r="O137" s="2102">
        <v>2</v>
      </c>
      <c r="P137" s="1883"/>
      <c r="Q137" s="1883"/>
      <c r="R137" s="1883"/>
      <c r="S137" s="1883"/>
      <c r="T137" s="1883"/>
      <c r="U137" s="1883"/>
      <c r="V137" s="1883"/>
      <c r="W137" s="1883"/>
      <c r="X137" s="1883"/>
      <c r="Y137" s="1883"/>
      <c r="Z137" s="1883"/>
      <c r="AA137" s="1883"/>
      <c r="AB137" s="1883"/>
      <c r="AC137" s="1883"/>
      <c r="AD137" s="1883"/>
      <c r="AE137" s="1883"/>
      <c r="AF137" s="1883"/>
      <c r="AG137" s="1883"/>
      <c r="AH137" s="1883"/>
      <c r="AI137" s="1883"/>
      <c r="AJ137" s="1883"/>
      <c r="AK137" s="1883"/>
      <c r="AL137" s="1883"/>
      <c r="AM137" s="1883"/>
      <c r="AN137" s="1883"/>
      <c r="AO137" s="1883"/>
      <c r="AP137" s="1883"/>
      <c r="AQ137" s="1883"/>
      <c r="AR137" s="1883"/>
      <c r="AS137" s="1883"/>
      <c r="AT137" s="1883"/>
      <c r="AU137" s="1883"/>
      <c r="AV137" s="1883"/>
      <c r="AW137" s="1883"/>
      <c r="AX137" s="1883"/>
      <c r="AY137" s="1883"/>
      <c r="AZ137" s="1883"/>
      <c r="BA137" s="1883"/>
      <c r="BB137" s="1883"/>
      <c r="BC137" s="1883"/>
      <c r="BD137" s="1883"/>
      <c r="BE137" s="1883"/>
      <c r="BF137" s="1883"/>
      <c r="BG137" s="1883"/>
      <c r="BH137" s="1883"/>
      <c r="BI137" s="1883"/>
      <c r="BJ137" s="1883"/>
      <c r="BK137" s="1883"/>
      <c r="BL137" s="1883"/>
      <c r="BM137" s="1883"/>
      <c r="BN137" s="1883"/>
      <c r="BO137" s="1883"/>
      <c r="BP137" s="1883"/>
      <c r="BQ137" s="1883"/>
      <c r="BR137" s="1883"/>
      <c r="BS137" s="1883"/>
      <c r="BT137" s="1883"/>
      <c r="BU137" s="1883"/>
      <c r="BV137" s="1883"/>
      <c r="BW137" s="1883"/>
      <c r="BX137" s="1883"/>
      <c r="BY137" s="1883"/>
      <c r="BZ137" s="1883"/>
      <c r="CA137" s="1883"/>
      <c r="CB137" s="1883"/>
      <c r="CC137" s="1883"/>
      <c r="CD137" s="1883"/>
      <c r="CE137" s="1883"/>
      <c r="CF137" s="1883"/>
      <c r="CG137" s="1883"/>
      <c r="CH137" s="1883"/>
      <c r="CI137" s="1883"/>
      <c r="CJ137" s="1883"/>
      <c r="CK137" s="1883"/>
      <c r="CL137" s="1883"/>
      <c r="CM137" s="1883"/>
      <c r="CN137" s="1883"/>
      <c r="CO137" s="1883"/>
      <c r="CP137" s="1883"/>
      <c r="CQ137" s="1883"/>
      <c r="CR137" s="1883"/>
      <c r="CS137" s="1883"/>
      <c r="CT137" s="1883"/>
      <c r="CU137" s="1883"/>
      <c r="CV137" s="1883"/>
      <c r="CW137" s="1883"/>
      <c r="CX137" s="1883"/>
      <c r="CY137" s="1883"/>
      <c r="CZ137" s="1883"/>
      <c r="DA137" s="1883"/>
      <c r="DB137" s="1883"/>
      <c r="DC137" s="1883"/>
      <c r="DD137" s="1883"/>
      <c r="DE137" s="1883"/>
      <c r="DF137" s="1883"/>
      <c r="DG137" s="1883"/>
      <c r="DH137" s="1883"/>
      <c r="DI137" s="1883"/>
      <c r="DJ137" s="1883"/>
      <c r="DK137" s="1883"/>
      <c r="DL137" s="1883"/>
      <c r="DM137" s="1883"/>
      <c r="DN137" s="1883"/>
      <c r="DO137" s="1883"/>
      <c r="DP137" s="1883"/>
      <c r="DQ137" s="1883"/>
      <c r="DR137" s="1883"/>
      <c r="DS137" s="1883"/>
      <c r="DT137" s="1883"/>
      <c r="DU137" s="1883"/>
      <c r="DV137" s="1883"/>
    </row>
    <row r="138" spans="1:127" s="2033" customFormat="1" ht="66" customHeight="1">
      <c r="A138" s="3767"/>
      <c r="B138" s="1495" t="str">
        <f t="shared" si="4"/>
        <v>2400001064</v>
      </c>
      <c r="C138" s="1495" t="s">
        <v>6962</v>
      </c>
      <c r="D138" s="2454"/>
      <c r="E138" s="1851"/>
      <c r="F138" s="2298" t="s">
        <v>25</v>
      </c>
      <c r="G138" s="1773"/>
      <c r="H138" s="1495"/>
      <c r="I138" s="2320" t="s">
        <v>19</v>
      </c>
      <c r="J138" s="2098" t="s">
        <v>267</v>
      </c>
      <c r="K138" s="1770" t="s">
        <v>6978</v>
      </c>
      <c r="L138" s="2358">
        <v>1650</v>
      </c>
      <c r="M138" s="2448" t="s">
        <v>5937</v>
      </c>
      <c r="N138" s="2131"/>
      <c r="O138" s="2102">
        <v>2</v>
      </c>
      <c r="P138" s="1883"/>
      <c r="Q138" s="1883"/>
      <c r="R138" s="1883"/>
      <c r="S138" s="1883"/>
      <c r="T138" s="1883"/>
      <c r="U138" s="1883"/>
      <c r="V138" s="1883"/>
      <c r="W138" s="1883"/>
      <c r="X138" s="1883"/>
      <c r="Y138" s="1883"/>
      <c r="Z138" s="1883"/>
      <c r="AA138" s="1883"/>
      <c r="AB138" s="1883"/>
      <c r="AC138" s="1883"/>
      <c r="AD138" s="1883"/>
      <c r="AE138" s="1883"/>
      <c r="AF138" s="1883"/>
      <c r="AG138" s="1883"/>
      <c r="AH138" s="1883"/>
      <c r="AI138" s="1883"/>
      <c r="AJ138" s="1883"/>
      <c r="AK138" s="1883"/>
      <c r="AL138" s="1883"/>
      <c r="AM138" s="1883"/>
      <c r="AN138" s="1883"/>
      <c r="AO138" s="1883"/>
      <c r="AP138" s="1883"/>
      <c r="AQ138" s="1883"/>
      <c r="AR138" s="1883"/>
      <c r="AS138" s="1883"/>
      <c r="AT138" s="1883"/>
      <c r="AU138" s="1883"/>
      <c r="AV138" s="1883"/>
      <c r="AW138" s="1883"/>
      <c r="AX138" s="1883"/>
      <c r="AY138" s="1883"/>
      <c r="AZ138" s="1883"/>
      <c r="BA138" s="1883"/>
      <c r="BB138" s="1883"/>
      <c r="BC138" s="1883"/>
      <c r="BD138" s="1883"/>
      <c r="BE138" s="1883"/>
      <c r="BF138" s="1883"/>
      <c r="BG138" s="1883"/>
      <c r="BH138" s="1883"/>
      <c r="BI138" s="1883"/>
      <c r="BJ138" s="1883"/>
      <c r="BK138" s="1883"/>
      <c r="BL138" s="1883"/>
      <c r="BM138" s="1883"/>
      <c r="BN138" s="1883"/>
      <c r="BO138" s="1883"/>
      <c r="BP138" s="1883"/>
      <c r="BQ138" s="1883"/>
      <c r="BR138" s="1883"/>
      <c r="BS138" s="1883"/>
      <c r="BT138" s="1883"/>
      <c r="BU138" s="1883"/>
      <c r="BV138" s="1883"/>
      <c r="BW138" s="1883"/>
      <c r="BX138" s="1883"/>
      <c r="BY138" s="1883"/>
      <c r="BZ138" s="1883"/>
      <c r="CA138" s="1883"/>
      <c r="CB138" s="1883"/>
      <c r="CC138" s="1883"/>
      <c r="CD138" s="1883"/>
      <c r="CE138" s="1883"/>
      <c r="CF138" s="1883"/>
      <c r="CG138" s="1883"/>
      <c r="CH138" s="1883"/>
      <c r="CI138" s="1883"/>
      <c r="CJ138" s="1883"/>
      <c r="CK138" s="1883"/>
      <c r="CL138" s="1883"/>
      <c r="CM138" s="1883"/>
      <c r="CN138" s="1883"/>
      <c r="CO138" s="1883"/>
      <c r="CP138" s="1883"/>
      <c r="CQ138" s="1883"/>
      <c r="CR138" s="1883"/>
      <c r="CS138" s="1883"/>
      <c r="CT138" s="1883"/>
      <c r="CU138" s="1883"/>
      <c r="CV138" s="1883"/>
      <c r="CW138" s="1883"/>
      <c r="CX138" s="1883"/>
      <c r="CY138" s="1883"/>
      <c r="CZ138" s="1883"/>
      <c r="DA138" s="1883"/>
      <c r="DB138" s="1883"/>
      <c r="DC138" s="1883"/>
      <c r="DD138" s="1883"/>
      <c r="DE138" s="1883"/>
      <c r="DF138" s="1883"/>
      <c r="DG138" s="1883"/>
      <c r="DH138" s="1883"/>
      <c r="DI138" s="1883"/>
      <c r="DJ138" s="1883"/>
      <c r="DK138" s="1883"/>
      <c r="DL138" s="1883"/>
      <c r="DM138" s="1883"/>
      <c r="DN138" s="1883"/>
      <c r="DO138" s="1883"/>
      <c r="DP138" s="1883"/>
      <c r="DQ138" s="1883"/>
      <c r="DR138" s="1883"/>
      <c r="DS138" s="1883"/>
      <c r="DT138" s="1883"/>
      <c r="DU138" s="1883"/>
      <c r="DV138" s="1883"/>
    </row>
    <row r="139" spans="1:127" s="2033" customFormat="1" ht="66" customHeight="1">
      <c r="A139" s="3767"/>
      <c r="B139" s="1495" t="str">
        <f t="shared" si="4"/>
        <v>2400001065</v>
      </c>
      <c r="C139" s="1495" t="s">
        <v>6962</v>
      </c>
      <c r="D139" s="2454"/>
      <c r="E139" s="1851"/>
      <c r="F139" s="2298" t="s">
        <v>25</v>
      </c>
      <c r="G139" s="1773"/>
      <c r="H139" s="1851"/>
      <c r="I139" s="2320" t="s">
        <v>19</v>
      </c>
      <c r="J139" s="2098" t="s">
        <v>267</v>
      </c>
      <c r="K139" s="1774" t="s">
        <v>6979</v>
      </c>
      <c r="L139" s="2356">
        <v>600</v>
      </c>
      <c r="M139" s="2448" t="s">
        <v>5937</v>
      </c>
      <c r="N139" s="2492" t="s">
        <v>6980</v>
      </c>
      <c r="O139" s="2053">
        <v>2</v>
      </c>
      <c r="P139" s="1883"/>
      <c r="Q139" s="1883"/>
      <c r="R139" s="1883"/>
      <c r="S139" s="1883"/>
      <c r="T139" s="1883"/>
      <c r="U139" s="1883"/>
      <c r="V139" s="1883"/>
      <c r="W139" s="1883"/>
      <c r="X139" s="1883"/>
      <c r="Y139" s="1883"/>
      <c r="Z139" s="1883"/>
      <c r="AA139" s="1883"/>
      <c r="AB139" s="1883"/>
      <c r="AC139" s="1883"/>
      <c r="AD139" s="1883"/>
      <c r="AE139" s="1883"/>
      <c r="AF139" s="1883"/>
      <c r="AG139" s="1883"/>
      <c r="AH139" s="1883"/>
      <c r="AI139" s="1883"/>
      <c r="AJ139" s="1883"/>
      <c r="AK139" s="1883"/>
      <c r="AL139" s="1883"/>
      <c r="AM139" s="1883"/>
      <c r="AN139" s="1883"/>
      <c r="AO139" s="1883"/>
      <c r="AP139" s="1883"/>
      <c r="AQ139" s="1883"/>
      <c r="AR139" s="1883"/>
      <c r="AS139" s="1883"/>
      <c r="AT139" s="1883"/>
      <c r="AU139" s="1883"/>
      <c r="AV139" s="1883"/>
      <c r="AW139" s="1883"/>
      <c r="AX139" s="1883"/>
      <c r="AY139" s="1883"/>
      <c r="AZ139" s="1883"/>
      <c r="BA139" s="1883"/>
      <c r="BB139" s="1883"/>
      <c r="BC139" s="1883"/>
      <c r="BD139" s="1883"/>
      <c r="BE139" s="1883"/>
      <c r="BF139" s="1883"/>
      <c r="BG139" s="1883"/>
      <c r="BH139" s="1883"/>
      <c r="BI139" s="1883"/>
      <c r="BJ139" s="1883"/>
      <c r="BK139" s="1883"/>
      <c r="BL139" s="1883"/>
      <c r="BM139" s="1883"/>
      <c r="BN139" s="1883"/>
      <c r="BO139" s="1883"/>
      <c r="BP139" s="1883"/>
      <c r="BQ139" s="1883"/>
      <c r="BR139" s="1883"/>
      <c r="BS139" s="1883"/>
      <c r="BT139" s="1883"/>
      <c r="BU139" s="1883"/>
      <c r="BV139" s="1883"/>
      <c r="BW139" s="1883"/>
      <c r="BX139" s="1883"/>
      <c r="BY139" s="1883"/>
      <c r="BZ139" s="1883"/>
      <c r="CA139" s="1883"/>
      <c r="CB139" s="1883"/>
      <c r="CC139" s="1883"/>
      <c r="CD139" s="1883"/>
      <c r="CE139" s="1883"/>
      <c r="CF139" s="1883"/>
      <c r="CG139" s="1883"/>
      <c r="CH139" s="1883"/>
      <c r="CI139" s="1883"/>
      <c r="CJ139" s="1883"/>
      <c r="CK139" s="1883"/>
      <c r="CL139" s="1883"/>
      <c r="CM139" s="1883"/>
      <c r="CN139" s="1883"/>
      <c r="CO139" s="1883"/>
      <c r="CP139" s="1883"/>
      <c r="CQ139" s="1883"/>
      <c r="CR139" s="1883"/>
      <c r="CS139" s="1883"/>
      <c r="CT139" s="1883"/>
      <c r="CU139" s="1883"/>
      <c r="CV139" s="1883"/>
      <c r="CW139" s="1883"/>
      <c r="CX139" s="1883"/>
      <c r="CY139" s="1883"/>
      <c r="CZ139" s="1883"/>
      <c r="DA139" s="1883"/>
      <c r="DB139" s="1883"/>
      <c r="DC139" s="1883"/>
      <c r="DD139" s="1883"/>
      <c r="DE139" s="1883"/>
      <c r="DF139" s="1883"/>
      <c r="DG139" s="1883"/>
      <c r="DH139" s="1883"/>
      <c r="DI139" s="1883"/>
      <c r="DJ139" s="1883"/>
      <c r="DK139" s="1883"/>
      <c r="DL139" s="1883"/>
      <c r="DM139" s="1883"/>
      <c r="DN139" s="1883"/>
      <c r="DO139" s="1883"/>
      <c r="DP139" s="1883"/>
      <c r="DQ139" s="1883"/>
      <c r="DR139" s="1883"/>
      <c r="DS139" s="1883"/>
      <c r="DT139" s="1883"/>
      <c r="DU139" s="1883"/>
      <c r="DV139" s="1883"/>
    </row>
    <row r="140" spans="1:127" s="2033" customFormat="1" ht="66" customHeight="1">
      <c r="A140" s="3768"/>
      <c r="B140" s="1495" t="str">
        <f t="shared" si="4"/>
        <v>2400001066</v>
      </c>
      <c r="C140" s="1495" t="s">
        <v>6962</v>
      </c>
      <c r="D140" s="2454"/>
      <c r="E140" s="1851"/>
      <c r="F140" s="2298" t="s">
        <v>25</v>
      </c>
      <c r="G140" s="1899"/>
      <c r="H140" s="1543"/>
      <c r="I140" s="2362" t="s">
        <v>19</v>
      </c>
      <c r="J140" s="2493" t="s">
        <v>267</v>
      </c>
      <c r="K140" s="1774" t="s">
        <v>6981</v>
      </c>
      <c r="L140" s="2494">
        <v>250</v>
      </c>
      <c r="M140" s="2495" t="s">
        <v>5937</v>
      </c>
      <c r="N140" s="2350"/>
      <c r="O140" s="1748">
        <v>2</v>
      </c>
      <c r="P140" s="1982"/>
      <c r="Q140" s="1883"/>
      <c r="R140" s="1883"/>
      <c r="S140" s="1883"/>
      <c r="T140" s="1883"/>
      <c r="U140" s="1883"/>
      <c r="V140" s="1883"/>
      <c r="W140" s="1883"/>
      <c r="X140" s="1883"/>
      <c r="Y140" s="1883"/>
      <c r="Z140" s="1883"/>
      <c r="AA140" s="1883"/>
      <c r="AB140" s="1883"/>
      <c r="AC140" s="1883"/>
      <c r="AD140" s="1883"/>
      <c r="AE140" s="1883"/>
      <c r="AF140" s="1883"/>
      <c r="AG140" s="1883"/>
      <c r="AH140" s="1883"/>
      <c r="AI140" s="1883"/>
      <c r="AJ140" s="1883"/>
      <c r="AK140" s="1883"/>
      <c r="AL140" s="1883"/>
      <c r="AM140" s="1883"/>
      <c r="AN140" s="1883"/>
      <c r="AO140" s="1883"/>
      <c r="AP140" s="1883"/>
      <c r="AQ140" s="1883"/>
      <c r="AR140" s="1883"/>
      <c r="AS140" s="1883"/>
      <c r="AT140" s="1883"/>
      <c r="AU140" s="1883"/>
      <c r="AV140" s="1883"/>
      <c r="AW140" s="1883"/>
      <c r="AX140" s="1883"/>
      <c r="AY140" s="1883"/>
      <c r="AZ140" s="1883"/>
      <c r="BA140" s="1883"/>
      <c r="BB140" s="1883"/>
      <c r="BC140" s="1883"/>
      <c r="BD140" s="1883"/>
      <c r="BE140" s="1883"/>
      <c r="BF140" s="1883"/>
      <c r="BG140" s="1883"/>
      <c r="BH140" s="1883"/>
      <c r="BI140" s="1883"/>
      <c r="BJ140" s="1883"/>
      <c r="BK140" s="1883"/>
      <c r="BL140" s="1883"/>
      <c r="BM140" s="1883"/>
      <c r="BN140" s="1883"/>
      <c r="BO140" s="1883"/>
      <c r="BP140" s="1883"/>
      <c r="BQ140" s="1883"/>
      <c r="BR140" s="1883"/>
      <c r="BS140" s="1883"/>
      <c r="BT140" s="1883"/>
      <c r="BU140" s="1883"/>
      <c r="BV140" s="1883"/>
      <c r="BW140" s="1883"/>
      <c r="BX140" s="1883"/>
      <c r="BY140" s="1883"/>
      <c r="BZ140" s="1883"/>
      <c r="CA140" s="1883"/>
      <c r="CB140" s="1883"/>
      <c r="CC140" s="1883"/>
      <c r="CD140" s="1883"/>
      <c r="CE140" s="1883"/>
      <c r="CF140" s="1883"/>
      <c r="CG140" s="1883"/>
      <c r="CH140" s="1883"/>
      <c r="CI140" s="1883"/>
      <c r="CJ140" s="1883"/>
      <c r="CK140" s="1883"/>
      <c r="CL140" s="1883"/>
      <c r="CM140" s="1883"/>
      <c r="CN140" s="1883"/>
      <c r="CO140" s="1883"/>
      <c r="CP140" s="1883"/>
      <c r="CQ140" s="1883"/>
      <c r="CR140" s="1883"/>
      <c r="CS140" s="1883"/>
      <c r="CT140" s="1883"/>
      <c r="CU140" s="1883"/>
      <c r="CV140" s="1883"/>
      <c r="CW140" s="1883"/>
      <c r="CX140" s="1883"/>
      <c r="CY140" s="1883"/>
      <c r="CZ140" s="1883"/>
      <c r="DA140" s="1883"/>
      <c r="DB140" s="1883"/>
      <c r="DC140" s="1883"/>
      <c r="DD140" s="1883"/>
      <c r="DE140" s="1883"/>
      <c r="DF140" s="1883"/>
      <c r="DG140" s="1883"/>
      <c r="DH140" s="1883"/>
      <c r="DI140" s="1883"/>
      <c r="DJ140" s="1883"/>
      <c r="DK140" s="1883"/>
      <c r="DL140" s="1883"/>
      <c r="DM140" s="1883"/>
      <c r="DN140" s="1883"/>
      <c r="DO140" s="1883"/>
      <c r="DP140" s="1883"/>
      <c r="DQ140" s="1883"/>
      <c r="DR140" s="1883"/>
      <c r="DS140" s="1883"/>
      <c r="DT140" s="1883"/>
      <c r="DU140" s="1883"/>
      <c r="DV140" s="1883"/>
    </row>
    <row r="141" spans="1:127" s="2122" customFormat="1" ht="66.75" customHeight="1">
      <c r="A141" s="3773">
        <v>38</v>
      </c>
      <c r="B141" s="2118" t="str">
        <f t="shared" si="4"/>
        <v>2000002698</v>
      </c>
      <c r="C141" s="2118" t="s">
        <v>3491</v>
      </c>
      <c r="D141" s="2453">
        <v>4250</v>
      </c>
      <c r="E141" s="2118" t="s">
        <v>6982</v>
      </c>
      <c r="F141" s="2120" t="s">
        <v>3401</v>
      </c>
      <c r="G141" s="1561" t="s">
        <v>6983</v>
      </c>
      <c r="H141" s="1921" t="s">
        <v>6984</v>
      </c>
      <c r="I141" s="2344" t="s">
        <v>19</v>
      </c>
      <c r="J141" s="1561" t="s">
        <v>74</v>
      </c>
      <c r="K141" s="2194" t="s">
        <v>6985</v>
      </c>
      <c r="L141" s="2372">
        <v>510</v>
      </c>
      <c r="M141" s="2448" t="s">
        <v>5937</v>
      </c>
      <c r="N141" s="1862" t="s">
        <v>6874</v>
      </c>
      <c r="O141" s="1939">
        <v>2</v>
      </c>
      <c r="P141" s="1548"/>
      <c r="Q141" s="1548"/>
      <c r="R141" s="1548"/>
      <c r="S141" s="1548"/>
      <c r="T141" s="1548"/>
      <c r="U141" s="1548"/>
      <c r="V141" s="1548"/>
      <c r="W141" s="1548"/>
      <c r="X141" s="1548"/>
      <c r="Y141" s="1548"/>
      <c r="Z141" s="1548"/>
      <c r="AA141" s="1548"/>
      <c r="AB141" s="1548"/>
      <c r="AC141" s="1548"/>
      <c r="AD141" s="1548"/>
      <c r="AE141" s="1548"/>
      <c r="AF141" s="1548"/>
      <c r="AG141" s="1548"/>
      <c r="AH141" s="1548"/>
      <c r="AI141" s="1548"/>
      <c r="AJ141" s="1548"/>
      <c r="AK141" s="1548"/>
      <c r="AL141" s="1548"/>
      <c r="AM141" s="1548"/>
      <c r="AN141" s="1548"/>
      <c r="AO141" s="1548"/>
      <c r="AP141" s="1548"/>
      <c r="AQ141" s="1548"/>
      <c r="AR141" s="1548"/>
      <c r="AS141" s="1548"/>
      <c r="AT141" s="1548"/>
      <c r="AU141" s="1548"/>
      <c r="AV141" s="1548"/>
      <c r="AW141" s="1548"/>
      <c r="AX141" s="1548"/>
      <c r="AY141" s="1548"/>
      <c r="AZ141" s="1548"/>
      <c r="BA141" s="1548"/>
      <c r="BB141" s="1548"/>
      <c r="BC141" s="1548"/>
      <c r="BD141" s="1548"/>
      <c r="BE141" s="1548"/>
      <c r="BF141" s="1548"/>
      <c r="BG141" s="1548"/>
      <c r="BH141" s="1548"/>
      <c r="BI141" s="1548"/>
      <c r="BJ141" s="1548"/>
      <c r="BK141" s="1548"/>
      <c r="BL141" s="1548"/>
      <c r="BM141" s="1548"/>
      <c r="BN141" s="1548"/>
      <c r="BO141" s="1548"/>
      <c r="BP141" s="1548"/>
      <c r="BQ141" s="1548"/>
      <c r="BR141" s="1548"/>
      <c r="BS141" s="1548"/>
      <c r="BT141" s="1548"/>
      <c r="BU141" s="1548"/>
      <c r="BV141" s="1548"/>
      <c r="BW141" s="1548"/>
      <c r="BX141" s="1548"/>
      <c r="BY141" s="1548"/>
      <c r="BZ141" s="1548"/>
      <c r="CA141" s="1548"/>
      <c r="CB141" s="1548"/>
      <c r="CC141" s="1548"/>
      <c r="CD141" s="1548"/>
      <c r="CE141" s="1548"/>
      <c r="CF141" s="1548"/>
      <c r="CG141" s="1548"/>
      <c r="CH141" s="1548"/>
      <c r="CI141" s="1548"/>
      <c r="CJ141" s="1548"/>
      <c r="CK141" s="1548"/>
      <c r="CL141" s="1548"/>
      <c r="CM141" s="1548"/>
      <c r="CN141" s="1548"/>
      <c r="CO141" s="1548"/>
      <c r="CP141" s="1548"/>
      <c r="CQ141" s="1548"/>
      <c r="CR141" s="1548"/>
      <c r="CS141" s="1548"/>
      <c r="CT141" s="1548"/>
      <c r="CU141" s="1548"/>
      <c r="CV141" s="1548"/>
      <c r="CW141" s="1548"/>
      <c r="CX141" s="1548"/>
      <c r="CY141" s="1548"/>
      <c r="CZ141" s="1548"/>
      <c r="DA141" s="1548"/>
      <c r="DB141" s="1548"/>
      <c r="DC141" s="1548"/>
      <c r="DD141" s="1548"/>
      <c r="DE141" s="1548"/>
      <c r="DF141" s="1548"/>
      <c r="DG141" s="1548"/>
      <c r="DH141" s="1548"/>
      <c r="DI141" s="1548"/>
      <c r="DJ141" s="1548"/>
      <c r="DK141" s="1548"/>
      <c r="DL141" s="1548"/>
      <c r="DM141" s="1548"/>
      <c r="DN141" s="1548"/>
      <c r="DO141" s="1548"/>
      <c r="DP141" s="1548"/>
      <c r="DQ141" s="1548"/>
      <c r="DR141" s="1548"/>
      <c r="DS141" s="1548"/>
      <c r="DT141" s="1548"/>
      <c r="DU141" s="1548"/>
      <c r="DV141" s="1548"/>
      <c r="DW141" s="1548"/>
    </row>
    <row r="142" spans="1:127" s="1883" customFormat="1" ht="80.25" customHeight="1">
      <c r="A142" s="3768"/>
      <c r="B142" s="1851" t="str">
        <f t="shared" si="4"/>
        <v>2000002693</v>
      </c>
      <c r="C142" s="1851" t="s">
        <v>3491</v>
      </c>
      <c r="D142" s="2470"/>
      <c r="F142" s="1872" t="s">
        <v>3401</v>
      </c>
      <c r="I142" s="1495" t="s">
        <v>19</v>
      </c>
      <c r="J142" s="1495" t="s">
        <v>123</v>
      </c>
      <c r="K142" s="1496" t="s">
        <v>6986</v>
      </c>
      <c r="L142" s="2351">
        <v>3700</v>
      </c>
      <c r="M142" s="2471" t="s">
        <v>5937</v>
      </c>
      <c r="N142" s="1843"/>
      <c r="O142" s="1939">
        <v>2</v>
      </c>
    </row>
    <row r="143" spans="1:127" s="1883" customFormat="1" ht="80.25" customHeight="1">
      <c r="A143" s="3773">
        <v>39</v>
      </c>
      <c r="B143" s="2118" t="str">
        <f t="shared" si="4"/>
        <v>2000002718</v>
      </c>
      <c r="C143" s="2118" t="s">
        <v>3399</v>
      </c>
      <c r="D143" s="2478">
        <v>8850</v>
      </c>
      <c r="E143" s="2479" t="s">
        <v>6987</v>
      </c>
      <c r="F143" s="2279" t="s">
        <v>3401</v>
      </c>
      <c r="G143" s="1921" t="s">
        <v>6988</v>
      </c>
      <c r="H143" s="2118" t="s">
        <v>6317</v>
      </c>
      <c r="I143" s="2344" t="s">
        <v>19</v>
      </c>
      <c r="J143" s="1561" t="s">
        <v>1138</v>
      </c>
      <c r="K143" s="2402" t="s">
        <v>6989</v>
      </c>
      <c r="L143" s="2480">
        <v>2470</v>
      </c>
      <c r="M143" s="1872" t="s">
        <v>6990</v>
      </c>
      <c r="N143" s="1862"/>
      <c r="O143" s="2055">
        <v>3</v>
      </c>
      <c r="P143" s="2150"/>
      <c r="Q143" s="2150"/>
      <c r="R143" s="2150"/>
      <c r="S143" s="2150"/>
      <c r="T143" s="2150"/>
      <c r="U143" s="2150"/>
      <c r="V143" s="2150"/>
      <c r="W143" s="2150"/>
      <c r="X143" s="2150"/>
      <c r="Y143" s="2150"/>
      <c r="Z143" s="2150"/>
      <c r="AA143" s="2150"/>
      <c r="AB143" s="2150"/>
      <c r="AC143" s="2150"/>
      <c r="AD143" s="2150"/>
      <c r="AE143" s="2150"/>
      <c r="AF143" s="2150"/>
      <c r="AG143" s="2150"/>
      <c r="AH143" s="2150"/>
      <c r="AI143" s="2150"/>
      <c r="AJ143" s="2150"/>
      <c r="AK143" s="2150"/>
      <c r="AL143" s="2150"/>
      <c r="AM143" s="2150"/>
      <c r="AN143" s="2150"/>
      <c r="AO143" s="2150"/>
      <c r="AP143" s="2150"/>
      <c r="AQ143" s="2150"/>
      <c r="AR143" s="2150"/>
      <c r="AS143" s="2150"/>
      <c r="AT143" s="2150"/>
      <c r="AU143" s="2150"/>
      <c r="AV143" s="2150"/>
      <c r="AW143" s="2150"/>
      <c r="AX143" s="2150"/>
      <c r="AY143" s="2150"/>
      <c r="AZ143" s="2150"/>
      <c r="BA143" s="2150"/>
      <c r="BB143" s="2150"/>
      <c r="BC143" s="2150"/>
      <c r="BD143" s="2150"/>
      <c r="BE143" s="2150"/>
      <c r="BF143" s="2150"/>
      <c r="BG143" s="2150"/>
      <c r="BH143" s="2150"/>
      <c r="BI143" s="2150"/>
      <c r="BJ143" s="2150"/>
      <c r="BK143" s="2150"/>
      <c r="BL143" s="2150"/>
      <c r="BM143" s="2150"/>
      <c r="BN143" s="2150"/>
      <c r="BO143" s="2150"/>
      <c r="BP143" s="2150"/>
      <c r="BQ143" s="2150"/>
      <c r="BR143" s="2150"/>
      <c r="BS143" s="2150"/>
      <c r="BT143" s="2150"/>
      <c r="BU143" s="2150"/>
      <c r="BV143" s="2150"/>
      <c r="BW143" s="2150"/>
      <c r="BX143" s="2150"/>
      <c r="BY143" s="2150"/>
      <c r="BZ143" s="2150"/>
      <c r="CA143" s="2150"/>
      <c r="CB143" s="2150"/>
      <c r="CC143" s="2150"/>
      <c r="CD143" s="2150"/>
      <c r="CE143" s="2150"/>
      <c r="CF143" s="2150"/>
      <c r="CG143" s="2150"/>
      <c r="CH143" s="2150"/>
      <c r="CI143" s="2150"/>
      <c r="CJ143" s="2150"/>
      <c r="CK143" s="2150"/>
      <c r="CL143" s="2150"/>
      <c r="CM143" s="2150"/>
      <c r="CN143" s="2150"/>
      <c r="CO143" s="2150"/>
      <c r="CP143" s="2150"/>
      <c r="CQ143" s="2150"/>
      <c r="CR143" s="2150"/>
      <c r="CS143" s="2150"/>
      <c r="CT143" s="2150"/>
      <c r="CU143" s="2150"/>
      <c r="CV143" s="2150"/>
      <c r="CW143" s="2150"/>
      <c r="CX143" s="2150"/>
      <c r="CY143" s="2150"/>
      <c r="CZ143" s="2150"/>
      <c r="DA143" s="2150"/>
      <c r="DB143" s="2150"/>
      <c r="DC143" s="2150"/>
      <c r="DD143" s="2150"/>
      <c r="DE143" s="2150"/>
      <c r="DF143" s="2150"/>
      <c r="DG143" s="2150"/>
      <c r="DH143" s="2150"/>
      <c r="DI143" s="2150"/>
      <c r="DJ143" s="2150"/>
      <c r="DK143" s="2150"/>
      <c r="DL143" s="2150"/>
      <c r="DM143" s="2150"/>
      <c r="DN143" s="2150"/>
      <c r="DO143" s="2150"/>
      <c r="DP143" s="2150"/>
      <c r="DQ143" s="2150"/>
      <c r="DR143" s="2150"/>
      <c r="DS143" s="2150"/>
      <c r="DT143" s="2150"/>
      <c r="DU143" s="2150"/>
      <c r="DV143" s="2150"/>
      <c r="DW143" s="2150"/>
    </row>
    <row r="144" spans="1:127" s="1883" customFormat="1" ht="80.25" customHeight="1">
      <c r="A144" s="3767"/>
      <c r="B144" s="1851" t="str">
        <f t="shared" si="4"/>
        <v>2000002719</v>
      </c>
      <c r="C144" s="1851" t="s">
        <v>3399</v>
      </c>
      <c r="D144" s="2481"/>
      <c r="E144" s="2482"/>
      <c r="F144" s="1568" t="s">
        <v>3401</v>
      </c>
      <c r="G144" s="1495"/>
      <c r="H144" s="1495"/>
      <c r="I144" s="2320" t="s">
        <v>19</v>
      </c>
      <c r="J144" s="1773" t="s">
        <v>1138</v>
      </c>
      <c r="K144" s="1497" t="s">
        <v>6991</v>
      </c>
      <c r="L144" s="2483">
        <v>2465</v>
      </c>
      <c r="M144" s="1872" t="s">
        <v>6990</v>
      </c>
      <c r="N144" s="1843"/>
      <c r="O144" s="2055">
        <v>3</v>
      </c>
      <c r="P144" s="1548"/>
      <c r="Q144" s="1548"/>
      <c r="R144" s="1548"/>
      <c r="S144" s="1548"/>
      <c r="T144" s="1548"/>
      <c r="U144" s="1548"/>
      <c r="V144" s="1548"/>
      <c r="W144" s="1548"/>
      <c r="X144" s="1548"/>
      <c r="Y144" s="1548"/>
      <c r="Z144" s="1548"/>
      <c r="AA144" s="1548"/>
      <c r="AB144" s="1548"/>
      <c r="AC144" s="1548"/>
      <c r="AD144" s="1548"/>
      <c r="AE144" s="1548"/>
      <c r="AF144" s="1548"/>
      <c r="AG144" s="1548"/>
      <c r="AH144" s="1548"/>
      <c r="AI144" s="1548"/>
      <c r="AJ144" s="1548"/>
      <c r="AK144" s="1548"/>
      <c r="AL144" s="1548"/>
      <c r="AM144" s="1548"/>
      <c r="AN144" s="1548"/>
      <c r="AO144" s="1548"/>
      <c r="AP144" s="1548"/>
      <c r="AQ144" s="1548"/>
      <c r="AR144" s="1548"/>
      <c r="AS144" s="1548"/>
      <c r="AT144" s="1548"/>
      <c r="AU144" s="1548"/>
      <c r="AV144" s="1548"/>
      <c r="AW144" s="1548"/>
      <c r="AX144" s="1548"/>
      <c r="AY144" s="1548"/>
      <c r="AZ144" s="1548"/>
      <c r="BA144" s="1548"/>
      <c r="BB144" s="1548"/>
      <c r="BC144" s="1548"/>
      <c r="BD144" s="1548"/>
      <c r="BE144" s="1548"/>
      <c r="BF144" s="1548"/>
      <c r="BG144" s="1548"/>
      <c r="BH144" s="1548"/>
      <c r="BI144" s="1548"/>
      <c r="BJ144" s="1548"/>
      <c r="BK144" s="1548"/>
      <c r="BL144" s="1548"/>
      <c r="BM144" s="1548"/>
      <c r="BN144" s="1548"/>
      <c r="BO144" s="1548"/>
      <c r="BP144" s="1548"/>
      <c r="BQ144" s="1548"/>
      <c r="BR144" s="1548"/>
      <c r="BS144" s="1548"/>
      <c r="BT144" s="1548"/>
      <c r="BU144" s="1548"/>
      <c r="BV144" s="1548"/>
      <c r="BW144" s="1548"/>
      <c r="BX144" s="1548"/>
      <c r="BY144" s="1548"/>
      <c r="BZ144" s="1548"/>
      <c r="CA144" s="1548"/>
      <c r="CB144" s="1548"/>
      <c r="CC144" s="1548"/>
      <c r="CD144" s="1548"/>
      <c r="CE144" s="1548"/>
      <c r="CF144" s="1548"/>
      <c r="CG144" s="1548"/>
      <c r="CH144" s="1548"/>
      <c r="CI144" s="1548"/>
      <c r="CJ144" s="1548"/>
      <c r="CK144" s="1548"/>
      <c r="CL144" s="1548"/>
      <c r="CM144" s="1548"/>
      <c r="CN144" s="1548"/>
      <c r="CO144" s="1548"/>
      <c r="CP144" s="1548"/>
      <c r="CQ144" s="1548"/>
      <c r="CR144" s="1548"/>
      <c r="CS144" s="1548"/>
      <c r="CT144" s="1548"/>
      <c r="CU144" s="1548"/>
      <c r="CV144" s="1548"/>
      <c r="CW144" s="1548"/>
      <c r="CX144" s="1548"/>
      <c r="CY144" s="1548"/>
      <c r="CZ144" s="1548"/>
      <c r="DA144" s="1548"/>
      <c r="DB144" s="1548"/>
      <c r="DC144" s="1548"/>
      <c r="DD144" s="1548"/>
      <c r="DE144" s="1548"/>
      <c r="DF144" s="1548"/>
      <c r="DG144" s="1548"/>
      <c r="DH144" s="1548"/>
      <c r="DI144" s="1548"/>
      <c r="DJ144" s="1548"/>
      <c r="DK144" s="1548"/>
      <c r="DL144" s="1548"/>
      <c r="DM144" s="1548"/>
      <c r="DN144" s="1548"/>
      <c r="DO144" s="1548"/>
      <c r="DP144" s="1548"/>
      <c r="DQ144" s="1548"/>
      <c r="DR144" s="1548"/>
      <c r="DS144" s="1548"/>
      <c r="DT144" s="1548"/>
      <c r="DU144" s="1548"/>
      <c r="DV144" s="1548"/>
      <c r="DW144" s="1548"/>
    </row>
    <row r="145" spans="1:127" s="1883" customFormat="1" ht="71.25" customHeight="1">
      <c r="A145" s="3767"/>
      <c r="B145" s="1851" t="str">
        <f t="shared" si="4"/>
        <v>2000002724</v>
      </c>
      <c r="C145" s="1851" t="s">
        <v>3399</v>
      </c>
      <c r="D145" s="2484"/>
      <c r="E145" s="2485"/>
      <c r="F145" s="1495" t="s">
        <v>3401</v>
      </c>
      <c r="G145" s="1495"/>
      <c r="H145" s="1495"/>
      <c r="I145" s="2486" t="s">
        <v>19</v>
      </c>
      <c r="J145" s="1495" t="s">
        <v>1138</v>
      </c>
      <c r="K145" s="2136" t="s">
        <v>6992</v>
      </c>
      <c r="L145" s="2357">
        <v>2900</v>
      </c>
      <c r="M145" s="1773" t="s">
        <v>6993</v>
      </c>
      <c r="N145" s="1843"/>
      <c r="O145" s="1748">
        <v>3</v>
      </c>
      <c r="P145" s="1807"/>
      <c r="Q145" s="1548"/>
      <c r="R145" s="1548"/>
      <c r="S145" s="1548"/>
      <c r="T145" s="1548"/>
      <c r="U145" s="1548"/>
      <c r="V145" s="1548"/>
      <c r="W145" s="1548"/>
      <c r="X145" s="1548"/>
      <c r="Y145" s="1548"/>
      <c r="Z145" s="1548"/>
      <c r="AA145" s="1548"/>
      <c r="AB145" s="1548"/>
      <c r="AC145" s="1548"/>
      <c r="AD145" s="1548"/>
      <c r="AE145" s="1548"/>
      <c r="AF145" s="1548"/>
      <c r="AG145" s="1548"/>
      <c r="AH145" s="1548"/>
      <c r="AI145" s="1548"/>
      <c r="AJ145" s="1548"/>
      <c r="AK145" s="1548"/>
      <c r="AL145" s="1548"/>
      <c r="AM145" s="1548"/>
      <c r="AN145" s="1548"/>
      <c r="AO145" s="1548"/>
      <c r="AP145" s="1548"/>
      <c r="AQ145" s="1548"/>
      <c r="AR145" s="1548"/>
      <c r="AS145" s="1548"/>
      <c r="AT145" s="1548"/>
      <c r="AU145" s="1548"/>
      <c r="AV145" s="1548"/>
      <c r="AW145" s="1548"/>
      <c r="AX145" s="1548"/>
      <c r="AY145" s="1548"/>
      <c r="AZ145" s="1548"/>
      <c r="BA145" s="1548"/>
      <c r="BB145" s="1548"/>
      <c r="BC145" s="1548"/>
      <c r="BD145" s="1548"/>
      <c r="BE145" s="1548"/>
      <c r="BF145" s="1548"/>
      <c r="BG145" s="1548"/>
      <c r="BH145" s="1548"/>
      <c r="BI145" s="1548"/>
      <c r="BJ145" s="1548"/>
      <c r="BK145" s="1548"/>
      <c r="BL145" s="1548"/>
      <c r="BM145" s="1548"/>
      <c r="BN145" s="1548"/>
      <c r="BO145" s="1548"/>
      <c r="BP145" s="1548"/>
      <c r="BQ145" s="1548"/>
      <c r="BR145" s="1548"/>
      <c r="BS145" s="1548"/>
      <c r="BT145" s="1548"/>
      <c r="BU145" s="1548"/>
      <c r="BV145" s="1548"/>
      <c r="BW145" s="1548"/>
      <c r="BX145" s="1548"/>
      <c r="BY145" s="1548"/>
      <c r="BZ145" s="1548"/>
      <c r="CA145" s="1548"/>
      <c r="CB145" s="1548"/>
      <c r="CC145" s="1548"/>
      <c r="CD145" s="1548"/>
      <c r="CE145" s="1548"/>
      <c r="CF145" s="1548"/>
      <c r="CG145" s="1548"/>
      <c r="CH145" s="1548"/>
      <c r="CI145" s="1548"/>
      <c r="CJ145" s="1548"/>
      <c r="CK145" s="1548"/>
      <c r="CL145" s="1548"/>
      <c r="CM145" s="1548"/>
      <c r="CN145" s="1548"/>
      <c r="CO145" s="1548"/>
      <c r="CP145" s="1548"/>
      <c r="CQ145" s="1548"/>
      <c r="CR145" s="1548"/>
      <c r="CS145" s="1548"/>
      <c r="CT145" s="1548"/>
      <c r="CU145" s="1548"/>
      <c r="CV145" s="1548"/>
      <c r="CW145" s="1548"/>
      <c r="CX145" s="1548"/>
      <c r="CY145" s="1548"/>
      <c r="CZ145" s="1548"/>
      <c r="DA145" s="1548"/>
      <c r="DB145" s="1548"/>
      <c r="DC145" s="1548"/>
      <c r="DD145" s="1548"/>
      <c r="DE145" s="1548"/>
      <c r="DF145" s="1548"/>
      <c r="DG145" s="1548"/>
      <c r="DH145" s="1548"/>
      <c r="DI145" s="1548"/>
      <c r="DJ145" s="1548"/>
      <c r="DK145" s="1548"/>
      <c r="DL145" s="1548"/>
      <c r="DM145" s="1548"/>
      <c r="DN145" s="1548"/>
      <c r="DO145" s="1548"/>
      <c r="DP145" s="1548"/>
      <c r="DQ145" s="1548"/>
      <c r="DR145" s="1548"/>
      <c r="DS145" s="1548"/>
      <c r="DT145" s="1548"/>
      <c r="DU145" s="1548"/>
      <c r="DV145" s="1548"/>
      <c r="DW145" s="1548"/>
    </row>
    <row r="146" spans="1:127" s="1883" customFormat="1" ht="71.25" customHeight="1">
      <c r="A146" s="3768"/>
      <c r="B146" s="1851" t="str">
        <f t="shared" si="4"/>
        <v>2000002714</v>
      </c>
      <c r="C146" s="1851" t="s">
        <v>3399</v>
      </c>
      <c r="D146" s="2484"/>
      <c r="E146" s="2485"/>
      <c r="F146" s="1495" t="s">
        <v>3401</v>
      </c>
      <c r="G146" s="1495"/>
      <c r="H146" s="1495"/>
      <c r="I146" s="1495" t="s">
        <v>19</v>
      </c>
      <c r="J146" s="1495" t="s">
        <v>1138</v>
      </c>
      <c r="K146" s="1496" t="s">
        <v>6994</v>
      </c>
      <c r="L146" s="2299">
        <v>710</v>
      </c>
      <c r="M146" s="2196" t="s">
        <v>6995</v>
      </c>
      <c r="N146" s="1843"/>
      <c r="O146" s="1748">
        <v>3</v>
      </c>
      <c r="P146" s="1548"/>
      <c r="Q146" s="1548"/>
      <c r="R146" s="1548"/>
      <c r="S146" s="1548"/>
      <c r="T146" s="1548"/>
      <c r="U146" s="1548"/>
      <c r="V146" s="1548"/>
      <c r="W146" s="1548"/>
      <c r="X146" s="1548"/>
      <c r="Y146" s="1548"/>
      <c r="Z146" s="1548"/>
      <c r="AA146" s="1548"/>
      <c r="AB146" s="1548"/>
      <c r="AC146" s="1548"/>
      <c r="AD146" s="1548"/>
      <c r="AE146" s="1548"/>
      <c r="AF146" s="1548"/>
      <c r="AG146" s="1548"/>
      <c r="AH146" s="1548"/>
      <c r="AI146" s="1548"/>
      <c r="AJ146" s="1548"/>
      <c r="AK146" s="1548"/>
      <c r="AL146" s="1548"/>
      <c r="AM146" s="1548"/>
      <c r="AN146" s="1548"/>
      <c r="AO146" s="1548"/>
      <c r="AP146" s="1548"/>
      <c r="AQ146" s="1548"/>
      <c r="AR146" s="1548"/>
      <c r="AS146" s="1548"/>
      <c r="AT146" s="1548"/>
      <c r="AU146" s="1548"/>
      <c r="AV146" s="1548"/>
      <c r="AW146" s="1548"/>
      <c r="AX146" s="1548"/>
      <c r="AY146" s="1548"/>
      <c r="AZ146" s="1548"/>
      <c r="BA146" s="1548"/>
      <c r="BB146" s="1548"/>
      <c r="BC146" s="1548"/>
      <c r="BD146" s="1548"/>
      <c r="BE146" s="1548"/>
      <c r="BF146" s="1548"/>
      <c r="BG146" s="1548"/>
      <c r="BH146" s="1548"/>
      <c r="BI146" s="1548"/>
      <c r="BJ146" s="1548"/>
      <c r="BK146" s="1548"/>
      <c r="BL146" s="1548"/>
      <c r="BM146" s="1548"/>
      <c r="BN146" s="1548"/>
      <c r="BO146" s="1548"/>
      <c r="BP146" s="1548"/>
      <c r="BQ146" s="1548"/>
      <c r="BR146" s="1548"/>
      <c r="BS146" s="1548"/>
      <c r="BT146" s="1548"/>
      <c r="BU146" s="1548"/>
      <c r="BV146" s="1548"/>
      <c r="BW146" s="1548"/>
      <c r="BX146" s="1548"/>
      <c r="BY146" s="1548"/>
      <c r="BZ146" s="1548"/>
      <c r="CA146" s="1548"/>
      <c r="CB146" s="1548"/>
      <c r="CC146" s="1548"/>
      <c r="CD146" s="1548"/>
      <c r="CE146" s="1548"/>
      <c r="CF146" s="1548"/>
      <c r="CG146" s="1548"/>
      <c r="CH146" s="1548"/>
      <c r="CI146" s="1548"/>
      <c r="CJ146" s="1548"/>
      <c r="CK146" s="1548"/>
      <c r="CL146" s="1548"/>
      <c r="CM146" s="1548"/>
      <c r="CN146" s="1548"/>
      <c r="CO146" s="1548"/>
      <c r="CP146" s="1548"/>
      <c r="CQ146" s="1548"/>
      <c r="CR146" s="1548"/>
      <c r="CS146" s="1548"/>
      <c r="CT146" s="1548"/>
      <c r="CU146" s="1548"/>
      <c r="CV146" s="1548"/>
      <c r="CW146" s="1548"/>
      <c r="CX146" s="1548"/>
      <c r="CY146" s="1548"/>
      <c r="CZ146" s="1548"/>
      <c r="DA146" s="1548"/>
      <c r="DB146" s="1548"/>
      <c r="DC146" s="1548"/>
      <c r="DD146" s="1548"/>
      <c r="DE146" s="1548"/>
      <c r="DF146" s="1548"/>
      <c r="DG146" s="1548"/>
      <c r="DH146" s="1548"/>
      <c r="DI146" s="1548"/>
      <c r="DJ146" s="1548"/>
      <c r="DK146" s="1548"/>
      <c r="DL146" s="1548"/>
      <c r="DM146" s="1548"/>
      <c r="DN146" s="1548"/>
      <c r="DO146" s="1548"/>
      <c r="DP146" s="1548"/>
      <c r="DQ146" s="1548"/>
      <c r="DR146" s="1548"/>
      <c r="DS146" s="1548"/>
      <c r="DT146" s="1548"/>
      <c r="DU146" s="1548"/>
      <c r="DV146" s="1548"/>
      <c r="DW146" s="1548"/>
    </row>
    <row r="147" spans="1:127" s="2122" customFormat="1" ht="61.5" customHeight="1">
      <c r="A147" s="3773">
        <v>40</v>
      </c>
      <c r="B147" s="2118" t="str">
        <f t="shared" si="4"/>
        <v>2000002700</v>
      </c>
      <c r="C147" s="2118" t="s">
        <v>82</v>
      </c>
      <c r="D147" s="2453">
        <v>4200</v>
      </c>
      <c r="E147" s="2118" t="s">
        <v>6996</v>
      </c>
      <c r="F147" s="2120" t="s">
        <v>84</v>
      </c>
      <c r="G147" s="1921" t="s">
        <v>6997</v>
      </c>
      <c r="H147" s="2118" t="s">
        <v>6317</v>
      </c>
      <c r="I147" s="2344" t="s">
        <v>19</v>
      </c>
      <c r="J147" s="1561" t="s">
        <v>74</v>
      </c>
      <c r="K147" s="2696" t="s">
        <v>6998</v>
      </c>
      <c r="L147" s="2325">
        <v>1290</v>
      </c>
      <c r="M147" s="2448" t="s">
        <v>5937</v>
      </c>
      <c r="N147" s="2487" t="s">
        <v>6874</v>
      </c>
      <c r="O147" s="1939">
        <v>3</v>
      </c>
      <c r="P147" s="2150"/>
      <c r="Q147" s="2150"/>
      <c r="R147" s="2150"/>
      <c r="S147" s="2150"/>
      <c r="T147" s="2150"/>
      <c r="U147" s="2150"/>
      <c r="V147" s="2150"/>
      <c r="W147" s="2150"/>
      <c r="X147" s="2150"/>
      <c r="Y147" s="2150"/>
      <c r="Z147" s="2150"/>
      <c r="AA147" s="2150"/>
      <c r="AB147" s="2150"/>
      <c r="AC147" s="2150"/>
      <c r="AD147" s="2150"/>
      <c r="AE147" s="2150"/>
      <c r="AF147" s="2150"/>
      <c r="AG147" s="2150"/>
      <c r="AH147" s="2150"/>
      <c r="AI147" s="2150"/>
      <c r="AJ147" s="2150"/>
      <c r="AK147" s="2150"/>
      <c r="AL147" s="2150"/>
      <c r="AM147" s="2150"/>
      <c r="AN147" s="2150"/>
      <c r="AO147" s="2150"/>
      <c r="AP147" s="2150"/>
      <c r="AQ147" s="2150"/>
      <c r="AR147" s="2150"/>
      <c r="AS147" s="2150"/>
      <c r="AT147" s="2150"/>
      <c r="AU147" s="2150"/>
      <c r="AV147" s="2150"/>
      <c r="AW147" s="2150"/>
      <c r="AX147" s="2150"/>
      <c r="AY147" s="2150"/>
      <c r="AZ147" s="2150"/>
      <c r="BA147" s="2150"/>
      <c r="BB147" s="2150"/>
      <c r="BC147" s="2150"/>
      <c r="BD147" s="2150"/>
      <c r="BE147" s="2150"/>
      <c r="BF147" s="2150"/>
      <c r="BG147" s="2150"/>
      <c r="BH147" s="2150"/>
      <c r="BI147" s="2150"/>
      <c r="BJ147" s="2150"/>
      <c r="BK147" s="2150"/>
      <c r="BL147" s="2150"/>
      <c r="BM147" s="2150"/>
      <c r="BN147" s="2150"/>
      <c r="BO147" s="2150"/>
      <c r="BP147" s="2150"/>
      <c r="BQ147" s="2150"/>
      <c r="BR147" s="2150"/>
      <c r="BS147" s="2150"/>
      <c r="BT147" s="2150"/>
      <c r="BU147" s="2150"/>
      <c r="BV147" s="2150"/>
      <c r="BW147" s="2150"/>
      <c r="BX147" s="2150"/>
      <c r="BY147" s="2150"/>
      <c r="BZ147" s="2150"/>
      <c r="CA147" s="2150"/>
      <c r="CB147" s="2150"/>
      <c r="CC147" s="2150"/>
      <c r="CD147" s="2150"/>
      <c r="CE147" s="2150"/>
      <c r="CF147" s="2150"/>
      <c r="CG147" s="2150"/>
      <c r="CH147" s="2150"/>
      <c r="CI147" s="2150"/>
      <c r="CJ147" s="2150"/>
      <c r="CK147" s="2150"/>
      <c r="CL147" s="2150"/>
      <c r="CM147" s="2150"/>
      <c r="CN147" s="2150"/>
      <c r="CO147" s="2150"/>
      <c r="CP147" s="2150"/>
      <c r="CQ147" s="2150"/>
      <c r="CR147" s="2150"/>
      <c r="CS147" s="2150"/>
      <c r="CT147" s="2150"/>
      <c r="CU147" s="2150"/>
      <c r="CV147" s="2150"/>
      <c r="CW147" s="2150"/>
      <c r="CX147" s="2150"/>
      <c r="CY147" s="2150"/>
      <c r="CZ147" s="2150"/>
      <c r="DA147" s="2150"/>
      <c r="DB147" s="2150"/>
      <c r="DC147" s="2150"/>
      <c r="DD147" s="2150"/>
      <c r="DE147" s="2150"/>
      <c r="DF147" s="2150"/>
      <c r="DG147" s="2150"/>
      <c r="DH147" s="2150"/>
      <c r="DI147" s="2150"/>
      <c r="DJ147" s="2150"/>
      <c r="DK147" s="2150"/>
      <c r="DL147" s="2150"/>
      <c r="DM147" s="2150"/>
      <c r="DN147" s="2150"/>
      <c r="DO147" s="2150"/>
      <c r="DP147" s="2150"/>
      <c r="DQ147" s="2150"/>
      <c r="DR147" s="2150"/>
      <c r="DS147" s="2150"/>
      <c r="DT147" s="2150"/>
      <c r="DU147" s="2150"/>
      <c r="DV147" s="2150"/>
      <c r="DW147" s="2150"/>
    </row>
    <row r="148" spans="1:127" s="2122" customFormat="1" ht="60.75" customHeight="1">
      <c r="A148" s="3768"/>
      <c r="B148" s="1851" t="str">
        <f t="shared" si="4"/>
        <v>2200001895</v>
      </c>
      <c r="C148" s="1851" t="s">
        <v>82</v>
      </c>
      <c r="D148" s="2454"/>
      <c r="E148" s="1851"/>
      <c r="F148" s="1872" t="s">
        <v>84</v>
      </c>
      <c r="G148" s="1921"/>
      <c r="H148" s="1921"/>
      <c r="I148" s="2327" t="s">
        <v>19</v>
      </c>
      <c r="J148" s="1921" t="s">
        <v>101</v>
      </c>
      <c r="K148" s="2697" t="s">
        <v>6999</v>
      </c>
      <c r="L148" s="2388">
        <v>2908</v>
      </c>
      <c r="M148" s="2471" t="s">
        <v>6947</v>
      </c>
      <c r="N148" s="1809" t="s">
        <v>7000</v>
      </c>
      <c r="O148" s="1939">
        <v>3</v>
      </c>
      <c r="Q148" s="2324"/>
      <c r="DW148" s="2033"/>
    </row>
    <row r="149" spans="1:127" s="2122" customFormat="1" ht="60.75" customHeight="1">
      <c r="A149" s="3773">
        <v>41</v>
      </c>
      <c r="B149" s="1921" t="str">
        <f t="shared" si="4"/>
        <v>2000002699</v>
      </c>
      <c r="C149" s="1921" t="s">
        <v>5512</v>
      </c>
      <c r="D149" s="2461">
        <v>4370</v>
      </c>
      <c r="E149" s="1921" t="s">
        <v>6996</v>
      </c>
      <c r="F149" s="1921" t="s">
        <v>7001</v>
      </c>
      <c r="G149" s="1921" t="s">
        <v>7002</v>
      </c>
      <c r="H149" s="2118" t="s">
        <v>6317</v>
      </c>
      <c r="I149" s="1921" t="s">
        <v>19</v>
      </c>
      <c r="J149" s="1921" t="s">
        <v>74</v>
      </c>
      <c r="K149" s="1845" t="s">
        <v>7003</v>
      </c>
      <c r="L149" s="2488">
        <v>2606</v>
      </c>
      <c r="M149" s="2448" t="s">
        <v>5937</v>
      </c>
      <c r="N149" s="2369" t="s">
        <v>6874</v>
      </c>
      <c r="O149" s="1748">
        <v>3</v>
      </c>
      <c r="P149" s="2150"/>
      <c r="Q149" s="2150"/>
      <c r="R149" s="2150"/>
      <c r="S149" s="1548"/>
      <c r="T149" s="1548"/>
      <c r="U149" s="1548"/>
      <c r="V149" s="1548"/>
      <c r="W149" s="1548"/>
      <c r="X149" s="1548"/>
      <c r="Y149" s="1548"/>
      <c r="Z149" s="1548"/>
      <c r="AA149" s="1548"/>
      <c r="AB149" s="1548"/>
      <c r="AC149" s="1548"/>
      <c r="AD149" s="1548"/>
      <c r="AE149" s="1548"/>
      <c r="AF149" s="1548"/>
      <c r="AG149" s="1548"/>
      <c r="AH149" s="1548"/>
      <c r="AI149" s="1548"/>
      <c r="AJ149" s="1548"/>
      <c r="AK149" s="1548"/>
      <c r="AL149" s="1548"/>
      <c r="AM149" s="1548"/>
      <c r="AN149" s="1548"/>
      <c r="AO149" s="1548"/>
      <c r="AP149" s="1548"/>
      <c r="AQ149" s="1548"/>
      <c r="AR149" s="1548"/>
      <c r="AS149" s="1548"/>
      <c r="AT149" s="1548"/>
      <c r="AU149" s="1548"/>
      <c r="AV149" s="1548"/>
      <c r="AW149" s="1548"/>
      <c r="AX149" s="1548"/>
      <c r="AY149" s="1548"/>
      <c r="AZ149" s="1548"/>
      <c r="BA149" s="1548"/>
      <c r="BB149" s="1548"/>
      <c r="BC149" s="1548"/>
      <c r="BD149" s="1548"/>
      <c r="BE149" s="1548"/>
      <c r="BF149" s="1548"/>
      <c r="BG149" s="1548"/>
      <c r="BH149" s="1548"/>
      <c r="BI149" s="1548"/>
      <c r="BJ149" s="1548"/>
      <c r="BK149" s="1548"/>
      <c r="BL149" s="1548"/>
      <c r="BM149" s="1548"/>
      <c r="BN149" s="1548"/>
      <c r="BO149" s="1548"/>
      <c r="BP149" s="1548"/>
      <c r="BQ149" s="1548"/>
      <c r="BR149" s="1548"/>
      <c r="BS149" s="1548"/>
      <c r="BT149" s="1548"/>
      <c r="BU149" s="1548"/>
      <c r="BV149" s="1548"/>
      <c r="BW149" s="1548"/>
      <c r="BX149" s="1548"/>
      <c r="BY149" s="1548"/>
      <c r="BZ149" s="1548"/>
      <c r="CA149" s="1548"/>
      <c r="CB149" s="1548"/>
      <c r="CC149" s="1548"/>
      <c r="CD149" s="1548"/>
      <c r="CE149" s="1548"/>
      <c r="CF149" s="1548"/>
      <c r="CG149" s="1548"/>
      <c r="CH149" s="1548"/>
      <c r="CI149" s="1548"/>
      <c r="CJ149" s="1548"/>
      <c r="CK149" s="1548"/>
      <c r="CL149" s="1548"/>
      <c r="CM149" s="1548"/>
      <c r="CN149" s="1548"/>
      <c r="CO149" s="1548"/>
      <c r="CP149" s="1548"/>
      <c r="CQ149" s="1548"/>
      <c r="CR149" s="1548"/>
      <c r="CS149" s="1548"/>
      <c r="CT149" s="1548"/>
      <c r="CU149" s="1548"/>
      <c r="CV149" s="1548"/>
      <c r="CW149" s="1548"/>
      <c r="CX149" s="1548"/>
      <c r="CY149" s="1548"/>
      <c r="CZ149" s="1548"/>
      <c r="DA149" s="1548"/>
      <c r="DB149" s="1548"/>
      <c r="DC149" s="1548"/>
      <c r="DD149" s="1548"/>
      <c r="DE149" s="1548"/>
      <c r="DF149" s="1548"/>
      <c r="DG149" s="1548"/>
      <c r="DH149" s="1548"/>
      <c r="DI149" s="1548"/>
      <c r="DJ149" s="1548"/>
      <c r="DK149" s="1548"/>
      <c r="DL149" s="1548"/>
      <c r="DM149" s="1548"/>
      <c r="DN149" s="1548"/>
      <c r="DO149" s="1548"/>
      <c r="DP149" s="1548"/>
      <c r="DQ149" s="1548"/>
      <c r="DR149" s="1548"/>
      <c r="DS149" s="1548"/>
      <c r="DT149" s="1548"/>
      <c r="DU149" s="1548"/>
      <c r="DV149" s="1548"/>
      <c r="DW149" s="1548"/>
    </row>
    <row r="150" spans="1:127" s="2122" customFormat="1" ht="60.75" customHeight="1">
      <c r="A150" s="3767"/>
      <c r="B150" s="1495" t="str">
        <f t="shared" si="4"/>
        <v>2000002700</v>
      </c>
      <c r="C150" s="1495" t="s">
        <v>5512</v>
      </c>
      <c r="D150" s="2463"/>
      <c r="E150" s="1495"/>
      <c r="F150" s="1495" t="s">
        <v>7001</v>
      </c>
      <c r="G150" s="1495"/>
      <c r="H150" s="1495"/>
      <c r="I150" s="1495" t="s">
        <v>19</v>
      </c>
      <c r="J150" s="1495" t="s">
        <v>74</v>
      </c>
      <c r="K150" s="1600" t="s">
        <v>7004</v>
      </c>
      <c r="L150" s="2325">
        <v>1134</v>
      </c>
      <c r="M150" s="2448" t="s">
        <v>5937</v>
      </c>
      <c r="N150" s="1843" t="s">
        <v>6874</v>
      </c>
      <c r="O150" s="1748">
        <v>3</v>
      </c>
      <c r="P150" s="1548"/>
      <c r="Q150" s="1548"/>
      <c r="R150" s="1548"/>
      <c r="S150" s="1548"/>
      <c r="T150" s="1548"/>
      <c r="U150" s="1548"/>
      <c r="V150" s="1548"/>
      <c r="W150" s="1548"/>
      <c r="X150" s="1548"/>
      <c r="Y150" s="1548"/>
      <c r="Z150" s="1548"/>
      <c r="AA150" s="1548"/>
      <c r="AB150" s="1548"/>
      <c r="AC150" s="1548"/>
      <c r="AD150" s="1548"/>
      <c r="AE150" s="1548"/>
      <c r="AF150" s="1548"/>
      <c r="AG150" s="1548"/>
      <c r="AH150" s="1548"/>
      <c r="AI150" s="1548"/>
      <c r="AJ150" s="1548"/>
      <c r="AK150" s="1548"/>
      <c r="AL150" s="1548"/>
      <c r="AM150" s="1548"/>
      <c r="AN150" s="1548"/>
      <c r="AO150" s="1548"/>
      <c r="AP150" s="1548"/>
      <c r="AQ150" s="1548"/>
      <c r="AR150" s="1548"/>
      <c r="AS150" s="1548"/>
      <c r="AT150" s="1548"/>
      <c r="AU150" s="1548"/>
      <c r="AV150" s="1548"/>
      <c r="AW150" s="1548"/>
      <c r="AX150" s="1548"/>
      <c r="AY150" s="1548"/>
      <c r="AZ150" s="1548"/>
      <c r="BA150" s="1548"/>
      <c r="BB150" s="1548"/>
      <c r="BC150" s="1548"/>
      <c r="BD150" s="1548"/>
      <c r="BE150" s="1548"/>
      <c r="BF150" s="1548"/>
      <c r="BG150" s="1548"/>
      <c r="BH150" s="1548"/>
      <c r="BI150" s="1548"/>
      <c r="BJ150" s="1548"/>
      <c r="BK150" s="1548"/>
      <c r="BL150" s="1548"/>
      <c r="BM150" s="1548"/>
      <c r="BN150" s="1548"/>
      <c r="BO150" s="1548"/>
      <c r="BP150" s="1548"/>
      <c r="BQ150" s="1548"/>
      <c r="BR150" s="1548"/>
      <c r="BS150" s="1548"/>
      <c r="BT150" s="1548"/>
      <c r="BU150" s="1548"/>
      <c r="BV150" s="1548"/>
      <c r="BW150" s="1548"/>
      <c r="BX150" s="1548"/>
      <c r="BY150" s="1548"/>
      <c r="BZ150" s="1548"/>
      <c r="CA150" s="1548"/>
      <c r="CB150" s="1548"/>
      <c r="CC150" s="1548"/>
      <c r="CD150" s="1548"/>
      <c r="CE150" s="1548"/>
      <c r="CF150" s="1548"/>
      <c r="CG150" s="1548"/>
      <c r="CH150" s="1548"/>
      <c r="CI150" s="1548"/>
      <c r="CJ150" s="1548"/>
      <c r="CK150" s="1548"/>
      <c r="CL150" s="1548"/>
      <c r="CM150" s="1548"/>
      <c r="CN150" s="1548"/>
      <c r="CO150" s="1548"/>
      <c r="CP150" s="1548"/>
      <c r="CQ150" s="1548"/>
      <c r="CR150" s="1548"/>
      <c r="CS150" s="1548"/>
      <c r="CT150" s="1548"/>
      <c r="CU150" s="1548"/>
      <c r="CV150" s="1548"/>
      <c r="CW150" s="1548"/>
      <c r="CX150" s="1548"/>
      <c r="CY150" s="1548"/>
      <c r="CZ150" s="1548"/>
      <c r="DA150" s="1548"/>
      <c r="DB150" s="1548"/>
      <c r="DC150" s="1548"/>
      <c r="DD150" s="1548"/>
      <c r="DE150" s="1548"/>
      <c r="DF150" s="1548"/>
      <c r="DG150" s="1548"/>
      <c r="DH150" s="1548"/>
      <c r="DI150" s="1548"/>
      <c r="DJ150" s="1548"/>
      <c r="DK150" s="1548"/>
      <c r="DL150" s="1548"/>
      <c r="DM150" s="1548"/>
      <c r="DN150" s="1548"/>
      <c r="DO150" s="1548"/>
      <c r="DP150" s="1548"/>
      <c r="DQ150" s="1548"/>
      <c r="DR150" s="1548"/>
      <c r="DS150" s="1548"/>
      <c r="DT150" s="1548"/>
      <c r="DU150" s="1548"/>
      <c r="DV150" s="1548"/>
      <c r="DW150" s="1548"/>
    </row>
    <row r="151" spans="1:127" s="2122" customFormat="1" ht="60.75" customHeight="1">
      <c r="A151" s="3767"/>
      <c r="B151" s="1495" t="str">
        <f t="shared" si="4"/>
        <v>2000002732</v>
      </c>
      <c r="C151" s="1495" t="s">
        <v>5512</v>
      </c>
      <c r="D151" s="2463"/>
      <c r="E151" s="1495"/>
      <c r="F151" s="1495" t="s">
        <v>7001</v>
      </c>
      <c r="G151" s="1495"/>
      <c r="H151" s="1495"/>
      <c r="I151" s="1495" t="s">
        <v>19</v>
      </c>
      <c r="J151" s="1495" t="s">
        <v>63</v>
      </c>
      <c r="K151" s="1600" t="s">
        <v>7005</v>
      </c>
      <c r="L151" s="2299">
        <v>100</v>
      </c>
      <c r="M151" s="2196" t="s">
        <v>5454</v>
      </c>
      <c r="N151" s="1843"/>
      <c r="O151" s="1748">
        <v>3</v>
      </c>
      <c r="P151" s="2150"/>
      <c r="Q151" s="2150"/>
      <c r="R151" s="2150"/>
      <c r="S151" s="2150"/>
      <c r="T151" s="2150"/>
      <c r="U151" s="2150"/>
      <c r="V151" s="2150"/>
      <c r="W151" s="2150"/>
      <c r="X151" s="2150"/>
      <c r="Y151" s="2150"/>
      <c r="Z151" s="2150"/>
      <c r="AA151" s="2150"/>
      <c r="AB151" s="2150"/>
      <c r="AC151" s="2150"/>
      <c r="AD151" s="2150"/>
      <c r="AE151" s="2150"/>
      <c r="AF151" s="2150"/>
      <c r="AG151" s="2150"/>
      <c r="AH151" s="2150"/>
      <c r="AI151" s="2150"/>
      <c r="AJ151" s="2150"/>
      <c r="AK151" s="2150"/>
      <c r="AL151" s="2150"/>
      <c r="AM151" s="2150"/>
      <c r="AN151" s="2150"/>
      <c r="AO151" s="2150"/>
      <c r="AP151" s="2150"/>
      <c r="AQ151" s="2150"/>
      <c r="AR151" s="2150"/>
      <c r="AS151" s="2150"/>
      <c r="AT151" s="2150"/>
      <c r="AU151" s="2150"/>
      <c r="AV151" s="2150"/>
      <c r="AW151" s="2150"/>
      <c r="AX151" s="2150"/>
      <c r="AY151" s="2150"/>
      <c r="AZ151" s="2150"/>
      <c r="BA151" s="2150"/>
      <c r="BB151" s="2150"/>
      <c r="BC151" s="2150"/>
      <c r="BD151" s="2150"/>
      <c r="BE151" s="2150"/>
      <c r="BF151" s="2150"/>
      <c r="BG151" s="2150"/>
      <c r="BH151" s="2150"/>
      <c r="BI151" s="2150"/>
      <c r="BJ151" s="2150"/>
      <c r="BK151" s="2150"/>
      <c r="BL151" s="2150"/>
      <c r="BM151" s="2150"/>
      <c r="BN151" s="2150"/>
      <c r="BO151" s="2150"/>
      <c r="BP151" s="2150"/>
      <c r="BQ151" s="2150"/>
      <c r="BR151" s="2150"/>
      <c r="BS151" s="2150"/>
      <c r="BT151" s="2150"/>
      <c r="BU151" s="2150"/>
      <c r="BV151" s="2150"/>
      <c r="BW151" s="2150"/>
      <c r="BX151" s="2150"/>
      <c r="BY151" s="2150"/>
      <c r="BZ151" s="2150"/>
      <c r="CA151" s="2150"/>
      <c r="CB151" s="2150"/>
      <c r="CC151" s="2150"/>
      <c r="CD151" s="2150"/>
      <c r="CE151" s="2150"/>
      <c r="CF151" s="2150"/>
      <c r="CG151" s="2150"/>
      <c r="CH151" s="2150"/>
      <c r="CI151" s="2150"/>
      <c r="CJ151" s="2150"/>
      <c r="CK151" s="2150"/>
      <c r="CL151" s="2150"/>
      <c r="CM151" s="2150"/>
      <c r="CN151" s="2150"/>
      <c r="CO151" s="2150"/>
      <c r="CP151" s="2150"/>
      <c r="CQ151" s="2150"/>
      <c r="CR151" s="2150"/>
      <c r="CS151" s="2150"/>
      <c r="CT151" s="2150"/>
      <c r="CU151" s="2150"/>
      <c r="CV151" s="2150"/>
      <c r="CW151" s="2150"/>
      <c r="CX151" s="2150"/>
      <c r="CY151" s="2150"/>
      <c r="CZ151" s="2150"/>
      <c r="DA151" s="2150"/>
      <c r="DB151" s="2150"/>
      <c r="DC151" s="2150"/>
      <c r="DD151" s="2150"/>
      <c r="DE151" s="2150"/>
      <c r="DF151" s="2150"/>
      <c r="DG151" s="2150"/>
      <c r="DH151" s="2150"/>
      <c r="DI151" s="2150"/>
      <c r="DJ151" s="2150"/>
      <c r="DK151" s="2150"/>
      <c r="DL151" s="2150"/>
      <c r="DM151" s="2150"/>
      <c r="DN151" s="2150"/>
      <c r="DO151" s="2150"/>
      <c r="DP151" s="2150"/>
      <c r="DQ151" s="2150"/>
      <c r="DR151" s="2150"/>
      <c r="DS151" s="2150"/>
      <c r="DT151" s="2150"/>
      <c r="DU151" s="2150"/>
      <c r="DV151" s="2150"/>
      <c r="DW151" s="2150"/>
    </row>
    <row r="152" spans="1:127" s="2122" customFormat="1" ht="60.75" customHeight="1">
      <c r="A152" s="3768"/>
      <c r="B152" s="1495" t="str">
        <f t="shared" si="4"/>
        <v>2000002696</v>
      </c>
      <c r="C152" s="1495" t="s">
        <v>5512</v>
      </c>
      <c r="D152" s="2463"/>
      <c r="E152" s="1495"/>
      <c r="F152" s="1495" t="s">
        <v>7001</v>
      </c>
      <c r="G152" s="1495"/>
      <c r="H152" s="1495"/>
      <c r="I152" s="1495" t="s">
        <v>19</v>
      </c>
      <c r="J152" s="1495" t="s">
        <v>63</v>
      </c>
      <c r="K152" s="1600" t="s">
        <v>7006</v>
      </c>
      <c r="L152" s="2299">
        <v>500</v>
      </c>
      <c r="M152" s="2196" t="s">
        <v>7007</v>
      </c>
      <c r="N152" s="1843"/>
      <c r="O152" s="1748">
        <v>3</v>
      </c>
      <c r="P152" s="2150"/>
      <c r="Q152" s="2150"/>
      <c r="R152" s="2150"/>
      <c r="S152" s="2150"/>
      <c r="T152" s="2150"/>
      <c r="U152" s="2150"/>
      <c r="V152" s="2150"/>
      <c r="W152" s="2150"/>
      <c r="X152" s="2150"/>
      <c r="Y152" s="2150"/>
      <c r="Z152" s="2150"/>
      <c r="AA152" s="2150"/>
      <c r="AB152" s="2150"/>
      <c r="AC152" s="2150"/>
      <c r="AD152" s="2150"/>
      <c r="AE152" s="2150"/>
      <c r="AF152" s="2150"/>
      <c r="AG152" s="2150"/>
      <c r="AH152" s="2150"/>
      <c r="AI152" s="2150"/>
      <c r="AJ152" s="2150"/>
      <c r="AK152" s="2150"/>
      <c r="AL152" s="2150"/>
      <c r="AM152" s="2150"/>
      <c r="AN152" s="2150"/>
      <c r="AO152" s="2150"/>
      <c r="AP152" s="2150"/>
      <c r="AQ152" s="2150"/>
      <c r="AR152" s="2150"/>
      <c r="AS152" s="2150"/>
      <c r="AT152" s="2150"/>
      <c r="AU152" s="2150"/>
      <c r="AV152" s="2150"/>
      <c r="AW152" s="2150"/>
      <c r="AX152" s="2150"/>
      <c r="AY152" s="2150"/>
      <c r="AZ152" s="2150"/>
      <c r="BA152" s="2150"/>
      <c r="BB152" s="2150"/>
      <c r="BC152" s="2150"/>
      <c r="BD152" s="2150"/>
      <c r="BE152" s="2150"/>
      <c r="BF152" s="2150"/>
      <c r="BG152" s="2150"/>
      <c r="BH152" s="2150"/>
      <c r="BI152" s="2150"/>
      <c r="BJ152" s="2150"/>
      <c r="BK152" s="2150"/>
      <c r="BL152" s="2150"/>
      <c r="BM152" s="2150"/>
      <c r="BN152" s="2150"/>
      <c r="BO152" s="2150"/>
      <c r="BP152" s="2150"/>
      <c r="BQ152" s="2150"/>
      <c r="BR152" s="2150"/>
      <c r="BS152" s="2150"/>
      <c r="BT152" s="2150"/>
      <c r="BU152" s="2150"/>
      <c r="BV152" s="2150"/>
      <c r="BW152" s="2150"/>
      <c r="BX152" s="2150"/>
      <c r="BY152" s="2150"/>
      <c r="BZ152" s="2150"/>
      <c r="CA152" s="2150"/>
      <c r="CB152" s="2150"/>
      <c r="CC152" s="2150"/>
      <c r="CD152" s="2150"/>
      <c r="CE152" s="2150"/>
      <c r="CF152" s="2150"/>
      <c r="CG152" s="2150"/>
      <c r="CH152" s="2150"/>
      <c r="CI152" s="2150"/>
      <c r="CJ152" s="2150"/>
      <c r="CK152" s="2150"/>
      <c r="CL152" s="2150"/>
      <c r="CM152" s="2150"/>
      <c r="CN152" s="2150"/>
      <c r="CO152" s="2150"/>
      <c r="CP152" s="2150"/>
      <c r="CQ152" s="2150"/>
      <c r="CR152" s="2150"/>
      <c r="CS152" s="2150"/>
      <c r="CT152" s="2150"/>
      <c r="CU152" s="2150"/>
      <c r="CV152" s="2150"/>
      <c r="CW152" s="2150"/>
      <c r="CX152" s="2150"/>
      <c r="CY152" s="2150"/>
      <c r="CZ152" s="2150"/>
      <c r="DA152" s="2150"/>
      <c r="DB152" s="2150"/>
      <c r="DC152" s="2150"/>
      <c r="DD152" s="2150"/>
      <c r="DE152" s="2150"/>
      <c r="DF152" s="2150"/>
      <c r="DG152" s="2150"/>
      <c r="DH152" s="2150"/>
      <c r="DI152" s="2150"/>
      <c r="DJ152" s="2150"/>
      <c r="DK152" s="2150"/>
      <c r="DL152" s="2150"/>
      <c r="DM152" s="2150"/>
      <c r="DN152" s="2150"/>
      <c r="DO152" s="2150"/>
      <c r="DP152" s="2150"/>
      <c r="DQ152" s="2150"/>
      <c r="DR152" s="2150"/>
      <c r="DS152" s="2150"/>
      <c r="DT152" s="2150"/>
      <c r="DU152" s="2150"/>
      <c r="DV152" s="2150"/>
      <c r="DW152" s="2150"/>
    </row>
    <row r="153" spans="1:127" s="2122" customFormat="1" ht="60.75" customHeight="1">
      <c r="A153" s="3773">
        <v>42</v>
      </c>
      <c r="B153" s="2118" t="str">
        <f t="shared" si="4"/>
        <v>2200001897</v>
      </c>
      <c r="C153" s="2118" t="s">
        <v>3699</v>
      </c>
      <c r="D153" s="2453">
        <v>4370</v>
      </c>
      <c r="E153" s="2120" t="s">
        <v>7008</v>
      </c>
      <c r="F153" s="1921" t="s">
        <v>61</v>
      </c>
      <c r="G153" s="1909" t="s">
        <v>7009</v>
      </c>
      <c r="H153" s="1921" t="s">
        <v>6317</v>
      </c>
      <c r="I153" s="2344" t="s">
        <v>19</v>
      </c>
      <c r="J153" s="2120" t="s">
        <v>101</v>
      </c>
      <c r="K153" s="2161" t="s">
        <v>7010</v>
      </c>
      <c r="L153" s="2489">
        <v>3180</v>
      </c>
      <c r="M153" s="2448" t="s">
        <v>5953</v>
      </c>
      <c r="N153" s="2130" t="s">
        <v>7011</v>
      </c>
      <c r="O153" s="2117">
        <v>3</v>
      </c>
      <c r="Q153" s="2324"/>
    </row>
    <row r="154" spans="1:127" s="2129" customFormat="1" ht="60.75" customHeight="1">
      <c r="A154" s="3768"/>
      <c r="B154" s="1875" t="str">
        <f t="shared" si="4"/>
        <v>2200001901</v>
      </c>
      <c r="C154" s="1875" t="s">
        <v>3699</v>
      </c>
      <c r="D154" s="2465"/>
      <c r="E154" s="2028"/>
      <c r="F154" s="1543" t="s">
        <v>61</v>
      </c>
      <c r="G154" s="1543"/>
      <c r="H154" s="1543"/>
      <c r="I154" s="2362" t="s">
        <v>19</v>
      </c>
      <c r="J154" s="2028" t="s">
        <v>101</v>
      </c>
      <c r="K154" s="1988" t="s">
        <v>7012</v>
      </c>
      <c r="L154" s="2490">
        <v>1190</v>
      </c>
      <c r="M154" s="1875" t="s">
        <v>7013</v>
      </c>
      <c r="N154" s="2364"/>
      <c r="O154" s="2053">
        <v>3</v>
      </c>
      <c r="P154" s="1945"/>
      <c r="Q154" s="1985"/>
      <c r="R154" s="1945"/>
      <c r="S154" s="1945"/>
      <c r="T154" s="1945"/>
      <c r="U154" s="1945"/>
      <c r="V154" s="1945"/>
      <c r="W154" s="1945"/>
      <c r="X154" s="1945"/>
      <c r="Y154" s="1945"/>
      <c r="Z154" s="1945"/>
      <c r="AA154" s="1945"/>
      <c r="AB154" s="1945"/>
      <c r="AC154" s="1945"/>
      <c r="AD154" s="1945"/>
      <c r="AE154" s="1945"/>
      <c r="AF154" s="1945"/>
      <c r="AG154" s="1945"/>
      <c r="AH154" s="1945"/>
      <c r="AI154" s="1945"/>
      <c r="AJ154" s="1945"/>
      <c r="AK154" s="1945"/>
      <c r="AL154" s="1945"/>
      <c r="AM154" s="1945"/>
      <c r="AN154" s="1945"/>
      <c r="AO154" s="1945"/>
      <c r="AP154" s="1945"/>
      <c r="AQ154" s="1945"/>
      <c r="AR154" s="1945"/>
      <c r="AS154" s="1945"/>
      <c r="AT154" s="1945"/>
      <c r="AU154" s="1945"/>
      <c r="AV154" s="1945"/>
      <c r="AW154" s="1945"/>
      <c r="AX154" s="1945"/>
      <c r="AY154" s="1945"/>
      <c r="AZ154" s="1945"/>
      <c r="BA154" s="1945"/>
      <c r="BB154" s="1945"/>
      <c r="BC154" s="1945"/>
      <c r="BD154" s="1945"/>
      <c r="BE154" s="1945"/>
      <c r="BF154" s="1945"/>
      <c r="BG154" s="1945"/>
      <c r="BH154" s="1945"/>
      <c r="BI154" s="1945"/>
      <c r="BJ154" s="1945"/>
      <c r="BK154" s="1945"/>
      <c r="BL154" s="1945"/>
      <c r="BM154" s="1945"/>
      <c r="BN154" s="1945"/>
      <c r="BO154" s="1945"/>
      <c r="BP154" s="1945"/>
      <c r="BQ154" s="1945"/>
      <c r="BR154" s="1945"/>
      <c r="BS154" s="1945"/>
      <c r="BT154" s="1945"/>
      <c r="BU154" s="1945"/>
      <c r="BV154" s="1945"/>
      <c r="BW154" s="1945"/>
      <c r="BX154" s="1945"/>
      <c r="BY154" s="1945"/>
      <c r="BZ154" s="1945"/>
      <c r="CA154" s="1945"/>
      <c r="CB154" s="1945"/>
      <c r="CC154" s="1945"/>
      <c r="CD154" s="1945"/>
      <c r="CE154" s="1945"/>
      <c r="CF154" s="1945"/>
      <c r="CG154" s="1945"/>
      <c r="CH154" s="1945"/>
      <c r="CI154" s="1945"/>
      <c r="CJ154" s="1945"/>
      <c r="CK154" s="1945"/>
      <c r="CL154" s="1945"/>
      <c r="CM154" s="1945"/>
      <c r="CN154" s="1945"/>
      <c r="CO154" s="1945"/>
      <c r="CP154" s="1945"/>
      <c r="CQ154" s="1945"/>
      <c r="CR154" s="1945"/>
      <c r="CS154" s="1945"/>
      <c r="CT154" s="1945"/>
      <c r="CU154" s="1945"/>
      <c r="CV154" s="1945"/>
      <c r="CW154" s="1945"/>
      <c r="CX154" s="1945"/>
      <c r="CY154" s="1945"/>
      <c r="CZ154" s="1945"/>
      <c r="DA154" s="1945"/>
      <c r="DB154" s="1945"/>
      <c r="DC154" s="1945"/>
      <c r="DD154" s="1945"/>
      <c r="DE154" s="1945"/>
      <c r="DF154" s="1945"/>
      <c r="DG154" s="1945"/>
      <c r="DH154" s="1945"/>
      <c r="DI154" s="1945"/>
      <c r="DJ154" s="1945"/>
      <c r="DK154" s="1945"/>
      <c r="DL154" s="1945"/>
      <c r="DM154" s="1945"/>
      <c r="DN154" s="1945"/>
      <c r="DO154" s="1945"/>
      <c r="DP154" s="1945"/>
      <c r="DQ154" s="1945"/>
      <c r="DR154" s="1945"/>
      <c r="DS154" s="1945"/>
      <c r="DT154" s="1945"/>
      <c r="DU154" s="1945"/>
      <c r="DV154" s="1945"/>
      <c r="DW154" s="1945"/>
    </row>
    <row r="155" spans="1:127" s="2150" customFormat="1" ht="67.5" customHeight="1">
      <c r="A155" s="2192">
        <v>43</v>
      </c>
      <c r="B155" s="1921" t="str">
        <f t="shared" si="4"/>
        <v>2200001869</v>
      </c>
      <c r="C155" s="1921" t="s">
        <v>3211</v>
      </c>
      <c r="D155" s="2461">
        <v>4300</v>
      </c>
      <c r="E155" s="1921" t="s">
        <v>7014</v>
      </c>
      <c r="F155" s="1921" t="s">
        <v>16</v>
      </c>
      <c r="G155" s="1921" t="s">
        <v>7015</v>
      </c>
      <c r="H155" s="1921" t="s">
        <v>6317</v>
      </c>
      <c r="I155" s="1921" t="s">
        <v>19</v>
      </c>
      <c r="J155" s="1921" t="s">
        <v>234</v>
      </c>
      <c r="K155" s="2194" t="s">
        <v>7016</v>
      </c>
      <c r="L155" s="2325">
        <v>4300</v>
      </c>
      <c r="M155" s="2196" t="s">
        <v>6934</v>
      </c>
      <c r="N155" s="1862"/>
      <c r="O155" s="1748">
        <v>3</v>
      </c>
    </row>
    <row r="156" spans="1:127" s="2122" customFormat="1" ht="67.5" customHeight="1">
      <c r="A156" s="3773">
        <v>44</v>
      </c>
      <c r="B156" s="2118" t="str">
        <f t="shared" si="4"/>
        <v>2200001869</v>
      </c>
      <c r="C156" s="2118" t="s">
        <v>6930</v>
      </c>
      <c r="D156" s="2453">
        <v>3270</v>
      </c>
      <c r="E156" s="2118" t="s">
        <v>7017</v>
      </c>
      <c r="F156" s="2120" t="s">
        <v>16</v>
      </c>
      <c r="G156" s="2120" t="s">
        <v>7018</v>
      </c>
      <c r="H156" s="2118" t="s">
        <v>7019</v>
      </c>
      <c r="I156" s="2354" t="s">
        <v>19</v>
      </c>
      <c r="J156" s="2120" t="s">
        <v>234</v>
      </c>
      <c r="K156" s="2161" t="s">
        <v>7016</v>
      </c>
      <c r="L156" s="2266">
        <v>2700</v>
      </c>
      <c r="M156" s="2160" t="s">
        <v>6934</v>
      </c>
      <c r="N156" s="2130"/>
      <c r="O156" s="2102">
        <v>3</v>
      </c>
      <c r="Q156" s="2324"/>
    </row>
    <row r="157" spans="1:127" s="2122" customFormat="1" ht="67.5" customHeight="1">
      <c r="A157" s="3768"/>
      <c r="B157" s="1851" t="str">
        <f t="shared" si="4"/>
        <v>2200001885</v>
      </c>
      <c r="C157" s="1851" t="s">
        <v>6930</v>
      </c>
      <c r="D157" s="2454"/>
      <c r="E157" s="1851"/>
      <c r="F157" s="1872" t="s">
        <v>16</v>
      </c>
      <c r="G157" s="1495"/>
      <c r="H157" s="1495"/>
      <c r="I157" s="2320" t="s">
        <v>19</v>
      </c>
      <c r="J157" s="1872" t="s">
        <v>234</v>
      </c>
      <c r="K157" s="1967" t="s">
        <v>7020</v>
      </c>
      <c r="L157" s="2325">
        <v>570</v>
      </c>
      <c r="M157" s="2196" t="s">
        <v>7021</v>
      </c>
      <c r="N157" s="1843"/>
      <c r="O157" s="1748">
        <v>3</v>
      </c>
      <c r="Q157" s="2324"/>
    </row>
    <row r="158" spans="1:127" s="2150" customFormat="1" ht="62.25" customHeight="1">
      <c r="A158" s="3773">
        <v>45</v>
      </c>
      <c r="B158" s="1921" t="str">
        <f t="shared" si="4"/>
        <v>2000002707</v>
      </c>
      <c r="C158" s="1921" t="s">
        <v>3414</v>
      </c>
      <c r="D158" s="2461">
        <v>24000</v>
      </c>
      <c r="E158" s="1921" t="s">
        <v>7022</v>
      </c>
      <c r="F158" s="1921" t="s">
        <v>3416</v>
      </c>
      <c r="G158" s="1921" t="s">
        <v>7023</v>
      </c>
      <c r="H158" s="2118" t="s">
        <v>7024</v>
      </c>
      <c r="I158" s="1921" t="s">
        <v>19</v>
      </c>
      <c r="J158" s="1921" t="s">
        <v>6555</v>
      </c>
      <c r="K158" s="2194" t="s">
        <v>7025</v>
      </c>
      <c r="L158" s="2337">
        <v>5300</v>
      </c>
      <c r="M158" s="2196" t="s">
        <v>5937</v>
      </c>
      <c r="N158" s="1862"/>
      <c r="O158" s="1748">
        <v>3</v>
      </c>
    </row>
    <row r="159" spans="1:127" s="2150" customFormat="1" ht="62.25" customHeight="1">
      <c r="A159" s="3767"/>
      <c r="B159" s="1921" t="str">
        <f t="shared" si="4"/>
        <v>2200001896</v>
      </c>
      <c r="C159" s="1921" t="s">
        <v>3414</v>
      </c>
      <c r="D159" s="2461"/>
      <c r="E159" s="1921"/>
      <c r="F159" s="1921" t="s">
        <v>3416</v>
      </c>
      <c r="G159" s="1921"/>
      <c r="H159" s="2118"/>
      <c r="I159" s="1921" t="s">
        <v>19</v>
      </c>
      <c r="J159" s="1921" t="s">
        <v>6555</v>
      </c>
      <c r="K159" s="1845" t="s">
        <v>7026</v>
      </c>
      <c r="L159" s="2337">
        <v>2923</v>
      </c>
      <c r="M159" s="2196" t="s">
        <v>5953</v>
      </c>
      <c r="N159" s="1862"/>
      <c r="O159" s="1748">
        <v>3</v>
      </c>
    </row>
    <row r="160" spans="1:127" s="2150" customFormat="1" ht="62.25" customHeight="1">
      <c r="A160" s="3767"/>
      <c r="B160" s="1921" t="str">
        <f t="shared" si="4"/>
        <v>2200001900</v>
      </c>
      <c r="C160" s="1921" t="s">
        <v>3414</v>
      </c>
      <c r="D160" s="2461"/>
      <c r="E160" s="1921"/>
      <c r="F160" s="1921" t="s">
        <v>3416</v>
      </c>
      <c r="G160" s="1921"/>
      <c r="H160" s="2118"/>
      <c r="I160" s="1921" t="s">
        <v>19</v>
      </c>
      <c r="J160" s="1921" t="s">
        <v>6555</v>
      </c>
      <c r="K160" s="1845" t="s">
        <v>7027</v>
      </c>
      <c r="L160" s="2337">
        <v>1900</v>
      </c>
      <c r="M160" s="2196" t="s">
        <v>7028</v>
      </c>
      <c r="N160" s="1862"/>
      <c r="O160" s="1748"/>
    </row>
    <row r="161" spans="1:127" s="2150" customFormat="1" ht="62.25" customHeight="1">
      <c r="A161" s="3767"/>
      <c r="B161" s="1495" t="str">
        <f t="shared" si="4"/>
        <v>2000002728</v>
      </c>
      <c r="C161" s="1495" t="s">
        <v>3414</v>
      </c>
      <c r="D161" s="2203"/>
      <c r="E161" s="1495"/>
      <c r="F161" s="1495" t="s">
        <v>3416</v>
      </c>
      <c r="G161" s="1495"/>
      <c r="H161" s="1495"/>
      <c r="I161" s="2320" t="s">
        <v>19</v>
      </c>
      <c r="J161" s="1495" t="s">
        <v>6555</v>
      </c>
      <c r="K161" s="1600" t="s">
        <v>7029</v>
      </c>
      <c r="L161" s="2299">
        <v>2000</v>
      </c>
      <c r="M161" s="2496" t="s">
        <v>7030</v>
      </c>
      <c r="N161" s="1843" t="s">
        <v>7031</v>
      </c>
      <c r="O161" s="1748">
        <v>3</v>
      </c>
      <c r="P161" s="1807"/>
      <c r="Q161" s="1548"/>
      <c r="R161" s="1548"/>
      <c r="S161" s="1548"/>
      <c r="T161" s="1548"/>
      <c r="U161" s="1548"/>
      <c r="V161" s="1548"/>
      <c r="W161" s="1548"/>
      <c r="X161" s="1548"/>
      <c r="Y161" s="1548"/>
      <c r="Z161" s="1548"/>
      <c r="AA161" s="1548"/>
      <c r="AB161" s="1548"/>
      <c r="AC161" s="1548"/>
      <c r="AD161" s="1548"/>
      <c r="AE161" s="1548"/>
      <c r="AF161" s="1548"/>
      <c r="AG161" s="1548"/>
      <c r="AH161" s="1548"/>
      <c r="AI161" s="1548"/>
      <c r="AJ161" s="1548"/>
      <c r="AK161" s="1548"/>
      <c r="AL161" s="1548"/>
      <c r="AM161" s="1548"/>
      <c r="AN161" s="1548"/>
      <c r="AO161" s="1548"/>
      <c r="AP161" s="1548"/>
      <c r="AQ161" s="1548"/>
      <c r="AR161" s="1548"/>
      <c r="AS161" s="1548"/>
      <c r="AT161" s="1548"/>
      <c r="AU161" s="1548"/>
      <c r="AV161" s="1548"/>
      <c r="AW161" s="1548"/>
      <c r="AX161" s="1548"/>
      <c r="AY161" s="1548"/>
      <c r="AZ161" s="1548"/>
      <c r="BA161" s="1548"/>
      <c r="BB161" s="1548"/>
      <c r="BC161" s="1548"/>
      <c r="BD161" s="1548"/>
      <c r="BE161" s="1548"/>
      <c r="BF161" s="1548"/>
      <c r="BG161" s="1548"/>
      <c r="BH161" s="1548"/>
      <c r="BI161" s="1548"/>
      <c r="BJ161" s="1548"/>
      <c r="BK161" s="1548"/>
      <c r="BL161" s="1548"/>
      <c r="BM161" s="1548"/>
      <c r="BN161" s="1548"/>
      <c r="BO161" s="1548"/>
      <c r="BP161" s="1548"/>
      <c r="BQ161" s="1548"/>
      <c r="BR161" s="1548"/>
      <c r="BS161" s="1548"/>
      <c r="BT161" s="1548"/>
      <c r="BU161" s="1548"/>
      <c r="BV161" s="1548"/>
      <c r="BW161" s="1548"/>
      <c r="BX161" s="1548"/>
      <c r="BY161" s="1548"/>
      <c r="BZ161" s="1548"/>
      <c r="CA161" s="1548"/>
      <c r="CB161" s="1548"/>
      <c r="CC161" s="1548"/>
      <c r="CD161" s="1548"/>
      <c r="CE161" s="1548"/>
      <c r="CF161" s="1548"/>
      <c r="CG161" s="1548"/>
      <c r="CH161" s="1548"/>
      <c r="CI161" s="1548"/>
      <c r="CJ161" s="1548"/>
      <c r="CK161" s="1548"/>
      <c r="CL161" s="1548"/>
      <c r="CM161" s="1548"/>
      <c r="CN161" s="1548"/>
      <c r="CO161" s="1548"/>
      <c r="CP161" s="1548"/>
      <c r="CQ161" s="1548"/>
      <c r="CR161" s="1548"/>
      <c r="CS161" s="1548"/>
      <c r="CT161" s="1548"/>
      <c r="CU161" s="1548"/>
      <c r="CV161" s="1548"/>
      <c r="CW161" s="1548"/>
      <c r="CX161" s="1548"/>
      <c r="CY161" s="1548"/>
      <c r="CZ161" s="1548"/>
      <c r="DA161" s="1548"/>
      <c r="DB161" s="1548"/>
      <c r="DC161" s="1548"/>
      <c r="DD161" s="1548"/>
      <c r="DE161" s="1548"/>
      <c r="DF161" s="1548"/>
      <c r="DG161" s="1548"/>
      <c r="DH161" s="1548"/>
      <c r="DI161" s="1548"/>
      <c r="DJ161" s="1548"/>
      <c r="DK161" s="1548"/>
      <c r="DL161" s="1548"/>
      <c r="DM161" s="1548"/>
      <c r="DN161" s="1548"/>
      <c r="DO161" s="1548"/>
      <c r="DP161" s="1548"/>
      <c r="DQ161" s="1548"/>
      <c r="DR161" s="1548"/>
      <c r="DS161" s="1548"/>
      <c r="DT161" s="1548"/>
      <c r="DU161" s="1548"/>
      <c r="DV161" s="1548"/>
      <c r="DW161" s="1548"/>
    </row>
    <row r="162" spans="1:127" s="2150" customFormat="1" ht="62.25" customHeight="1">
      <c r="A162" s="3767"/>
      <c r="B162" s="1495" t="str">
        <f>TEXT(LEFT(K162,10),"0000000000")</f>
        <v>2000002739</v>
      </c>
      <c r="C162" s="1495" t="s">
        <v>3414</v>
      </c>
      <c r="D162" s="2203"/>
      <c r="E162" s="1495"/>
      <c r="F162" s="1495" t="s">
        <v>3416</v>
      </c>
      <c r="G162" s="1495"/>
      <c r="H162" s="1748"/>
      <c r="I162" s="2320" t="s">
        <v>19</v>
      </c>
      <c r="J162" s="1495" t="s">
        <v>6555</v>
      </c>
      <c r="K162" s="1496" t="s">
        <v>7032</v>
      </c>
      <c r="L162" s="2368">
        <v>300</v>
      </c>
      <c r="M162" s="2030" t="s">
        <v>7033</v>
      </c>
      <c r="N162" s="1843"/>
      <c r="O162" s="1748"/>
      <c r="P162" s="1807"/>
      <c r="Q162" s="1548"/>
      <c r="R162" s="1548"/>
      <c r="S162" s="1548"/>
      <c r="T162" s="1548"/>
      <c r="U162" s="1548"/>
      <c r="V162" s="1548"/>
      <c r="W162" s="1548"/>
      <c r="X162" s="1548"/>
      <c r="Y162" s="1548"/>
      <c r="Z162" s="1548"/>
      <c r="AA162" s="1548"/>
      <c r="AB162" s="1548"/>
      <c r="AC162" s="1548"/>
      <c r="AD162" s="1548"/>
      <c r="AE162" s="1548"/>
      <c r="AF162" s="1548"/>
      <c r="AG162" s="1548"/>
      <c r="AH162" s="1548"/>
      <c r="AI162" s="1548"/>
      <c r="AJ162" s="1548"/>
      <c r="AK162" s="1548"/>
      <c r="AL162" s="1548"/>
      <c r="AM162" s="1548"/>
      <c r="AN162" s="1548"/>
      <c r="AO162" s="1548"/>
      <c r="AP162" s="1548"/>
      <c r="AQ162" s="1548"/>
      <c r="AR162" s="1548"/>
      <c r="AS162" s="1548"/>
      <c r="AT162" s="1548"/>
      <c r="AU162" s="1548"/>
      <c r="AV162" s="1548"/>
      <c r="AW162" s="1548"/>
      <c r="AX162" s="1548"/>
      <c r="AY162" s="1548"/>
      <c r="AZ162" s="1548"/>
      <c r="BA162" s="1548"/>
      <c r="BB162" s="1548"/>
      <c r="BC162" s="1548"/>
      <c r="BD162" s="1548"/>
      <c r="BE162" s="1548"/>
      <c r="BF162" s="1548"/>
      <c r="BG162" s="1548"/>
      <c r="BH162" s="1548"/>
      <c r="BI162" s="1548"/>
      <c r="BJ162" s="1548"/>
      <c r="BK162" s="1548"/>
      <c r="BL162" s="1548"/>
      <c r="BM162" s="1548"/>
      <c r="BN162" s="1548"/>
      <c r="BO162" s="1548"/>
      <c r="BP162" s="1548"/>
      <c r="BQ162" s="1548"/>
      <c r="BR162" s="1548"/>
      <c r="BS162" s="1548"/>
      <c r="BT162" s="1548"/>
      <c r="BU162" s="1548"/>
      <c r="BV162" s="1548"/>
      <c r="BW162" s="1548"/>
      <c r="BX162" s="1548"/>
      <c r="BY162" s="1548"/>
      <c r="BZ162" s="1548"/>
      <c r="CA162" s="1548"/>
      <c r="CB162" s="1548"/>
      <c r="CC162" s="1548"/>
      <c r="CD162" s="1548"/>
      <c r="CE162" s="1548"/>
      <c r="CF162" s="1548"/>
      <c r="CG162" s="1548"/>
      <c r="CH162" s="1548"/>
      <c r="CI162" s="1548"/>
      <c r="CJ162" s="1548"/>
      <c r="CK162" s="1548"/>
      <c r="CL162" s="1548"/>
      <c r="CM162" s="1548"/>
      <c r="CN162" s="1548"/>
      <c r="CO162" s="1548"/>
      <c r="CP162" s="1548"/>
      <c r="CQ162" s="1548"/>
      <c r="CR162" s="1548"/>
      <c r="CS162" s="1548"/>
      <c r="CT162" s="1548"/>
      <c r="CU162" s="1548"/>
      <c r="CV162" s="1548"/>
      <c r="CW162" s="1548"/>
      <c r="CX162" s="1548"/>
      <c r="CY162" s="1548"/>
      <c r="CZ162" s="1548"/>
      <c r="DA162" s="1548"/>
      <c r="DB162" s="1548"/>
      <c r="DC162" s="1548"/>
      <c r="DD162" s="1548"/>
      <c r="DE162" s="1548"/>
      <c r="DF162" s="1548"/>
      <c r="DG162" s="1548"/>
      <c r="DH162" s="1548"/>
      <c r="DI162" s="1548"/>
      <c r="DJ162" s="1548"/>
      <c r="DK162" s="1548"/>
      <c r="DL162" s="1548"/>
      <c r="DM162" s="1548"/>
      <c r="DN162" s="1548"/>
      <c r="DO162" s="1548"/>
      <c r="DP162" s="1548"/>
      <c r="DQ162" s="1548"/>
      <c r="DR162" s="1548"/>
      <c r="DS162" s="1548"/>
      <c r="DT162" s="1548"/>
      <c r="DU162" s="1548"/>
      <c r="DV162" s="1548"/>
      <c r="DW162" s="1548"/>
    </row>
    <row r="163" spans="1:127" s="2150" customFormat="1" ht="62.25" customHeight="1">
      <c r="A163" s="3767"/>
      <c r="B163" s="1495" t="str">
        <f t="shared" si="4"/>
        <v>2000002726</v>
      </c>
      <c r="C163" s="1495" t="s">
        <v>3414</v>
      </c>
      <c r="D163" s="2463"/>
      <c r="E163" s="1495"/>
      <c r="F163" s="1495" t="s">
        <v>3416</v>
      </c>
      <c r="G163" s="1495"/>
      <c r="H163" s="1495"/>
      <c r="I163" s="1495" t="s">
        <v>19</v>
      </c>
      <c r="J163" s="1495" t="s">
        <v>20</v>
      </c>
      <c r="K163" s="1496" t="s">
        <v>7034</v>
      </c>
      <c r="L163" s="2299">
        <v>5000</v>
      </c>
      <c r="M163" s="2196" t="s">
        <v>5937</v>
      </c>
      <c r="N163" s="1843"/>
      <c r="O163" s="1748">
        <v>3</v>
      </c>
      <c r="P163" s="1548"/>
      <c r="Q163" s="1548"/>
      <c r="R163" s="1548"/>
      <c r="S163" s="1548"/>
      <c r="T163" s="1548"/>
      <c r="U163" s="1548"/>
      <c r="V163" s="1548"/>
      <c r="W163" s="1548"/>
      <c r="X163" s="1548"/>
      <c r="Y163" s="1548"/>
      <c r="Z163" s="1548"/>
      <c r="AA163" s="1548"/>
      <c r="AB163" s="1548"/>
      <c r="AC163" s="1548"/>
      <c r="AD163" s="1548"/>
      <c r="AE163" s="1548"/>
      <c r="AF163" s="1548"/>
      <c r="AG163" s="1548"/>
      <c r="AH163" s="1548"/>
      <c r="AI163" s="1548"/>
      <c r="AJ163" s="1548"/>
      <c r="AK163" s="1548"/>
      <c r="AL163" s="1548"/>
      <c r="AM163" s="1548"/>
      <c r="AN163" s="1548"/>
      <c r="AO163" s="1548"/>
      <c r="AP163" s="1548"/>
      <c r="AQ163" s="1548"/>
      <c r="AR163" s="1548"/>
      <c r="AS163" s="1548"/>
      <c r="AT163" s="1548"/>
      <c r="AU163" s="1548"/>
      <c r="AV163" s="1548"/>
      <c r="AW163" s="1548"/>
      <c r="AX163" s="1548"/>
      <c r="AY163" s="1548"/>
      <c r="AZ163" s="1548"/>
      <c r="BA163" s="1548"/>
      <c r="BB163" s="1548"/>
      <c r="BC163" s="1548"/>
      <c r="BD163" s="1548"/>
      <c r="BE163" s="1548"/>
      <c r="BF163" s="1548"/>
      <c r="BG163" s="1548"/>
      <c r="BH163" s="1548"/>
      <c r="BI163" s="1548"/>
      <c r="BJ163" s="1548"/>
      <c r="BK163" s="1548"/>
      <c r="BL163" s="1548"/>
      <c r="BM163" s="1548"/>
      <c r="BN163" s="1548"/>
      <c r="BO163" s="1548"/>
      <c r="BP163" s="1548"/>
      <c r="BQ163" s="1548"/>
      <c r="BR163" s="1548"/>
      <c r="BS163" s="1548"/>
      <c r="BT163" s="1548"/>
      <c r="BU163" s="1548"/>
      <c r="BV163" s="1548"/>
      <c r="BW163" s="1548"/>
      <c r="BX163" s="1548"/>
      <c r="BY163" s="1548"/>
      <c r="BZ163" s="1548"/>
      <c r="CA163" s="1548"/>
      <c r="CB163" s="1548"/>
      <c r="CC163" s="1548"/>
      <c r="CD163" s="1548"/>
      <c r="CE163" s="1548"/>
      <c r="CF163" s="1548"/>
      <c r="CG163" s="1548"/>
      <c r="CH163" s="1548"/>
      <c r="CI163" s="1548"/>
      <c r="CJ163" s="1548"/>
      <c r="CK163" s="1548"/>
      <c r="CL163" s="1548"/>
      <c r="CM163" s="1548"/>
      <c r="CN163" s="1548"/>
      <c r="CO163" s="1548"/>
      <c r="CP163" s="1548"/>
      <c r="CQ163" s="1548"/>
      <c r="CR163" s="1548"/>
      <c r="CS163" s="1548"/>
      <c r="CT163" s="1548"/>
      <c r="CU163" s="1548"/>
      <c r="CV163" s="1548"/>
      <c r="CW163" s="1548"/>
      <c r="CX163" s="1548"/>
      <c r="CY163" s="1548"/>
      <c r="CZ163" s="1548"/>
      <c r="DA163" s="1548"/>
      <c r="DB163" s="1548"/>
      <c r="DC163" s="1548"/>
      <c r="DD163" s="1548"/>
      <c r="DE163" s="1548"/>
      <c r="DF163" s="1548"/>
      <c r="DG163" s="1548"/>
      <c r="DH163" s="1548"/>
      <c r="DI163" s="1548"/>
      <c r="DJ163" s="1548"/>
      <c r="DK163" s="1548"/>
      <c r="DL163" s="1548"/>
      <c r="DM163" s="1548"/>
      <c r="DN163" s="1548"/>
      <c r="DO163" s="1548"/>
      <c r="DP163" s="1548"/>
      <c r="DQ163" s="1548"/>
      <c r="DR163" s="1548"/>
      <c r="DS163" s="1548"/>
      <c r="DT163" s="1548"/>
      <c r="DU163" s="1548"/>
      <c r="DV163" s="1548"/>
      <c r="DW163" s="1548"/>
    </row>
    <row r="164" spans="1:127" s="2150" customFormat="1" ht="62.25" customHeight="1">
      <c r="A164" s="3767"/>
      <c r="B164" s="1495" t="str">
        <f t="shared" ref="B164:B195" si="5">TEXT(LEFT(K164,10),"0000000000")</f>
        <v>2000002668</v>
      </c>
      <c r="C164" s="1495" t="s">
        <v>3414</v>
      </c>
      <c r="D164" s="2463"/>
      <c r="E164" s="1495"/>
      <c r="F164" s="1495" t="s">
        <v>3416</v>
      </c>
      <c r="G164" s="1495"/>
      <c r="H164" s="1495"/>
      <c r="I164" s="1495" t="s">
        <v>19</v>
      </c>
      <c r="J164" s="1495" t="s">
        <v>20</v>
      </c>
      <c r="K164" s="2194" t="s">
        <v>7035</v>
      </c>
      <c r="L164" s="2299">
        <v>475</v>
      </c>
      <c r="M164" s="1909" t="s">
        <v>5454</v>
      </c>
      <c r="N164" s="1860"/>
      <c r="O164" s="1748">
        <v>3</v>
      </c>
      <c r="P164" s="1548"/>
      <c r="Q164" s="1548"/>
      <c r="R164" s="1548"/>
      <c r="S164" s="1548"/>
      <c r="T164" s="1548"/>
      <c r="U164" s="1548"/>
      <c r="V164" s="1548"/>
      <c r="W164" s="1548"/>
      <c r="X164" s="1548"/>
      <c r="Y164" s="1548"/>
      <c r="Z164" s="1548"/>
      <c r="AA164" s="1548"/>
      <c r="AB164" s="1548"/>
      <c r="AC164" s="1548"/>
      <c r="AD164" s="1548"/>
      <c r="AE164" s="1548"/>
      <c r="AF164" s="1548"/>
      <c r="AG164" s="1548"/>
      <c r="AH164" s="1548"/>
      <c r="AI164" s="1548"/>
      <c r="AJ164" s="1548"/>
      <c r="AK164" s="1548"/>
      <c r="AL164" s="1548"/>
      <c r="AM164" s="1548"/>
      <c r="AN164" s="1548"/>
      <c r="AO164" s="1548"/>
      <c r="AP164" s="1548"/>
      <c r="AQ164" s="1548"/>
      <c r="AR164" s="1548"/>
      <c r="AS164" s="1548"/>
      <c r="AT164" s="1548"/>
      <c r="AU164" s="1548"/>
      <c r="AV164" s="1548"/>
      <c r="AW164" s="1548"/>
      <c r="AX164" s="1548"/>
      <c r="AY164" s="1548"/>
      <c r="AZ164" s="1548"/>
      <c r="BA164" s="1548"/>
      <c r="BB164" s="1548"/>
      <c r="BC164" s="1548"/>
      <c r="BD164" s="1548"/>
      <c r="BE164" s="1548"/>
      <c r="BF164" s="1548"/>
      <c r="BG164" s="1548"/>
      <c r="BH164" s="1548"/>
      <c r="BI164" s="1548"/>
      <c r="BJ164" s="1548"/>
      <c r="BK164" s="1548"/>
      <c r="BL164" s="1548"/>
      <c r="BM164" s="1548"/>
      <c r="BN164" s="1548"/>
      <c r="BO164" s="1548"/>
      <c r="BP164" s="1548"/>
      <c r="BQ164" s="1548"/>
      <c r="BR164" s="1548"/>
      <c r="BS164" s="1548"/>
      <c r="BT164" s="1548"/>
      <c r="BU164" s="1548"/>
      <c r="BV164" s="1548"/>
      <c r="BW164" s="1548"/>
      <c r="BX164" s="1548"/>
      <c r="BY164" s="1548"/>
      <c r="BZ164" s="1548"/>
      <c r="CA164" s="1548"/>
      <c r="CB164" s="1548"/>
      <c r="CC164" s="1548"/>
      <c r="CD164" s="1548"/>
      <c r="CE164" s="1548"/>
      <c r="CF164" s="1548"/>
      <c r="CG164" s="1548"/>
      <c r="CH164" s="1548"/>
      <c r="CI164" s="1548"/>
      <c r="CJ164" s="1548"/>
      <c r="CK164" s="1548"/>
      <c r="CL164" s="1548"/>
      <c r="CM164" s="1548"/>
      <c r="CN164" s="1548"/>
      <c r="CO164" s="1548"/>
      <c r="CP164" s="1548"/>
      <c r="CQ164" s="1548"/>
      <c r="CR164" s="1548"/>
      <c r="CS164" s="1548"/>
      <c r="CT164" s="1548"/>
      <c r="CU164" s="1548"/>
      <c r="CV164" s="1548"/>
      <c r="CW164" s="1548"/>
      <c r="CX164" s="1548"/>
      <c r="CY164" s="1548"/>
      <c r="CZ164" s="1548"/>
      <c r="DA164" s="1548"/>
      <c r="DB164" s="1548"/>
      <c r="DC164" s="1548"/>
      <c r="DD164" s="1548"/>
      <c r="DE164" s="1548"/>
      <c r="DF164" s="1548"/>
      <c r="DG164" s="1548"/>
      <c r="DH164" s="1548"/>
      <c r="DI164" s="1548"/>
      <c r="DJ164" s="1548"/>
      <c r="DK164" s="1548"/>
      <c r="DL164" s="1548"/>
      <c r="DM164" s="1548"/>
      <c r="DN164" s="1548"/>
      <c r="DO164" s="1548"/>
      <c r="DP164" s="1548"/>
      <c r="DQ164" s="1548"/>
      <c r="DR164" s="1548"/>
      <c r="DS164" s="1548"/>
      <c r="DT164" s="1548"/>
      <c r="DU164" s="1548"/>
      <c r="DV164" s="1548"/>
      <c r="DW164" s="1548"/>
    </row>
    <row r="165" spans="1:127" s="2150" customFormat="1" ht="62.25" customHeight="1">
      <c r="A165" s="3768"/>
      <c r="B165" s="1495" t="str">
        <f t="shared" si="5"/>
        <v>2000002725</v>
      </c>
      <c r="C165" s="1495" t="s">
        <v>3414</v>
      </c>
      <c r="D165" s="2463"/>
      <c r="E165" s="1495"/>
      <c r="F165" s="1495" t="s">
        <v>3416</v>
      </c>
      <c r="G165" s="1495"/>
      <c r="H165" s="1495"/>
      <c r="I165" s="1495" t="s">
        <v>19</v>
      </c>
      <c r="J165" s="1495" t="s">
        <v>20</v>
      </c>
      <c r="K165" s="1496" t="s">
        <v>7036</v>
      </c>
      <c r="L165" s="2299">
        <v>6000</v>
      </c>
      <c r="M165" s="2196" t="s">
        <v>5937</v>
      </c>
      <c r="N165" s="1860"/>
      <c r="O165" s="1748">
        <v>3</v>
      </c>
      <c r="P165" s="1548"/>
      <c r="Q165" s="1548"/>
      <c r="R165" s="1548"/>
      <c r="S165" s="1548"/>
      <c r="T165" s="1548"/>
      <c r="U165" s="1548"/>
      <c r="V165" s="1548"/>
      <c r="W165" s="1548"/>
      <c r="X165" s="1548"/>
      <c r="Y165" s="1548"/>
      <c r="Z165" s="1548"/>
      <c r="AA165" s="1548"/>
      <c r="AB165" s="1548"/>
      <c r="AC165" s="1548"/>
      <c r="AD165" s="1548"/>
      <c r="AE165" s="1548"/>
      <c r="AF165" s="1548"/>
      <c r="AG165" s="1548"/>
      <c r="AH165" s="1548"/>
      <c r="AI165" s="1548"/>
      <c r="AJ165" s="1548"/>
      <c r="AK165" s="1548"/>
      <c r="AL165" s="1548"/>
      <c r="AM165" s="1548"/>
      <c r="AN165" s="1548"/>
      <c r="AO165" s="1548"/>
      <c r="AP165" s="1548"/>
      <c r="AQ165" s="1548"/>
      <c r="AR165" s="1548"/>
      <c r="AS165" s="1548"/>
      <c r="AT165" s="1548"/>
      <c r="AU165" s="1548"/>
      <c r="AV165" s="1548"/>
      <c r="AW165" s="1548"/>
      <c r="AX165" s="1548"/>
      <c r="AY165" s="1548"/>
      <c r="AZ165" s="1548"/>
      <c r="BA165" s="1548"/>
      <c r="BB165" s="1548"/>
      <c r="BC165" s="1548"/>
      <c r="BD165" s="1548"/>
      <c r="BE165" s="1548"/>
      <c r="BF165" s="1548"/>
      <c r="BG165" s="1548"/>
      <c r="BH165" s="1548"/>
      <c r="BI165" s="1548"/>
      <c r="BJ165" s="1548"/>
      <c r="BK165" s="1548"/>
      <c r="BL165" s="1548"/>
      <c r="BM165" s="1548"/>
      <c r="BN165" s="1548"/>
      <c r="BO165" s="1548"/>
      <c r="BP165" s="1548"/>
      <c r="BQ165" s="1548"/>
      <c r="BR165" s="1548"/>
      <c r="BS165" s="1548"/>
      <c r="BT165" s="1548"/>
      <c r="BU165" s="1548"/>
      <c r="BV165" s="1548"/>
      <c r="BW165" s="1548"/>
      <c r="BX165" s="1548"/>
      <c r="BY165" s="1548"/>
      <c r="BZ165" s="1548"/>
      <c r="CA165" s="1548"/>
      <c r="CB165" s="1548"/>
      <c r="CC165" s="1548"/>
      <c r="CD165" s="1548"/>
      <c r="CE165" s="1548"/>
      <c r="CF165" s="1548"/>
      <c r="CG165" s="1548"/>
      <c r="CH165" s="1548"/>
      <c r="CI165" s="1548"/>
      <c r="CJ165" s="1548"/>
      <c r="CK165" s="1548"/>
      <c r="CL165" s="1548"/>
      <c r="CM165" s="1548"/>
      <c r="CN165" s="1548"/>
      <c r="CO165" s="1548"/>
      <c r="CP165" s="1548"/>
      <c r="CQ165" s="1548"/>
      <c r="CR165" s="1548"/>
      <c r="CS165" s="1548"/>
      <c r="CT165" s="1548"/>
      <c r="CU165" s="1548"/>
      <c r="CV165" s="1548"/>
      <c r="CW165" s="1548"/>
      <c r="CX165" s="1548"/>
      <c r="CY165" s="1548"/>
      <c r="CZ165" s="1548"/>
      <c r="DA165" s="1548"/>
      <c r="DB165" s="1548"/>
      <c r="DC165" s="1548"/>
      <c r="DD165" s="1548"/>
      <c r="DE165" s="1548"/>
      <c r="DF165" s="1548"/>
      <c r="DG165" s="1548"/>
      <c r="DH165" s="1548"/>
      <c r="DI165" s="1548"/>
      <c r="DJ165" s="1548"/>
      <c r="DK165" s="1548"/>
      <c r="DL165" s="1548"/>
      <c r="DM165" s="1548"/>
      <c r="DN165" s="1548"/>
      <c r="DO165" s="1548"/>
      <c r="DP165" s="1548"/>
      <c r="DQ165" s="1548"/>
      <c r="DR165" s="1548"/>
      <c r="DS165" s="1548"/>
      <c r="DT165" s="1548"/>
      <c r="DU165" s="1548"/>
      <c r="DV165" s="1548"/>
      <c r="DW165" s="1548"/>
    </row>
    <row r="166" spans="1:127" s="1883" customFormat="1" ht="59.25" customHeight="1">
      <c r="A166" s="3773">
        <v>45</v>
      </c>
      <c r="B166" s="2118" t="str">
        <f t="shared" si="5"/>
        <v>2000002748</v>
      </c>
      <c r="C166" s="2118" t="s">
        <v>6809</v>
      </c>
      <c r="D166" s="2178">
        <v>27800</v>
      </c>
      <c r="E166" s="2521" t="s">
        <v>7037</v>
      </c>
      <c r="F166" s="2118" t="s">
        <v>3401</v>
      </c>
      <c r="G166" s="2118" t="s">
        <v>7038</v>
      </c>
      <c r="H166" s="2118" t="s">
        <v>7024</v>
      </c>
      <c r="I166" s="2354" t="s">
        <v>19</v>
      </c>
      <c r="J166" s="2118" t="s">
        <v>123</v>
      </c>
      <c r="K166" s="2332" t="s">
        <v>7039</v>
      </c>
      <c r="L166" s="2508">
        <v>2500</v>
      </c>
      <c r="M166" s="2496" t="s">
        <v>5937</v>
      </c>
      <c r="N166" s="1862"/>
      <c r="O166" s="1939">
        <v>3</v>
      </c>
    </row>
    <row r="167" spans="1:127" s="1883" customFormat="1" ht="59.25" customHeight="1">
      <c r="A167" s="3767"/>
      <c r="B167" s="1851" t="str">
        <f t="shared" si="5"/>
        <v>2000002749</v>
      </c>
      <c r="C167" s="1851" t="s">
        <v>6809</v>
      </c>
      <c r="D167" s="2182"/>
      <c r="E167" s="2485"/>
      <c r="F167" s="1851" t="s">
        <v>3401</v>
      </c>
      <c r="G167" s="1851"/>
      <c r="H167" s="1851"/>
      <c r="I167" s="2374" t="s">
        <v>19</v>
      </c>
      <c r="J167" s="1851" t="s">
        <v>123</v>
      </c>
      <c r="K167" s="1989" t="s">
        <v>7040</v>
      </c>
      <c r="L167" s="2361">
        <v>2500</v>
      </c>
      <c r="M167" s="2196" t="s">
        <v>5937</v>
      </c>
      <c r="N167" s="1962"/>
      <c r="O167" s="2102">
        <v>3</v>
      </c>
    </row>
    <row r="168" spans="1:127" s="2122" customFormat="1" ht="54.75" customHeight="1">
      <c r="A168" s="3767"/>
      <c r="B168" s="1851" t="str">
        <f t="shared" si="5"/>
        <v>2000002679</v>
      </c>
      <c r="C168" s="1851" t="s">
        <v>6809</v>
      </c>
      <c r="D168" s="1494"/>
      <c r="E168" s="1495"/>
      <c r="F168" s="1851" t="s">
        <v>3401</v>
      </c>
      <c r="G168" s="1495"/>
      <c r="H168" s="1495"/>
      <c r="I168" s="2320" t="s">
        <v>19</v>
      </c>
      <c r="J168" s="1495" t="s">
        <v>123</v>
      </c>
      <c r="K168" s="1600" t="s">
        <v>7041</v>
      </c>
      <c r="L168" s="2357">
        <v>500</v>
      </c>
      <c r="M168" s="2448" t="s">
        <v>5937</v>
      </c>
      <c r="N168" s="2498"/>
      <c r="O168" s="2359">
        <v>3</v>
      </c>
      <c r="P168" s="1548"/>
      <c r="Q168" s="1548"/>
      <c r="R168" s="1548"/>
      <c r="S168" s="1548"/>
      <c r="T168" s="1548"/>
      <c r="U168" s="1548"/>
      <c r="V168" s="1548"/>
      <c r="W168" s="1548"/>
      <c r="X168" s="1548"/>
      <c r="Y168" s="1548"/>
      <c r="Z168" s="1548"/>
      <c r="AA168" s="1548"/>
      <c r="AB168" s="1548"/>
      <c r="AC168" s="1548"/>
      <c r="AD168" s="1548"/>
      <c r="AE168" s="1548"/>
      <c r="AF168" s="1548"/>
      <c r="AG168" s="1548"/>
      <c r="AH168" s="1548"/>
      <c r="AI168" s="1548"/>
      <c r="AJ168" s="1548"/>
      <c r="AK168" s="1548"/>
      <c r="AL168" s="1548"/>
      <c r="AM168" s="1548"/>
      <c r="AN168" s="1548"/>
      <c r="AO168" s="1548"/>
      <c r="AP168" s="1548"/>
      <c r="AQ168" s="1548"/>
      <c r="AR168" s="1548"/>
      <c r="AS168" s="1548"/>
      <c r="AT168" s="1548"/>
      <c r="AU168" s="1548"/>
      <c r="AV168" s="1548"/>
      <c r="AW168" s="1548"/>
      <c r="AX168" s="1548"/>
      <c r="AY168" s="1548"/>
      <c r="AZ168" s="1548"/>
      <c r="BA168" s="1548"/>
      <c r="BB168" s="1548"/>
      <c r="BC168" s="1548"/>
      <c r="BD168" s="1548"/>
      <c r="BE168" s="1548"/>
      <c r="BF168" s="1548"/>
      <c r="BG168" s="1548"/>
      <c r="BH168" s="1548"/>
      <c r="BI168" s="1548"/>
      <c r="BJ168" s="1548"/>
      <c r="BK168" s="1548"/>
      <c r="BL168" s="1548"/>
      <c r="BM168" s="1548"/>
      <c r="BN168" s="1548"/>
      <c r="BO168" s="1548"/>
      <c r="BP168" s="1548"/>
      <c r="BQ168" s="1548"/>
      <c r="BR168" s="1548"/>
      <c r="BS168" s="1548"/>
      <c r="BT168" s="1548"/>
      <c r="BU168" s="1548"/>
      <c r="BV168" s="1548"/>
      <c r="BW168" s="1548"/>
      <c r="BX168" s="1548"/>
      <c r="BY168" s="1548"/>
      <c r="BZ168" s="1548"/>
      <c r="CA168" s="1548"/>
      <c r="CB168" s="1548"/>
      <c r="CC168" s="1548"/>
      <c r="CD168" s="1548"/>
      <c r="CE168" s="1548"/>
      <c r="CF168" s="1548"/>
      <c r="CG168" s="1548"/>
      <c r="CH168" s="1548"/>
      <c r="CI168" s="1548"/>
      <c r="CJ168" s="1548"/>
      <c r="CK168" s="1548"/>
      <c r="CL168" s="1548"/>
      <c r="CM168" s="1548"/>
      <c r="CN168" s="1548"/>
      <c r="CO168" s="1548"/>
      <c r="CP168" s="1548"/>
      <c r="CQ168" s="1548"/>
      <c r="CR168" s="1548"/>
      <c r="CS168" s="1548"/>
      <c r="CT168" s="1548"/>
      <c r="CU168" s="1548"/>
      <c r="CV168" s="1548"/>
      <c r="CW168" s="1548"/>
      <c r="CX168" s="1548"/>
      <c r="CY168" s="1548"/>
      <c r="CZ168" s="1548"/>
      <c r="DA168" s="1548"/>
      <c r="DB168" s="1548"/>
      <c r="DC168" s="1548"/>
      <c r="DD168" s="1548"/>
      <c r="DE168" s="1548"/>
      <c r="DF168" s="1548"/>
      <c r="DG168" s="1548"/>
      <c r="DH168" s="1548"/>
      <c r="DI168" s="1548"/>
      <c r="DJ168" s="1548"/>
      <c r="DK168" s="1548"/>
      <c r="DL168" s="1548"/>
      <c r="DM168" s="1548"/>
      <c r="DN168" s="1548"/>
      <c r="DO168" s="1548"/>
      <c r="DP168" s="1548"/>
      <c r="DQ168" s="1548"/>
      <c r="DR168" s="1548"/>
      <c r="DS168" s="1548"/>
      <c r="DT168" s="1548"/>
      <c r="DU168" s="1548"/>
      <c r="DV168" s="1548"/>
      <c r="DW168" s="1548"/>
    </row>
    <row r="169" spans="1:127" s="2122" customFormat="1" ht="54.75" customHeight="1">
      <c r="A169" s="3767"/>
      <c r="B169" s="1851" t="str">
        <f t="shared" si="5"/>
        <v>2000002703</v>
      </c>
      <c r="C169" s="1851" t="s">
        <v>6809</v>
      </c>
      <c r="D169" s="2178"/>
      <c r="E169" s="2118"/>
      <c r="F169" s="1851" t="s">
        <v>3401</v>
      </c>
      <c r="G169" s="1921"/>
      <c r="H169" s="1921"/>
      <c r="I169" s="2320" t="s">
        <v>19</v>
      </c>
      <c r="J169" s="1495" t="s">
        <v>123</v>
      </c>
      <c r="K169" s="1605" t="s">
        <v>7042</v>
      </c>
      <c r="L169" s="2357">
        <v>2000</v>
      </c>
      <c r="M169" s="2496" t="s">
        <v>7043</v>
      </c>
      <c r="N169" s="1862"/>
      <c r="O169" s="1748">
        <v>3</v>
      </c>
      <c r="P169" s="2150"/>
      <c r="Q169" s="2150"/>
      <c r="R169" s="2150"/>
      <c r="S169" s="2150"/>
      <c r="T169" s="2150"/>
      <c r="U169" s="2150"/>
      <c r="V169" s="2150"/>
      <c r="W169" s="2150"/>
      <c r="X169" s="2150"/>
      <c r="Y169" s="2150"/>
      <c r="Z169" s="2150"/>
      <c r="AA169" s="2150"/>
      <c r="AB169" s="2150"/>
      <c r="AC169" s="2150"/>
      <c r="AD169" s="2150"/>
      <c r="AE169" s="2150"/>
      <c r="AF169" s="2150"/>
      <c r="AG169" s="2150"/>
      <c r="AH169" s="2150"/>
      <c r="AI169" s="2150"/>
      <c r="AJ169" s="2150"/>
      <c r="AK169" s="2150"/>
      <c r="AL169" s="2150"/>
      <c r="AM169" s="2150"/>
      <c r="AN169" s="2150"/>
      <c r="AO169" s="2150"/>
      <c r="AP169" s="2150"/>
      <c r="AQ169" s="2150"/>
      <c r="AR169" s="2150"/>
      <c r="AS169" s="2150"/>
      <c r="AT169" s="2150"/>
      <c r="AU169" s="2150"/>
      <c r="AV169" s="2150"/>
      <c r="AW169" s="2150"/>
      <c r="AX169" s="2150"/>
      <c r="AY169" s="2150"/>
      <c r="AZ169" s="2150"/>
      <c r="BA169" s="2150"/>
      <c r="BB169" s="2150"/>
      <c r="BC169" s="2150"/>
      <c r="BD169" s="2150"/>
      <c r="BE169" s="2150"/>
      <c r="BF169" s="2150"/>
      <c r="BG169" s="2150"/>
      <c r="BH169" s="2150"/>
      <c r="BI169" s="2150"/>
      <c r="BJ169" s="2150"/>
      <c r="BK169" s="2150"/>
      <c r="BL169" s="2150"/>
      <c r="BM169" s="2150"/>
      <c r="BN169" s="2150"/>
      <c r="BO169" s="2150"/>
      <c r="BP169" s="2150"/>
      <c r="BQ169" s="2150"/>
      <c r="BR169" s="2150"/>
      <c r="BS169" s="2150"/>
      <c r="BT169" s="2150"/>
      <c r="BU169" s="2150"/>
      <c r="BV169" s="2150"/>
      <c r="BW169" s="2150"/>
      <c r="BX169" s="2150"/>
      <c r="BY169" s="2150"/>
      <c r="BZ169" s="2150"/>
      <c r="CA169" s="2150"/>
      <c r="CB169" s="2150"/>
      <c r="CC169" s="2150"/>
      <c r="CD169" s="2150"/>
      <c r="CE169" s="2150"/>
      <c r="CF169" s="2150"/>
      <c r="CG169" s="2150"/>
      <c r="CH169" s="2150"/>
      <c r="CI169" s="2150"/>
      <c r="CJ169" s="2150"/>
      <c r="CK169" s="2150"/>
      <c r="CL169" s="2150"/>
      <c r="CM169" s="2150"/>
      <c r="CN169" s="2150"/>
      <c r="CO169" s="2150"/>
      <c r="CP169" s="2150"/>
      <c r="CQ169" s="2150"/>
      <c r="CR169" s="2150"/>
      <c r="CS169" s="2150"/>
      <c r="CT169" s="2150"/>
      <c r="CU169" s="2150"/>
      <c r="CV169" s="2150"/>
      <c r="CW169" s="2150"/>
      <c r="CX169" s="2150"/>
      <c r="CY169" s="2150"/>
      <c r="CZ169" s="2150"/>
      <c r="DA169" s="2150"/>
      <c r="DB169" s="2150"/>
      <c r="DC169" s="2150"/>
      <c r="DD169" s="2150"/>
      <c r="DE169" s="2150"/>
      <c r="DF169" s="2150"/>
      <c r="DG169" s="2150"/>
      <c r="DH169" s="2150"/>
      <c r="DI169" s="2150"/>
      <c r="DJ169" s="2150"/>
      <c r="DK169" s="2150"/>
      <c r="DL169" s="2150"/>
      <c r="DM169" s="2150"/>
      <c r="DN169" s="2150"/>
      <c r="DO169" s="2150"/>
      <c r="DP169" s="2150"/>
      <c r="DQ169" s="2150"/>
      <c r="DR169" s="2150"/>
      <c r="DS169" s="2150"/>
      <c r="DT169" s="2150"/>
      <c r="DU169" s="2150"/>
      <c r="DV169" s="2150"/>
      <c r="DW169" s="2150"/>
    </row>
    <row r="170" spans="1:127" s="2122" customFormat="1" ht="54.75" customHeight="1">
      <c r="A170" s="3767"/>
      <c r="B170" s="1851" t="str">
        <f t="shared" si="5"/>
        <v>2000002704</v>
      </c>
      <c r="C170" s="1851" t="s">
        <v>6809</v>
      </c>
      <c r="D170" s="2178"/>
      <c r="E170" s="2118"/>
      <c r="F170" s="1851" t="s">
        <v>3401</v>
      </c>
      <c r="G170" s="1921"/>
      <c r="H170" s="1921"/>
      <c r="I170" s="2320" t="s">
        <v>19</v>
      </c>
      <c r="J170" s="1495" t="s">
        <v>123</v>
      </c>
      <c r="K170" s="1605" t="s">
        <v>7044</v>
      </c>
      <c r="L170" s="2357">
        <v>2500</v>
      </c>
      <c r="M170" s="2496" t="s">
        <v>7045</v>
      </c>
      <c r="N170" s="1862"/>
      <c r="O170" s="1748">
        <v>3</v>
      </c>
      <c r="P170" s="2150"/>
      <c r="Q170" s="2150"/>
      <c r="R170" s="2150"/>
      <c r="S170" s="2150"/>
      <c r="T170" s="2150"/>
      <c r="U170" s="2150"/>
      <c r="V170" s="2150"/>
      <c r="W170" s="2150"/>
      <c r="X170" s="2150"/>
      <c r="Y170" s="2150"/>
      <c r="Z170" s="2150"/>
      <c r="AA170" s="2150"/>
      <c r="AB170" s="2150"/>
      <c r="AC170" s="2150"/>
      <c r="AD170" s="2150"/>
      <c r="AE170" s="2150"/>
      <c r="AF170" s="2150"/>
      <c r="AG170" s="2150"/>
      <c r="AH170" s="2150"/>
      <c r="AI170" s="2150"/>
      <c r="AJ170" s="2150"/>
      <c r="AK170" s="2150"/>
      <c r="AL170" s="2150"/>
      <c r="AM170" s="2150"/>
      <c r="AN170" s="2150"/>
      <c r="AO170" s="2150"/>
      <c r="AP170" s="2150"/>
      <c r="AQ170" s="2150"/>
      <c r="AR170" s="2150"/>
      <c r="AS170" s="2150"/>
      <c r="AT170" s="2150"/>
      <c r="AU170" s="2150"/>
      <c r="AV170" s="2150"/>
      <c r="AW170" s="2150"/>
      <c r="AX170" s="2150"/>
      <c r="AY170" s="2150"/>
      <c r="AZ170" s="2150"/>
      <c r="BA170" s="2150"/>
      <c r="BB170" s="2150"/>
      <c r="BC170" s="2150"/>
      <c r="BD170" s="2150"/>
      <c r="BE170" s="2150"/>
      <c r="BF170" s="2150"/>
      <c r="BG170" s="2150"/>
      <c r="BH170" s="2150"/>
      <c r="BI170" s="2150"/>
      <c r="BJ170" s="2150"/>
      <c r="BK170" s="2150"/>
      <c r="BL170" s="2150"/>
      <c r="BM170" s="2150"/>
      <c r="BN170" s="2150"/>
      <c r="BO170" s="2150"/>
      <c r="BP170" s="2150"/>
      <c r="BQ170" s="2150"/>
      <c r="BR170" s="2150"/>
      <c r="BS170" s="2150"/>
      <c r="BT170" s="2150"/>
      <c r="BU170" s="2150"/>
      <c r="BV170" s="2150"/>
      <c r="BW170" s="2150"/>
      <c r="BX170" s="2150"/>
      <c r="BY170" s="2150"/>
      <c r="BZ170" s="2150"/>
      <c r="CA170" s="2150"/>
      <c r="CB170" s="2150"/>
      <c r="CC170" s="2150"/>
      <c r="CD170" s="2150"/>
      <c r="CE170" s="2150"/>
      <c r="CF170" s="2150"/>
      <c r="CG170" s="2150"/>
      <c r="CH170" s="2150"/>
      <c r="CI170" s="2150"/>
      <c r="CJ170" s="2150"/>
      <c r="CK170" s="2150"/>
      <c r="CL170" s="2150"/>
      <c r="CM170" s="2150"/>
      <c r="CN170" s="2150"/>
      <c r="CO170" s="2150"/>
      <c r="CP170" s="2150"/>
      <c r="CQ170" s="2150"/>
      <c r="CR170" s="2150"/>
      <c r="CS170" s="2150"/>
      <c r="CT170" s="2150"/>
      <c r="CU170" s="2150"/>
      <c r="CV170" s="2150"/>
      <c r="CW170" s="2150"/>
      <c r="CX170" s="2150"/>
      <c r="CY170" s="2150"/>
      <c r="CZ170" s="2150"/>
      <c r="DA170" s="2150"/>
      <c r="DB170" s="2150"/>
      <c r="DC170" s="2150"/>
      <c r="DD170" s="2150"/>
      <c r="DE170" s="2150"/>
      <c r="DF170" s="2150"/>
      <c r="DG170" s="2150"/>
      <c r="DH170" s="2150"/>
      <c r="DI170" s="2150"/>
      <c r="DJ170" s="2150"/>
      <c r="DK170" s="2150"/>
      <c r="DL170" s="2150"/>
      <c r="DM170" s="2150"/>
      <c r="DN170" s="2150"/>
      <c r="DO170" s="2150"/>
      <c r="DP170" s="2150"/>
      <c r="DQ170" s="2150"/>
      <c r="DR170" s="2150"/>
      <c r="DS170" s="2150"/>
      <c r="DT170" s="2150"/>
      <c r="DU170" s="2150"/>
      <c r="DV170" s="2150"/>
      <c r="DW170" s="2150"/>
    </row>
    <row r="171" spans="1:127" s="2122" customFormat="1" ht="54.75" customHeight="1">
      <c r="A171" s="3767"/>
      <c r="B171" s="1851" t="str">
        <f t="shared" si="5"/>
        <v>2000002706</v>
      </c>
      <c r="C171" s="1851" t="s">
        <v>6809</v>
      </c>
      <c r="D171" s="2178"/>
      <c r="E171" s="2118"/>
      <c r="F171" s="1851" t="s">
        <v>3401</v>
      </c>
      <c r="G171" s="1921"/>
      <c r="H171" s="1921"/>
      <c r="I171" s="2320" t="s">
        <v>19</v>
      </c>
      <c r="J171" s="1495" t="s">
        <v>123</v>
      </c>
      <c r="K171" s="1605" t="s">
        <v>7046</v>
      </c>
      <c r="L171" s="2357">
        <v>2000</v>
      </c>
      <c r="M171" s="2496" t="s">
        <v>7047</v>
      </c>
      <c r="N171" s="1862"/>
      <c r="O171" s="1748">
        <v>3</v>
      </c>
      <c r="P171" s="2150"/>
      <c r="Q171" s="2150"/>
      <c r="R171" s="2150"/>
      <c r="S171" s="2150"/>
      <c r="T171" s="2150"/>
      <c r="U171" s="2150"/>
      <c r="V171" s="2150"/>
      <c r="W171" s="2150"/>
      <c r="X171" s="2150"/>
      <c r="Y171" s="2150"/>
      <c r="Z171" s="2150"/>
      <c r="AA171" s="2150"/>
      <c r="AB171" s="2150"/>
      <c r="AC171" s="2150"/>
      <c r="AD171" s="2150"/>
      <c r="AE171" s="2150"/>
      <c r="AF171" s="2150"/>
      <c r="AG171" s="2150"/>
      <c r="AH171" s="2150"/>
      <c r="AI171" s="2150"/>
      <c r="AJ171" s="2150"/>
      <c r="AK171" s="2150"/>
      <c r="AL171" s="2150"/>
      <c r="AM171" s="2150"/>
      <c r="AN171" s="2150"/>
      <c r="AO171" s="2150"/>
      <c r="AP171" s="2150"/>
      <c r="AQ171" s="2150"/>
      <c r="AR171" s="2150"/>
      <c r="AS171" s="2150"/>
      <c r="AT171" s="2150"/>
      <c r="AU171" s="2150"/>
      <c r="AV171" s="2150"/>
      <c r="AW171" s="2150"/>
      <c r="AX171" s="2150"/>
      <c r="AY171" s="2150"/>
      <c r="AZ171" s="2150"/>
      <c r="BA171" s="2150"/>
      <c r="BB171" s="2150"/>
      <c r="BC171" s="2150"/>
      <c r="BD171" s="2150"/>
      <c r="BE171" s="2150"/>
      <c r="BF171" s="2150"/>
      <c r="BG171" s="2150"/>
      <c r="BH171" s="2150"/>
      <c r="BI171" s="2150"/>
      <c r="BJ171" s="2150"/>
      <c r="BK171" s="2150"/>
      <c r="BL171" s="2150"/>
      <c r="BM171" s="2150"/>
      <c r="BN171" s="2150"/>
      <c r="BO171" s="2150"/>
      <c r="BP171" s="2150"/>
      <c r="BQ171" s="2150"/>
      <c r="BR171" s="2150"/>
      <c r="BS171" s="2150"/>
      <c r="BT171" s="2150"/>
      <c r="BU171" s="2150"/>
      <c r="BV171" s="2150"/>
      <c r="BW171" s="2150"/>
      <c r="BX171" s="2150"/>
      <c r="BY171" s="2150"/>
      <c r="BZ171" s="2150"/>
      <c r="CA171" s="2150"/>
      <c r="CB171" s="2150"/>
      <c r="CC171" s="2150"/>
      <c r="CD171" s="2150"/>
      <c r="CE171" s="2150"/>
      <c r="CF171" s="2150"/>
      <c r="CG171" s="2150"/>
      <c r="CH171" s="2150"/>
      <c r="CI171" s="2150"/>
      <c r="CJ171" s="2150"/>
      <c r="CK171" s="2150"/>
      <c r="CL171" s="2150"/>
      <c r="CM171" s="2150"/>
      <c r="CN171" s="2150"/>
      <c r="CO171" s="2150"/>
      <c r="CP171" s="2150"/>
      <c r="CQ171" s="2150"/>
      <c r="CR171" s="2150"/>
      <c r="CS171" s="2150"/>
      <c r="CT171" s="2150"/>
      <c r="CU171" s="2150"/>
      <c r="CV171" s="2150"/>
      <c r="CW171" s="2150"/>
      <c r="CX171" s="2150"/>
      <c r="CY171" s="2150"/>
      <c r="CZ171" s="2150"/>
      <c r="DA171" s="2150"/>
      <c r="DB171" s="2150"/>
      <c r="DC171" s="2150"/>
      <c r="DD171" s="2150"/>
      <c r="DE171" s="2150"/>
      <c r="DF171" s="2150"/>
      <c r="DG171" s="2150"/>
      <c r="DH171" s="2150"/>
      <c r="DI171" s="2150"/>
      <c r="DJ171" s="2150"/>
      <c r="DK171" s="2150"/>
      <c r="DL171" s="2150"/>
      <c r="DM171" s="2150"/>
      <c r="DN171" s="2150"/>
      <c r="DO171" s="2150"/>
      <c r="DP171" s="2150"/>
      <c r="DQ171" s="2150"/>
      <c r="DR171" s="2150"/>
      <c r="DS171" s="2150"/>
      <c r="DT171" s="2150"/>
      <c r="DU171" s="2150"/>
      <c r="DV171" s="2150"/>
      <c r="DW171" s="2150"/>
    </row>
    <row r="172" spans="1:127" s="2122" customFormat="1" ht="99" customHeight="1">
      <c r="A172" s="3767"/>
      <c r="B172" s="1851" t="str">
        <f t="shared" si="5"/>
        <v>2000002744</v>
      </c>
      <c r="C172" s="1851" t="s">
        <v>6809</v>
      </c>
      <c r="D172" s="2201"/>
      <c r="E172" s="1921"/>
      <c r="F172" s="1851" t="s">
        <v>3401</v>
      </c>
      <c r="G172" s="1495"/>
      <c r="H172" s="1495"/>
      <c r="I172" s="2320" t="s">
        <v>19</v>
      </c>
      <c r="J172" s="1851" t="s">
        <v>5325</v>
      </c>
      <c r="K172" s="1600" t="s">
        <v>7048</v>
      </c>
      <c r="L172" s="2299">
        <v>7800</v>
      </c>
      <c r="M172" s="2448" t="s">
        <v>5937</v>
      </c>
      <c r="N172" s="1843"/>
      <c r="O172" s="1748">
        <v>3</v>
      </c>
      <c r="P172" s="1807"/>
      <c r="Q172" s="1548"/>
      <c r="R172" s="1548"/>
      <c r="S172" s="1548"/>
      <c r="T172" s="1548"/>
      <c r="U172" s="1548"/>
      <c r="V172" s="1548"/>
      <c r="W172" s="1548"/>
      <c r="X172" s="1548"/>
      <c r="Y172" s="1548"/>
      <c r="Z172" s="1548"/>
      <c r="AA172" s="1548"/>
      <c r="AB172" s="1548"/>
      <c r="AC172" s="1548"/>
      <c r="AD172" s="1548"/>
      <c r="AE172" s="1548"/>
      <c r="AF172" s="1548"/>
      <c r="AG172" s="1548"/>
      <c r="AH172" s="1548"/>
      <c r="AI172" s="1548"/>
      <c r="AJ172" s="1548"/>
      <c r="AK172" s="1548"/>
      <c r="AL172" s="1548"/>
      <c r="AM172" s="1548"/>
      <c r="AN172" s="1548"/>
      <c r="AO172" s="1548"/>
      <c r="AP172" s="1548"/>
      <c r="AQ172" s="1548"/>
      <c r="AR172" s="1548"/>
      <c r="AS172" s="1548"/>
      <c r="AT172" s="1548"/>
      <c r="AU172" s="1548"/>
      <c r="AV172" s="1548"/>
      <c r="AW172" s="1548"/>
      <c r="AX172" s="1548"/>
      <c r="AY172" s="1548"/>
      <c r="AZ172" s="1548"/>
      <c r="BA172" s="1548"/>
      <c r="BB172" s="1548"/>
      <c r="BC172" s="1548"/>
      <c r="BD172" s="1548"/>
      <c r="BE172" s="1548"/>
      <c r="BF172" s="1548"/>
      <c r="BG172" s="1548"/>
      <c r="BH172" s="1548"/>
      <c r="BI172" s="1548"/>
      <c r="BJ172" s="1548"/>
      <c r="BK172" s="1548"/>
      <c r="BL172" s="1548"/>
      <c r="BM172" s="1548"/>
      <c r="BN172" s="1548"/>
      <c r="BO172" s="1548"/>
      <c r="BP172" s="1548"/>
      <c r="BQ172" s="1548"/>
      <c r="BR172" s="1548"/>
      <c r="BS172" s="1548"/>
      <c r="BT172" s="1548"/>
      <c r="BU172" s="1548"/>
      <c r="BV172" s="1548"/>
      <c r="BW172" s="1548"/>
      <c r="BX172" s="1548"/>
      <c r="BY172" s="1548"/>
      <c r="BZ172" s="1548"/>
      <c r="CA172" s="1548"/>
      <c r="CB172" s="1548"/>
      <c r="CC172" s="1548"/>
      <c r="CD172" s="1548"/>
      <c r="CE172" s="1548"/>
      <c r="CF172" s="1548"/>
      <c r="CG172" s="1548"/>
      <c r="CH172" s="1548"/>
      <c r="CI172" s="1548"/>
      <c r="CJ172" s="1548"/>
      <c r="CK172" s="1548"/>
      <c r="CL172" s="1548"/>
      <c r="CM172" s="1548"/>
      <c r="CN172" s="1548"/>
      <c r="CO172" s="1548"/>
      <c r="CP172" s="1548"/>
      <c r="CQ172" s="1548"/>
      <c r="CR172" s="1548"/>
      <c r="CS172" s="1548"/>
      <c r="CT172" s="1548"/>
      <c r="CU172" s="1548"/>
      <c r="CV172" s="1548"/>
      <c r="CW172" s="1548"/>
      <c r="CX172" s="1548"/>
      <c r="CY172" s="1548"/>
      <c r="CZ172" s="1548"/>
      <c r="DA172" s="1548"/>
      <c r="DB172" s="1548"/>
      <c r="DC172" s="1548"/>
      <c r="DD172" s="1548"/>
      <c r="DE172" s="1548"/>
      <c r="DF172" s="1548"/>
      <c r="DG172" s="1548"/>
      <c r="DH172" s="1548"/>
      <c r="DI172" s="1548"/>
      <c r="DJ172" s="1548"/>
      <c r="DK172" s="1548"/>
      <c r="DL172" s="1548"/>
      <c r="DM172" s="1548"/>
      <c r="DN172" s="1548"/>
      <c r="DO172" s="1548"/>
      <c r="DP172" s="1548"/>
      <c r="DQ172" s="1548"/>
      <c r="DR172" s="1548"/>
      <c r="DS172" s="1548"/>
      <c r="DT172" s="1548"/>
      <c r="DU172" s="1548"/>
      <c r="DV172" s="1548"/>
      <c r="DW172" s="1548"/>
    </row>
    <row r="173" spans="1:127" s="2129" customFormat="1" ht="57.75" customHeight="1">
      <c r="A173" s="3767"/>
      <c r="B173" s="1875" t="str">
        <f t="shared" si="5"/>
        <v>2000002708</v>
      </c>
      <c r="C173" s="1875" t="s">
        <v>6809</v>
      </c>
      <c r="D173" s="2522"/>
      <c r="E173" s="2184"/>
      <c r="F173" s="1875" t="s">
        <v>3401</v>
      </c>
      <c r="G173" s="2186"/>
      <c r="H173" s="2184"/>
      <c r="I173" s="2362" t="s">
        <v>19</v>
      </c>
      <c r="J173" s="1875" t="s">
        <v>5325</v>
      </c>
      <c r="K173" s="1988" t="s">
        <v>7049</v>
      </c>
      <c r="L173" s="2523">
        <v>3000</v>
      </c>
      <c r="M173" s="2518" t="s">
        <v>5937</v>
      </c>
      <c r="N173" s="2524"/>
      <c r="O173" s="2051">
        <v>3</v>
      </c>
      <c r="P173" s="1945"/>
      <c r="Q173" s="1945"/>
      <c r="R173" s="1945"/>
      <c r="S173" s="1945"/>
      <c r="T173" s="1945"/>
      <c r="U173" s="1945"/>
      <c r="V173" s="1945"/>
      <c r="W173" s="1945"/>
      <c r="X173" s="1945"/>
      <c r="Y173" s="1945"/>
      <c r="Z173" s="1945"/>
      <c r="AA173" s="1945"/>
      <c r="AB173" s="1945"/>
      <c r="AC173" s="1945"/>
      <c r="AD173" s="1945"/>
      <c r="AE173" s="1945"/>
      <c r="AF173" s="1945"/>
      <c r="AG173" s="1945"/>
      <c r="AH173" s="1945"/>
      <c r="AI173" s="1945"/>
      <c r="AJ173" s="1945"/>
      <c r="AK173" s="1945"/>
      <c r="AL173" s="1945"/>
      <c r="AM173" s="1945"/>
      <c r="AN173" s="1945"/>
      <c r="AO173" s="1945"/>
      <c r="AP173" s="1945"/>
      <c r="AQ173" s="1945"/>
      <c r="AR173" s="1945"/>
      <c r="AS173" s="1945"/>
      <c r="AT173" s="1945"/>
      <c r="AU173" s="1945"/>
      <c r="AV173" s="1945"/>
      <c r="AW173" s="1945"/>
      <c r="AX173" s="1945"/>
      <c r="AY173" s="1945"/>
      <c r="AZ173" s="1945"/>
      <c r="BA173" s="1945"/>
      <c r="BB173" s="1945"/>
      <c r="BC173" s="1945"/>
      <c r="BD173" s="1945"/>
      <c r="BE173" s="1945"/>
      <c r="BF173" s="1945"/>
      <c r="BG173" s="1945"/>
      <c r="BH173" s="1945"/>
      <c r="BI173" s="1945"/>
      <c r="BJ173" s="1945"/>
      <c r="BK173" s="1945"/>
      <c r="BL173" s="1945"/>
      <c r="BM173" s="1945"/>
      <c r="BN173" s="1945"/>
      <c r="BO173" s="1945"/>
      <c r="BP173" s="1945"/>
      <c r="BQ173" s="1945"/>
      <c r="BR173" s="1945"/>
      <c r="BS173" s="1945"/>
      <c r="BT173" s="1945"/>
      <c r="BU173" s="1945"/>
      <c r="BV173" s="1945"/>
      <c r="BW173" s="1945"/>
      <c r="BX173" s="1945"/>
      <c r="BY173" s="1945"/>
      <c r="BZ173" s="1945"/>
      <c r="CA173" s="1945"/>
      <c r="CB173" s="1945"/>
      <c r="CC173" s="1945"/>
      <c r="CD173" s="1945"/>
      <c r="CE173" s="1945"/>
      <c r="CF173" s="1945"/>
      <c r="CG173" s="1945"/>
      <c r="CH173" s="1945"/>
      <c r="CI173" s="1945"/>
      <c r="CJ173" s="1945"/>
      <c r="CK173" s="1945"/>
      <c r="CL173" s="1945"/>
      <c r="CM173" s="1945"/>
      <c r="CN173" s="1945"/>
      <c r="CO173" s="1945"/>
      <c r="CP173" s="1945"/>
      <c r="CQ173" s="1945"/>
      <c r="CR173" s="1945"/>
      <c r="CS173" s="1945"/>
      <c r="CT173" s="1945"/>
      <c r="CU173" s="1945"/>
      <c r="CV173" s="1945"/>
      <c r="CW173" s="1945"/>
      <c r="CX173" s="1945"/>
      <c r="CY173" s="1945"/>
      <c r="CZ173" s="1945"/>
      <c r="DA173" s="1945"/>
      <c r="DB173" s="1945"/>
      <c r="DC173" s="1945"/>
      <c r="DD173" s="1945"/>
      <c r="DE173" s="1945"/>
      <c r="DF173" s="1945"/>
      <c r="DG173" s="1945"/>
      <c r="DH173" s="1945"/>
      <c r="DI173" s="1945"/>
      <c r="DJ173" s="1945"/>
      <c r="DK173" s="1945"/>
      <c r="DL173" s="1945"/>
      <c r="DM173" s="1945"/>
      <c r="DN173" s="1945"/>
      <c r="DO173" s="1945"/>
      <c r="DP173" s="1945"/>
      <c r="DQ173" s="1945"/>
      <c r="DR173" s="1945"/>
      <c r="DS173" s="1945"/>
      <c r="DT173" s="1945"/>
      <c r="DU173" s="1945"/>
      <c r="DV173" s="1945"/>
      <c r="DW173" s="1945"/>
    </row>
    <row r="174" spans="1:127" s="2127" customFormat="1" ht="105" customHeight="1">
      <c r="A174" s="3787"/>
      <c r="B174" s="1495" t="str">
        <f t="shared" si="5"/>
        <v>2000002695</v>
      </c>
      <c r="C174" s="1900" t="s">
        <v>6809</v>
      </c>
      <c r="D174" s="2516"/>
      <c r="E174" s="1543"/>
      <c r="F174" s="1543" t="s">
        <v>3401</v>
      </c>
      <c r="G174" s="1543"/>
      <c r="H174" s="1543"/>
      <c r="I174" s="1543" t="s">
        <v>19</v>
      </c>
      <c r="J174" s="1543" t="s">
        <v>4348</v>
      </c>
      <c r="K174" s="1464" t="s">
        <v>7050</v>
      </c>
      <c r="L174" s="2525">
        <v>5000</v>
      </c>
      <c r="M174" s="2518" t="s">
        <v>5937</v>
      </c>
      <c r="N174" s="1860"/>
      <c r="O174" s="2051">
        <v>3</v>
      </c>
      <c r="P174" s="1559"/>
      <c r="Q174" s="1559"/>
      <c r="R174" s="1559"/>
      <c r="S174" s="1559"/>
      <c r="T174" s="1559"/>
      <c r="U174" s="1559"/>
      <c r="V174" s="1559"/>
      <c r="W174" s="1559"/>
      <c r="X174" s="1559"/>
      <c r="Y174" s="1559"/>
      <c r="Z174" s="1559"/>
      <c r="AA174" s="1559"/>
      <c r="AB174" s="1559"/>
      <c r="AC174" s="1559"/>
      <c r="AD174" s="1559"/>
      <c r="AE174" s="1559"/>
      <c r="AF174" s="1559"/>
      <c r="AG174" s="1559"/>
      <c r="AH174" s="1559"/>
      <c r="AI174" s="1559"/>
      <c r="AJ174" s="1559"/>
      <c r="AK174" s="1559"/>
      <c r="AL174" s="1559"/>
      <c r="AM174" s="1559"/>
      <c r="AN174" s="1559"/>
      <c r="AO174" s="1559"/>
      <c r="AP174" s="1559"/>
      <c r="AQ174" s="1559"/>
      <c r="AR174" s="1559"/>
      <c r="AS174" s="1559"/>
      <c r="AT174" s="1559"/>
      <c r="AU174" s="1559"/>
      <c r="AV174" s="1559"/>
      <c r="AW174" s="1559"/>
      <c r="AX174" s="1559"/>
      <c r="AY174" s="1559"/>
      <c r="AZ174" s="1559"/>
      <c r="BA174" s="1559"/>
      <c r="BB174" s="1559"/>
      <c r="BC174" s="1559"/>
      <c r="BD174" s="1559"/>
      <c r="BE174" s="1559"/>
      <c r="BF174" s="1559"/>
      <c r="BG174" s="1559"/>
      <c r="BH174" s="1559"/>
      <c r="BI174" s="1559"/>
      <c r="BJ174" s="1559"/>
      <c r="BK174" s="1559"/>
      <c r="BL174" s="1559"/>
      <c r="BM174" s="1559"/>
      <c r="BN174" s="1559"/>
      <c r="BO174" s="1559"/>
      <c r="BP174" s="1559"/>
      <c r="BQ174" s="1559"/>
      <c r="BR174" s="1559"/>
      <c r="BS174" s="1559"/>
      <c r="BT174" s="1559"/>
      <c r="BU174" s="1559"/>
      <c r="BV174" s="1559"/>
      <c r="BW174" s="1559"/>
      <c r="BX174" s="1559"/>
      <c r="BY174" s="1559"/>
      <c r="BZ174" s="1559"/>
      <c r="CA174" s="1559"/>
      <c r="CB174" s="1559"/>
      <c r="CC174" s="1559"/>
      <c r="CD174" s="1559"/>
      <c r="CE174" s="1559"/>
      <c r="CF174" s="1559"/>
      <c r="CG174" s="1559"/>
      <c r="CH174" s="1559"/>
      <c r="CI174" s="1559"/>
      <c r="CJ174" s="1559"/>
      <c r="CK174" s="1559"/>
      <c r="CL174" s="1559"/>
      <c r="CM174" s="1559"/>
      <c r="CN174" s="1559"/>
      <c r="CO174" s="1559"/>
      <c r="CP174" s="1559"/>
      <c r="CQ174" s="1559"/>
      <c r="CR174" s="1559"/>
      <c r="CS174" s="1559"/>
      <c r="CT174" s="1559"/>
      <c r="CU174" s="1559"/>
      <c r="CV174" s="1559"/>
      <c r="CW174" s="1559"/>
      <c r="CX174" s="1559"/>
      <c r="CY174" s="1559"/>
      <c r="CZ174" s="1559"/>
      <c r="DA174" s="1559"/>
      <c r="DB174" s="1559"/>
      <c r="DC174" s="1559"/>
      <c r="DD174" s="1559"/>
      <c r="DE174" s="1559"/>
      <c r="DF174" s="1559"/>
      <c r="DG174" s="1559"/>
      <c r="DH174" s="1559"/>
      <c r="DI174" s="1559"/>
      <c r="DJ174" s="1559"/>
      <c r="DK174" s="1559"/>
      <c r="DL174" s="1559"/>
      <c r="DM174" s="1559"/>
      <c r="DN174" s="1559"/>
      <c r="DO174" s="1559"/>
      <c r="DP174" s="1559"/>
      <c r="DQ174" s="1559"/>
      <c r="DR174" s="1559"/>
      <c r="DS174" s="1559"/>
      <c r="DT174" s="1559"/>
      <c r="DU174" s="1559"/>
      <c r="DV174" s="1559"/>
      <c r="DW174" s="2003"/>
    </row>
    <row r="175" spans="1:127" s="2127" customFormat="1" ht="125.25" customHeight="1">
      <c r="A175" s="3773">
        <v>46</v>
      </c>
      <c r="B175" s="2120" t="str">
        <f t="shared" si="5"/>
        <v>2000002709</v>
      </c>
      <c r="C175" s="1921" t="s">
        <v>193</v>
      </c>
      <c r="D175" s="2497">
        <v>11700</v>
      </c>
      <c r="E175" s="2479" t="s">
        <v>7051</v>
      </c>
      <c r="F175" s="1921" t="s">
        <v>3401</v>
      </c>
      <c r="G175" s="1921" t="s">
        <v>7052</v>
      </c>
      <c r="H175" s="1909" t="s">
        <v>7024</v>
      </c>
      <c r="I175" s="2344" t="s">
        <v>19</v>
      </c>
      <c r="J175" s="1561" t="s">
        <v>1138</v>
      </c>
      <c r="K175" s="2698" t="s">
        <v>7053</v>
      </c>
      <c r="L175" s="2337">
        <v>10100</v>
      </c>
      <c r="M175" s="2448" t="s">
        <v>5937</v>
      </c>
      <c r="N175" s="1548"/>
      <c r="O175" s="1790">
        <v>3</v>
      </c>
      <c r="P175" s="1548"/>
      <c r="Q175" s="1548"/>
      <c r="R175" s="1548"/>
      <c r="S175" s="1548"/>
      <c r="T175" s="1548"/>
      <c r="U175" s="1548"/>
      <c r="V175" s="1548"/>
      <c r="W175" s="1548"/>
      <c r="X175" s="1548"/>
      <c r="Y175" s="1548"/>
      <c r="Z175" s="1548"/>
      <c r="AA175" s="1548"/>
      <c r="AB175" s="1548"/>
      <c r="AC175" s="1548"/>
      <c r="AD175" s="1548"/>
      <c r="AE175" s="1548"/>
      <c r="AF175" s="1548"/>
      <c r="AG175" s="1548"/>
      <c r="AH175" s="1548"/>
      <c r="AI175" s="1548"/>
      <c r="AJ175" s="1548"/>
      <c r="AK175" s="1548"/>
      <c r="AL175" s="1548"/>
      <c r="AM175" s="1548"/>
      <c r="AN175" s="1548"/>
      <c r="AO175" s="1548"/>
      <c r="AP175" s="1548"/>
      <c r="AQ175" s="1548"/>
      <c r="AR175" s="1548"/>
      <c r="AS175" s="1548"/>
      <c r="AT175" s="1548"/>
      <c r="AU175" s="1548"/>
      <c r="AV175" s="1548"/>
      <c r="AW175" s="1548"/>
      <c r="AX175" s="1548"/>
      <c r="AY175" s="1548"/>
      <c r="AZ175" s="1548"/>
      <c r="BA175" s="1548"/>
      <c r="BB175" s="1548"/>
      <c r="BC175" s="1548"/>
      <c r="BD175" s="1548"/>
      <c r="BE175" s="1548"/>
      <c r="BF175" s="1548"/>
      <c r="BG175" s="1548"/>
      <c r="BH175" s="1548"/>
      <c r="BI175" s="1548"/>
      <c r="BJ175" s="1548"/>
      <c r="BK175" s="1548"/>
      <c r="BL175" s="1548"/>
      <c r="BM175" s="1548"/>
      <c r="BN175" s="1548"/>
      <c r="BO175" s="1548"/>
      <c r="BP175" s="1548"/>
      <c r="BQ175" s="1548"/>
      <c r="BR175" s="1548"/>
      <c r="BS175" s="1548"/>
      <c r="BT175" s="1548"/>
      <c r="BU175" s="1548"/>
      <c r="BV175" s="1548"/>
      <c r="BW175" s="1548"/>
      <c r="BX175" s="1548"/>
      <c r="BY175" s="1548"/>
      <c r="BZ175" s="1548"/>
      <c r="CA175" s="1548"/>
      <c r="CB175" s="1548"/>
      <c r="CC175" s="1548"/>
      <c r="CD175" s="1548"/>
      <c r="CE175" s="1548"/>
      <c r="CF175" s="1548"/>
      <c r="CG175" s="1548"/>
      <c r="CH175" s="1548"/>
      <c r="CI175" s="1548"/>
      <c r="CJ175" s="1548"/>
      <c r="CK175" s="1548"/>
      <c r="CL175" s="1548"/>
      <c r="CM175" s="1548"/>
      <c r="CN175" s="1548"/>
      <c r="CO175" s="1548"/>
      <c r="CP175" s="1548"/>
      <c r="CQ175" s="1548"/>
      <c r="CR175" s="1548"/>
      <c r="CS175" s="1548"/>
      <c r="CT175" s="1548"/>
      <c r="CU175" s="1548"/>
      <c r="CV175" s="1548"/>
      <c r="CW175" s="1548"/>
      <c r="CX175" s="1548"/>
      <c r="CY175" s="1548"/>
      <c r="CZ175" s="1548"/>
      <c r="DA175" s="1548"/>
      <c r="DB175" s="1548"/>
      <c r="DC175" s="1548"/>
      <c r="DD175" s="1548"/>
      <c r="DE175" s="1548"/>
      <c r="DF175" s="1548"/>
      <c r="DG175" s="1548"/>
      <c r="DH175" s="1548"/>
      <c r="DI175" s="1548"/>
      <c r="DJ175" s="1548"/>
      <c r="DK175" s="1548"/>
      <c r="DL175" s="1548"/>
      <c r="DM175" s="1548"/>
      <c r="DN175" s="1548"/>
      <c r="DO175" s="1548"/>
      <c r="DP175" s="1548"/>
      <c r="DQ175" s="1548"/>
      <c r="DR175" s="1548"/>
      <c r="DS175" s="1548"/>
      <c r="DT175" s="1548"/>
      <c r="DU175" s="1548"/>
      <c r="DV175" s="1548"/>
      <c r="DW175" s="1548"/>
    </row>
    <row r="176" spans="1:127" s="2127" customFormat="1" ht="75" customHeight="1">
      <c r="A176" s="3767"/>
      <c r="B176" s="1851" t="str">
        <f t="shared" si="5"/>
        <v>2000002678</v>
      </c>
      <c r="C176" s="1851" t="s">
        <v>193</v>
      </c>
      <c r="D176" s="1826"/>
      <c r="E176" s="2118"/>
      <c r="F176" s="1495" t="s">
        <v>3401</v>
      </c>
      <c r="G176" s="1495"/>
      <c r="H176" s="1495"/>
      <c r="I176" s="2320" t="s">
        <v>19</v>
      </c>
      <c r="J176" s="1495" t="s">
        <v>1138</v>
      </c>
      <c r="K176" s="1994" t="s">
        <v>7054</v>
      </c>
      <c r="L176" s="2281">
        <v>1000</v>
      </c>
      <c r="M176" s="2448" t="s">
        <v>5937</v>
      </c>
      <c r="N176" s="2498"/>
      <c r="O176" s="2359">
        <v>3</v>
      </c>
      <c r="P176" s="1548"/>
      <c r="Q176" s="1548"/>
      <c r="R176" s="1548"/>
      <c r="S176" s="1548"/>
      <c r="T176" s="1548"/>
      <c r="U176" s="1548"/>
      <c r="V176" s="1548"/>
      <c r="W176" s="1548"/>
      <c r="X176" s="1548"/>
      <c r="Y176" s="1548"/>
      <c r="Z176" s="1548"/>
      <c r="AA176" s="1548"/>
      <c r="AB176" s="1548"/>
      <c r="AC176" s="1548"/>
      <c r="AD176" s="1548"/>
      <c r="AE176" s="1548"/>
      <c r="AF176" s="1548"/>
      <c r="AG176" s="1548"/>
      <c r="AH176" s="1548"/>
      <c r="AI176" s="1548"/>
      <c r="AJ176" s="1548"/>
      <c r="AK176" s="1548"/>
      <c r="AL176" s="1548"/>
      <c r="AM176" s="1548"/>
      <c r="AN176" s="1548"/>
      <c r="AO176" s="1548"/>
      <c r="AP176" s="1548"/>
      <c r="AQ176" s="1548"/>
      <c r="AR176" s="1548"/>
      <c r="AS176" s="1548"/>
      <c r="AT176" s="1548"/>
      <c r="AU176" s="1548"/>
      <c r="AV176" s="1548"/>
      <c r="AW176" s="1548"/>
      <c r="AX176" s="1548"/>
      <c r="AY176" s="1548"/>
      <c r="AZ176" s="1548"/>
      <c r="BA176" s="1548"/>
      <c r="BB176" s="1548"/>
      <c r="BC176" s="1548"/>
      <c r="BD176" s="1548"/>
      <c r="BE176" s="1548"/>
      <c r="BF176" s="1548"/>
      <c r="BG176" s="1548"/>
      <c r="BH176" s="1548"/>
      <c r="BI176" s="1548"/>
      <c r="BJ176" s="1548"/>
      <c r="BK176" s="1548"/>
      <c r="BL176" s="1548"/>
      <c r="BM176" s="1548"/>
      <c r="BN176" s="1548"/>
      <c r="BO176" s="1548"/>
      <c r="BP176" s="1548"/>
      <c r="BQ176" s="1548"/>
      <c r="BR176" s="1548"/>
      <c r="BS176" s="1548"/>
      <c r="BT176" s="1548"/>
      <c r="BU176" s="1548"/>
      <c r="BV176" s="1548"/>
      <c r="BW176" s="1548"/>
      <c r="BX176" s="1548"/>
      <c r="BY176" s="1548"/>
      <c r="BZ176" s="1548"/>
      <c r="CA176" s="1548"/>
      <c r="CB176" s="1548"/>
      <c r="CC176" s="1548"/>
      <c r="CD176" s="1548"/>
      <c r="CE176" s="1548"/>
      <c r="CF176" s="1548"/>
      <c r="CG176" s="1548"/>
      <c r="CH176" s="1548"/>
      <c r="CI176" s="1548"/>
      <c r="CJ176" s="1548"/>
      <c r="CK176" s="1548"/>
      <c r="CL176" s="1548"/>
      <c r="CM176" s="1548"/>
      <c r="CN176" s="1548"/>
      <c r="CO176" s="1548"/>
      <c r="CP176" s="1548"/>
      <c r="CQ176" s="1548"/>
      <c r="CR176" s="1548"/>
      <c r="CS176" s="1548"/>
      <c r="CT176" s="1548"/>
      <c r="CU176" s="1548"/>
      <c r="CV176" s="1548"/>
      <c r="CW176" s="1548"/>
      <c r="CX176" s="1548"/>
      <c r="CY176" s="1548"/>
      <c r="CZ176" s="1548"/>
      <c r="DA176" s="1548"/>
      <c r="DB176" s="1548"/>
      <c r="DC176" s="1548"/>
      <c r="DD176" s="1548"/>
      <c r="DE176" s="1548"/>
      <c r="DF176" s="1548"/>
      <c r="DG176" s="1548"/>
      <c r="DH176" s="1548"/>
      <c r="DI176" s="1548"/>
      <c r="DJ176" s="1548"/>
      <c r="DK176" s="1548"/>
      <c r="DL176" s="1548"/>
      <c r="DM176" s="1548"/>
      <c r="DN176" s="1548"/>
      <c r="DO176" s="1548"/>
      <c r="DP176" s="1548"/>
      <c r="DQ176" s="1548"/>
      <c r="DR176" s="1548"/>
      <c r="DS176" s="1548"/>
      <c r="DT176" s="1548"/>
      <c r="DU176" s="1548"/>
      <c r="DV176" s="1548"/>
      <c r="DW176" s="1548"/>
    </row>
    <row r="177" spans="1:127" s="2127" customFormat="1" ht="75" customHeight="1">
      <c r="A177" s="3768"/>
      <c r="B177" s="1851" t="str">
        <f t="shared" si="5"/>
        <v>2000002738</v>
      </c>
      <c r="C177" s="1851" t="s">
        <v>193</v>
      </c>
      <c r="D177" s="2499"/>
      <c r="E177" s="2118"/>
      <c r="F177" s="1495" t="s">
        <v>3401</v>
      </c>
      <c r="G177" s="1495"/>
      <c r="H177" s="1947"/>
      <c r="I177" s="2320" t="s">
        <v>19</v>
      </c>
      <c r="J177" s="1495" t="s">
        <v>1138</v>
      </c>
      <c r="K177" s="1628" t="s">
        <v>7055</v>
      </c>
      <c r="L177" s="2368">
        <v>500</v>
      </c>
      <c r="M177" s="2030" t="s">
        <v>7056</v>
      </c>
      <c r="N177" s="2130"/>
      <c r="O177" s="2102">
        <v>3</v>
      </c>
      <c r="P177" s="1883"/>
      <c r="Q177" s="1883"/>
      <c r="R177" s="1883"/>
      <c r="S177" s="1883"/>
      <c r="T177" s="1883"/>
      <c r="U177" s="1883"/>
      <c r="V177" s="1883"/>
      <c r="W177" s="1883"/>
      <c r="X177" s="1883"/>
      <c r="Y177" s="1883"/>
      <c r="Z177" s="1883"/>
      <c r="AA177" s="1883"/>
      <c r="AB177" s="1883"/>
      <c r="AC177" s="1883"/>
      <c r="AD177" s="1883"/>
      <c r="AE177" s="1883"/>
      <c r="AF177" s="1883"/>
      <c r="AG177" s="1883"/>
      <c r="AH177" s="1883"/>
      <c r="AI177" s="1883"/>
      <c r="AJ177" s="1883"/>
      <c r="AK177" s="1883"/>
      <c r="AL177" s="1883"/>
      <c r="AM177" s="1883"/>
      <c r="AN177" s="1883"/>
      <c r="AO177" s="1883"/>
      <c r="AP177" s="1883"/>
      <c r="AQ177" s="1883"/>
      <c r="AR177" s="1883"/>
      <c r="AS177" s="1883"/>
      <c r="AT177" s="1883"/>
      <c r="AU177" s="1883"/>
      <c r="AV177" s="1883"/>
      <c r="AW177" s="1883"/>
      <c r="AX177" s="1883"/>
      <c r="AY177" s="1883"/>
      <c r="AZ177" s="1883"/>
      <c r="BA177" s="1883"/>
      <c r="BB177" s="1883"/>
      <c r="BC177" s="1883"/>
      <c r="BD177" s="1883"/>
      <c r="BE177" s="1883"/>
      <c r="BF177" s="1883"/>
      <c r="BG177" s="1883"/>
      <c r="BH177" s="1883"/>
      <c r="BI177" s="1883"/>
      <c r="BJ177" s="1883"/>
      <c r="BK177" s="1883"/>
      <c r="BL177" s="1883"/>
      <c r="BM177" s="1883"/>
      <c r="BN177" s="1883"/>
      <c r="BO177" s="1883"/>
      <c r="BP177" s="1883"/>
      <c r="BQ177" s="1883"/>
      <c r="BR177" s="1883"/>
      <c r="BS177" s="1883"/>
      <c r="BT177" s="1883"/>
      <c r="BU177" s="1883"/>
      <c r="BV177" s="1883"/>
      <c r="BW177" s="1883"/>
      <c r="BX177" s="1883"/>
      <c r="BY177" s="1883"/>
      <c r="BZ177" s="1883"/>
      <c r="CA177" s="1883"/>
      <c r="CB177" s="1883"/>
      <c r="CC177" s="1883"/>
      <c r="CD177" s="1883"/>
      <c r="CE177" s="1883"/>
      <c r="CF177" s="1883"/>
      <c r="CG177" s="1883"/>
      <c r="CH177" s="1883"/>
      <c r="CI177" s="1883"/>
      <c r="CJ177" s="1883"/>
      <c r="CK177" s="1883"/>
      <c r="CL177" s="1883"/>
      <c r="CM177" s="1883"/>
      <c r="CN177" s="1883"/>
      <c r="CO177" s="1883"/>
      <c r="CP177" s="1883"/>
      <c r="CQ177" s="1883"/>
      <c r="CR177" s="1883"/>
      <c r="CS177" s="1883"/>
      <c r="CT177" s="1883"/>
      <c r="CU177" s="1883"/>
      <c r="CV177" s="1883"/>
      <c r="CW177" s="1883"/>
      <c r="CX177" s="1883"/>
      <c r="CY177" s="1883"/>
      <c r="CZ177" s="1883"/>
      <c r="DA177" s="1883"/>
      <c r="DB177" s="1883"/>
      <c r="DC177" s="1883"/>
      <c r="DD177" s="1883"/>
      <c r="DE177" s="1883"/>
      <c r="DF177" s="1883"/>
      <c r="DG177" s="1883"/>
      <c r="DH177" s="1883"/>
      <c r="DI177" s="1883"/>
      <c r="DJ177" s="1883"/>
      <c r="DK177" s="1883"/>
      <c r="DL177" s="1883"/>
      <c r="DM177" s="1883"/>
      <c r="DN177" s="1883"/>
      <c r="DO177" s="1883"/>
      <c r="DP177" s="1883"/>
      <c r="DQ177" s="1883"/>
      <c r="DR177" s="1883"/>
      <c r="DS177" s="1883"/>
      <c r="DT177" s="1883"/>
      <c r="DU177" s="1883"/>
      <c r="DV177" s="1883"/>
      <c r="DW177" s="1883"/>
    </row>
    <row r="178" spans="1:127" s="2127" customFormat="1" ht="75" customHeight="1">
      <c r="A178" s="3773">
        <v>47</v>
      </c>
      <c r="B178" s="2118" t="str">
        <f t="shared" si="5"/>
        <v>2400001067</v>
      </c>
      <c r="C178" s="2118" t="s">
        <v>7057</v>
      </c>
      <c r="D178" s="2453">
        <f>L178+L179</f>
        <v>1577</v>
      </c>
      <c r="E178" s="2120" t="s">
        <v>7058</v>
      </c>
      <c r="F178" s="2118" t="s">
        <v>3095</v>
      </c>
      <c r="G178" s="2118" t="s">
        <v>7059</v>
      </c>
      <c r="H178" s="2354" t="s">
        <v>7060</v>
      </c>
      <c r="I178" s="2318" t="s">
        <v>19</v>
      </c>
      <c r="J178" s="2118" t="s">
        <v>7061</v>
      </c>
      <c r="K178" s="2324" t="s">
        <v>7062</v>
      </c>
      <c r="L178" s="2356">
        <v>1250</v>
      </c>
      <c r="M178" s="2160" t="s">
        <v>6705</v>
      </c>
      <c r="N178" s="2275" t="s">
        <v>7063</v>
      </c>
      <c r="O178" s="2102">
        <v>3</v>
      </c>
      <c r="P178" s="2122"/>
      <c r="Q178" s="2324"/>
      <c r="R178" s="2122"/>
      <c r="S178" s="2122"/>
      <c r="T178" s="2122"/>
      <c r="U178" s="2122"/>
      <c r="V178" s="2122"/>
      <c r="W178" s="2122"/>
      <c r="X178" s="2122"/>
      <c r="Y178" s="2122"/>
      <c r="Z178" s="2122"/>
      <c r="AA178" s="2122"/>
      <c r="AB178" s="2122"/>
      <c r="AC178" s="2122"/>
      <c r="AD178" s="2122"/>
      <c r="AE178" s="2122"/>
      <c r="AF178" s="2122"/>
      <c r="AG178" s="2122"/>
      <c r="AH178" s="2122"/>
      <c r="AI178" s="2122"/>
      <c r="AJ178" s="2122"/>
      <c r="AK178" s="2122"/>
      <c r="AL178" s="2122"/>
      <c r="AM178" s="2122"/>
      <c r="AN178" s="2122"/>
      <c r="AO178" s="2122"/>
      <c r="AP178" s="2122"/>
      <c r="AQ178" s="2122"/>
      <c r="AR178" s="2122"/>
      <c r="AS178" s="2122"/>
      <c r="AT178" s="2122"/>
      <c r="AU178" s="2122"/>
      <c r="AV178" s="2122"/>
      <c r="AW178" s="2122"/>
      <c r="AX178" s="2122"/>
      <c r="AY178" s="2122"/>
      <c r="AZ178" s="2122"/>
      <c r="BA178" s="2122"/>
      <c r="BB178" s="2122"/>
      <c r="BC178" s="2122"/>
      <c r="BD178" s="2122"/>
      <c r="BE178" s="2122"/>
      <c r="BF178" s="2122"/>
      <c r="BG178" s="2122"/>
      <c r="BH178" s="2122"/>
      <c r="BI178" s="2122"/>
      <c r="BJ178" s="2122"/>
      <c r="BK178" s="2122"/>
      <c r="BL178" s="2122"/>
      <c r="BM178" s="2122"/>
      <c r="BN178" s="2122"/>
      <c r="BO178" s="2122"/>
      <c r="BP178" s="2122"/>
      <c r="BQ178" s="2122"/>
      <c r="BR178" s="2122"/>
      <c r="BS178" s="2122"/>
      <c r="BT178" s="2122"/>
      <c r="BU178" s="2122"/>
      <c r="BV178" s="2122"/>
      <c r="BW178" s="2122"/>
      <c r="BX178" s="2122"/>
      <c r="BY178" s="2122"/>
      <c r="BZ178" s="2122"/>
      <c r="CA178" s="2122"/>
      <c r="CB178" s="2122"/>
      <c r="CC178" s="2122"/>
      <c r="CD178" s="2122"/>
      <c r="CE178" s="2122"/>
      <c r="CF178" s="2122"/>
      <c r="CG178" s="2122"/>
      <c r="CH178" s="2122"/>
      <c r="CI178" s="2122"/>
      <c r="CJ178" s="2122"/>
      <c r="CK178" s="2122"/>
      <c r="CL178" s="2122"/>
      <c r="CM178" s="2122"/>
      <c r="CN178" s="2122"/>
      <c r="CO178" s="2122"/>
      <c r="CP178" s="2122"/>
      <c r="CQ178" s="2122"/>
      <c r="CR178" s="2122"/>
      <c r="CS178" s="2122"/>
      <c r="CT178" s="2122"/>
      <c r="CU178" s="2122"/>
      <c r="CV178" s="2122"/>
      <c r="CW178" s="2122"/>
      <c r="CX178" s="2122"/>
      <c r="CY178" s="2122"/>
      <c r="CZ178" s="2122"/>
      <c r="DA178" s="2122"/>
      <c r="DB178" s="2122"/>
      <c r="DC178" s="2122"/>
      <c r="DD178" s="2122"/>
      <c r="DE178" s="2122"/>
      <c r="DF178" s="2122"/>
      <c r="DG178" s="2122"/>
      <c r="DH178" s="2122"/>
      <c r="DI178" s="2122"/>
      <c r="DJ178" s="2122"/>
      <c r="DK178" s="2122"/>
      <c r="DL178" s="2122"/>
      <c r="DM178" s="2122"/>
      <c r="DN178" s="2122"/>
      <c r="DO178" s="2122"/>
      <c r="DP178" s="2122"/>
      <c r="DQ178" s="2122"/>
      <c r="DR178" s="2122"/>
      <c r="DS178" s="2122"/>
      <c r="DT178" s="2122"/>
      <c r="DU178" s="2122"/>
      <c r="DV178" s="2122"/>
      <c r="DW178" s="2033"/>
    </row>
    <row r="179" spans="1:127" s="2127" customFormat="1" ht="75" customHeight="1">
      <c r="A179" s="3768"/>
      <c r="B179" s="1495" t="str">
        <f t="shared" si="5"/>
        <v>2400001088</v>
      </c>
      <c r="C179" s="1495" t="s">
        <v>7057</v>
      </c>
      <c r="D179" s="2461"/>
      <c r="E179" s="1921"/>
      <c r="F179" s="1921" t="s">
        <v>3095</v>
      </c>
      <c r="G179" s="2118"/>
      <c r="H179" s="2344" t="s">
        <v>7060</v>
      </c>
      <c r="I179" s="2098" t="s">
        <v>19</v>
      </c>
      <c r="J179" s="1495" t="s">
        <v>7061</v>
      </c>
      <c r="K179" s="1807" t="s">
        <v>7064</v>
      </c>
      <c r="L179" s="2358">
        <v>327</v>
      </c>
      <c r="M179" s="2160" t="s">
        <v>7065</v>
      </c>
      <c r="N179" s="2275" t="s">
        <v>7063</v>
      </c>
      <c r="O179" s="2102">
        <v>3</v>
      </c>
      <c r="P179" s="2122"/>
      <c r="Q179" s="2122"/>
      <c r="R179" s="2122"/>
      <c r="S179" s="2122"/>
      <c r="T179" s="2122"/>
      <c r="U179" s="2122"/>
      <c r="V179" s="2122"/>
      <c r="W179" s="2122"/>
      <c r="X179" s="2122"/>
      <c r="Y179" s="2122"/>
      <c r="Z179" s="2122"/>
      <c r="AA179" s="2122"/>
      <c r="AB179" s="2122"/>
      <c r="AC179" s="2122"/>
      <c r="AD179" s="2122"/>
      <c r="AE179" s="2122"/>
      <c r="AF179" s="2122"/>
      <c r="AG179" s="2122"/>
      <c r="AH179" s="2122"/>
      <c r="AI179" s="2122"/>
      <c r="AJ179" s="2122"/>
      <c r="AK179" s="2122"/>
      <c r="AL179" s="2122"/>
      <c r="AM179" s="2122"/>
      <c r="AN179" s="2122"/>
      <c r="AO179" s="2122"/>
      <c r="AP179" s="2122"/>
      <c r="AQ179" s="2122"/>
      <c r="AR179" s="2122"/>
      <c r="AS179" s="2122"/>
      <c r="AT179" s="2122"/>
      <c r="AU179" s="2122"/>
      <c r="AV179" s="2122"/>
      <c r="AW179" s="2122"/>
      <c r="AX179" s="2122"/>
      <c r="AY179" s="2122"/>
      <c r="AZ179" s="2122"/>
      <c r="BA179" s="2122"/>
      <c r="BB179" s="2122"/>
      <c r="BC179" s="2122"/>
      <c r="BD179" s="2122"/>
      <c r="BE179" s="2122"/>
      <c r="BF179" s="2122"/>
      <c r="BG179" s="2122"/>
      <c r="BH179" s="2122"/>
      <c r="BI179" s="2122"/>
      <c r="BJ179" s="2122"/>
      <c r="BK179" s="2122"/>
      <c r="BL179" s="2122"/>
      <c r="BM179" s="2122"/>
      <c r="BN179" s="2122"/>
      <c r="BO179" s="2122"/>
      <c r="BP179" s="2122"/>
      <c r="BQ179" s="2122"/>
      <c r="BR179" s="2122"/>
      <c r="BS179" s="2122"/>
      <c r="BT179" s="2122"/>
      <c r="BU179" s="2122"/>
      <c r="BV179" s="2122"/>
      <c r="BW179" s="2122"/>
      <c r="BX179" s="2122"/>
      <c r="BY179" s="2122"/>
      <c r="BZ179" s="2122"/>
      <c r="CA179" s="2122"/>
      <c r="CB179" s="2122"/>
      <c r="CC179" s="2122"/>
      <c r="CD179" s="2122"/>
      <c r="CE179" s="2122"/>
      <c r="CF179" s="2122"/>
      <c r="CG179" s="2122"/>
      <c r="CH179" s="2122"/>
      <c r="CI179" s="2122"/>
      <c r="CJ179" s="2122"/>
      <c r="CK179" s="2122"/>
      <c r="CL179" s="2122"/>
      <c r="CM179" s="2122"/>
      <c r="CN179" s="2122"/>
      <c r="CO179" s="2122"/>
      <c r="CP179" s="2122"/>
      <c r="CQ179" s="2122"/>
      <c r="CR179" s="2122"/>
      <c r="CS179" s="2122"/>
      <c r="CT179" s="2122"/>
      <c r="CU179" s="2122"/>
      <c r="CV179" s="2122"/>
      <c r="CW179" s="2122"/>
      <c r="CX179" s="2122"/>
      <c r="CY179" s="2122"/>
      <c r="CZ179" s="2122"/>
      <c r="DA179" s="2122"/>
      <c r="DB179" s="2122"/>
      <c r="DC179" s="2122"/>
      <c r="DD179" s="2122"/>
      <c r="DE179" s="2122"/>
      <c r="DF179" s="2122"/>
      <c r="DG179" s="2122"/>
      <c r="DH179" s="2122"/>
      <c r="DI179" s="2122"/>
      <c r="DJ179" s="2122"/>
      <c r="DK179" s="2122"/>
      <c r="DL179" s="2122"/>
      <c r="DM179" s="2122"/>
      <c r="DN179" s="2122"/>
      <c r="DO179" s="2122"/>
      <c r="DP179" s="2122"/>
      <c r="DQ179" s="2122"/>
      <c r="DR179" s="2122"/>
      <c r="DS179" s="2122"/>
      <c r="DT179" s="2122"/>
      <c r="DU179" s="2122"/>
      <c r="DV179" s="2122"/>
      <c r="DW179" s="2033"/>
    </row>
    <row r="180" spans="1:127" s="2150" customFormat="1" ht="69.75" customHeight="1">
      <c r="A180" s="3786">
        <v>48</v>
      </c>
      <c r="B180" s="1495" t="str">
        <f t="shared" si="5"/>
        <v>2200001870</v>
      </c>
      <c r="C180" s="2279" t="s">
        <v>4278</v>
      </c>
      <c r="D180" s="2461">
        <v>3990</v>
      </c>
      <c r="E180" s="2507" t="s">
        <v>7037</v>
      </c>
      <c r="F180" s="1921" t="s">
        <v>61</v>
      </c>
      <c r="G180" s="1921" t="s">
        <v>7066</v>
      </c>
      <c r="H180" s="1909"/>
      <c r="I180" s="1921" t="s">
        <v>19</v>
      </c>
      <c r="J180" s="1921" t="s">
        <v>101</v>
      </c>
      <c r="K180" s="2194" t="s">
        <v>6917</v>
      </c>
      <c r="L180" s="2325">
        <v>3000</v>
      </c>
      <c r="M180" s="2196" t="s">
        <v>5454</v>
      </c>
      <c r="N180" s="1862"/>
      <c r="O180" s="1748">
        <v>3</v>
      </c>
      <c r="P180" s="1548"/>
      <c r="Q180" s="1548"/>
      <c r="R180" s="1548"/>
      <c r="S180" s="1548"/>
      <c r="T180" s="1548"/>
      <c r="U180" s="1548"/>
      <c r="V180" s="1548"/>
      <c r="W180" s="1548"/>
      <c r="X180" s="1548"/>
      <c r="Y180" s="1548"/>
      <c r="Z180" s="1548"/>
      <c r="AA180" s="1548"/>
      <c r="AB180" s="1548"/>
      <c r="AC180" s="1548"/>
      <c r="AD180" s="1548"/>
      <c r="AE180" s="1548"/>
      <c r="AF180" s="1548"/>
      <c r="AG180" s="1548"/>
      <c r="AH180" s="1548"/>
      <c r="AI180" s="1548"/>
      <c r="AJ180" s="1548"/>
      <c r="AK180" s="1548"/>
      <c r="AL180" s="1548"/>
      <c r="AM180" s="1548"/>
      <c r="AN180" s="1548"/>
      <c r="AO180" s="1548"/>
      <c r="AP180" s="1548"/>
      <c r="AQ180" s="1548"/>
      <c r="AR180" s="1548"/>
      <c r="AS180" s="1548"/>
      <c r="AT180" s="1548"/>
      <c r="AU180" s="1548"/>
      <c r="AV180" s="1548"/>
      <c r="AW180" s="1548"/>
      <c r="AX180" s="1548"/>
      <c r="AY180" s="1548"/>
      <c r="AZ180" s="1548"/>
      <c r="BA180" s="1548"/>
      <c r="BB180" s="1548"/>
      <c r="BC180" s="1548"/>
      <c r="BD180" s="1548"/>
      <c r="BE180" s="1548"/>
      <c r="BF180" s="1548"/>
      <c r="BG180" s="1548"/>
      <c r="BH180" s="1548"/>
      <c r="BI180" s="1548"/>
      <c r="BJ180" s="1548"/>
      <c r="BK180" s="1548"/>
      <c r="BL180" s="1548"/>
      <c r="BM180" s="1548"/>
      <c r="BN180" s="1548"/>
      <c r="BO180" s="1548"/>
      <c r="BP180" s="1548"/>
      <c r="BQ180" s="1548"/>
      <c r="BR180" s="1548"/>
      <c r="BS180" s="1548"/>
      <c r="BT180" s="1548"/>
      <c r="BU180" s="1548"/>
      <c r="BV180" s="1548"/>
      <c r="BW180" s="1548"/>
      <c r="BX180" s="1548"/>
      <c r="BY180" s="1548"/>
      <c r="BZ180" s="1548"/>
      <c r="CA180" s="1548"/>
      <c r="CB180" s="1548"/>
      <c r="CC180" s="1548"/>
      <c r="CD180" s="1548"/>
      <c r="CE180" s="1548"/>
      <c r="CF180" s="1548"/>
      <c r="CG180" s="1548"/>
      <c r="CH180" s="1548"/>
      <c r="CI180" s="1548"/>
      <c r="CJ180" s="1548"/>
      <c r="CK180" s="1548"/>
      <c r="CL180" s="1548"/>
      <c r="CM180" s="1548"/>
      <c r="CN180" s="1548"/>
      <c r="CO180" s="1548"/>
      <c r="CP180" s="1548"/>
      <c r="CQ180" s="1548"/>
      <c r="CR180" s="1548"/>
      <c r="CS180" s="1548"/>
      <c r="CT180" s="1548"/>
      <c r="CU180" s="1548"/>
      <c r="CV180" s="1548"/>
      <c r="CW180" s="1548"/>
      <c r="CX180" s="1548"/>
      <c r="CY180" s="1548"/>
      <c r="CZ180" s="1548"/>
      <c r="DA180" s="1548"/>
      <c r="DB180" s="1548"/>
      <c r="DC180" s="1548"/>
      <c r="DD180" s="1548"/>
      <c r="DE180" s="1548"/>
      <c r="DF180" s="1548"/>
      <c r="DG180" s="1548"/>
      <c r="DH180" s="1548"/>
      <c r="DI180" s="1548"/>
      <c r="DJ180" s="1548"/>
      <c r="DK180" s="1548"/>
      <c r="DL180" s="1548"/>
      <c r="DM180" s="1548"/>
      <c r="DN180" s="1548"/>
      <c r="DO180" s="1548"/>
      <c r="DP180" s="1548"/>
      <c r="DQ180" s="1548"/>
      <c r="DR180" s="1548"/>
      <c r="DS180" s="1548"/>
      <c r="DT180" s="1548"/>
      <c r="DU180" s="1548"/>
      <c r="DV180" s="1548"/>
      <c r="DW180" s="1916"/>
    </row>
    <row r="181" spans="1:127" s="2150" customFormat="1" ht="69.75" customHeight="1">
      <c r="A181" s="3787"/>
      <c r="B181" s="1495" t="str">
        <f t="shared" si="5"/>
        <v>2200001901</v>
      </c>
      <c r="C181" s="1568" t="s">
        <v>4278</v>
      </c>
      <c r="D181" s="2463"/>
      <c r="E181" s="1495"/>
      <c r="F181" s="1495" t="s">
        <v>61</v>
      </c>
      <c r="G181" s="1495"/>
      <c r="H181" s="1495"/>
      <c r="I181" s="1495" t="s">
        <v>19</v>
      </c>
      <c r="J181" s="1495" t="s">
        <v>101</v>
      </c>
      <c r="K181" s="1496" t="s">
        <v>7067</v>
      </c>
      <c r="L181" s="2299">
        <v>990</v>
      </c>
      <c r="M181" s="1495" t="s">
        <v>7013</v>
      </c>
      <c r="N181" s="1843"/>
      <c r="O181" s="1748">
        <v>3</v>
      </c>
      <c r="P181" s="1548"/>
      <c r="Q181" s="1548"/>
      <c r="R181" s="1548"/>
      <c r="S181" s="1548"/>
      <c r="T181" s="1548"/>
      <c r="U181" s="1548"/>
      <c r="V181" s="1548"/>
      <c r="W181" s="1548"/>
      <c r="X181" s="1548"/>
      <c r="Y181" s="1548"/>
      <c r="Z181" s="1548"/>
      <c r="AA181" s="1548"/>
      <c r="AB181" s="1548"/>
      <c r="AC181" s="1548"/>
      <c r="AD181" s="1548"/>
      <c r="AE181" s="1548"/>
      <c r="AF181" s="1548"/>
      <c r="AG181" s="1548"/>
      <c r="AH181" s="1548"/>
      <c r="AI181" s="1548"/>
      <c r="AJ181" s="1548"/>
      <c r="AK181" s="1548"/>
      <c r="AL181" s="1548"/>
      <c r="AM181" s="1548"/>
      <c r="AN181" s="1548"/>
      <c r="AO181" s="1548"/>
      <c r="AP181" s="1548"/>
      <c r="AQ181" s="1548"/>
      <c r="AR181" s="1548"/>
      <c r="AS181" s="1548"/>
      <c r="AT181" s="1548"/>
      <c r="AU181" s="1548"/>
      <c r="AV181" s="1548"/>
      <c r="AW181" s="1548"/>
      <c r="AX181" s="1548"/>
      <c r="AY181" s="1548"/>
      <c r="AZ181" s="1548"/>
      <c r="BA181" s="1548"/>
      <c r="BB181" s="1548"/>
      <c r="BC181" s="1548"/>
      <c r="BD181" s="1548"/>
      <c r="BE181" s="1548"/>
      <c r="BF181" s="1548"/>
      <c r="BG181" s="1548"/>
      <c r="BH181" s="1548"/>
      <c r="BI181" s="1548"/>
      <c r="BJ181" s="1548"/>
      <c r="BK181" s="1548"/>
      <c r="BL181" s="1548"/>
      <c r="BM181" s="1548"/>
      <c r="BN181" s="1548"/>
      <c r="BO181" s="1548"/>
      <c r="BP181" s="1548"/>
      <c r="BQ181" s="1548"/>
      <c r="BR181" s="1548"/>
      <c r="BS181" s="1548"/>
      <c r="BT181" s="1548"/>
      <c r="BU181" s="1548"/>
      <c r="BV181" s="1548"/>
      <c r="BW181" s="1548"/>
      <c r="BX181" s="1548"/>
      <c r="BY181" s="1548"/>
      <c r="BZ181" s="1548"/>
      <c r="CA181" s="1548"/>
      <c r="CB181" s="1548"/>
      <c r="CC181" s="1548"/>
      <c r="CD181" s="1548"/>
      <c r="CE181" s="1548"/>
      <c r="CF181" s="1548"/>
      <c r="CG181" s="1548"/>
      <c r="CH181" s="1548"/>
      <c r="CI181" s="1548"/>
      <c r="CJ181" s="1548"/>
      <c r="CK181" s="1548"/>
      <c r="CL181" s="1548"/>
      <c r="CM181" s="1548"/>
      <c r="CN181" s="1548"/>
      <c r="CO181" s="1548"/>
      <c r="CP181" s="1548"/>
      <c r="CQ181" s="1548"/>
      <c r="CR181" s="1548"/>
      <c r="CS181" s="1548"/>
      <c r="CT181" s="1548"/>
      <c r="CU181" s="1548"/>
      <c r="CV181" s="1548"/>
      <c r="CW181" s="1548"/>
      <c r="CX181" s="1548"/>
      <c r="CY181" s="1548"/>
      <c r="CZ181" s="1548"/>
      <c r="DA181" s="1548"/>
      <c r="DB181" s="1548"/>
      <c r="DC181" s="1548"/>
      <c r="DD181" s="1548"/>
      <c r="DE181" s="1548"/>
      <c r="DF181" s="1548"/>
      <c r="DG181" s="1548"/>
      <c r="DH181" s="1548"/>
      <c r="DI181" s="1548"/>
      <c r="DJ181" s="1548"/>
      <c r="DK181" s="1548"/>
      <c r="DL181" s="1548"/>
      <c r="DM181" s="1548"/>
      <c r="DN181" s="1548"/>
      <c r="DO181" s="1548"/>
      <c r="DP181" s="1548"/>
      <c r="DQ181" s="1548"/>
      <c r="DR181" s="1548"/>
      <c r="DS181" s="1548"/>
      <c r="DT181" s="1548"/>
      <c r="DU181" s="1548"/>
      <c r="DV181" s="1548"/>
      <c r="DW181" s="1916"/>
    </row>
    <row r="182" spans="1:127" s="2122" customFormat="1" ht="82.5" customHeight="1">
      <c r="A182" s="3773">
        <v>49</v>
      </c>
      <c r="B182" s="2118" t="str">
        <f t="shared" si="5"/>
        <v>2000002701</v>
      </c>
      <c r="C182" s="2118" t="s">
        <v>5675</v>
      </c>
      <c r="D182" s="2178">
        <v>4370</v>
      </c>
      <c r="E182" s="2118" t="s">
        <v>7068</v>
      </c>
      <c r="F182" s="2118" t="s">
        <v>7001</v>
      </c>
      <c r="G182" s="2118" t="s">
        <v>7069</v>
      </c>
      <c r="H182" s="2118" t="s">
        <v>7070</v>
      </c>
      <c r="I182" s="2118" t="s">
        <v>19</v>
      </c>
      <c r="J182" s="2118" t="s">
        <v>63</v>
      </c>
      <c r="K182" s="2402" t="s">
        <v>7071</v>
      </c>
      <c r="L182" s="2508">
        <v>2000</v>
      </c>
      <c r="M182" s="2160" t="s">
        <v>7072</v>
      </c>
      <c r="N182" s="2369" t="s">
        <v>7073</v>
      </c>
      <c r="O182" s="2030">
        <v>3</v>
      </c>
    </row>
    <row r="183" spans="1:127" s="2129" customFormat="1" ht="71.25" customHeight="1">
      <c r="A183" s="3767"/>
      <c r="B183" s="1875" t="str">
        <f t="shared" si="5"/>
        <v>2200001893</v>
      </c>
      <c r="C183" s="1875" t="s">
        <v>5675</v>
      </c>
      <c r="D183" s="2465"/>
      <c r="E183" s="1875"/>
      <c r="F183" s="1875" t="s">
        <v>7001</v>
      </c>
      <c r="G183" s="1875"/>
      <c r="H183" s="1875"/>
      <c r="I183" s="2024" t="s">
        <v>19</v>
      </c>
      <c r="J183" s="1875" t="s">
        <v>101</v>
      </c>
      <c r="K183" s="2443" t="s">
        <v>7074</v>
      </c>
      <c r="L183" s="2509">
        <v>211</v>
      </c>
      <c r="M183" s="2510" t="s">
        <v>5937</v>
      </c>
      <c r="N183" s="2511"/>
      <c r="O183" s="2057">
        <v>3</v>
      </c>
      <c r="Q183" s="2316"/>
      <c r="DW183" s="2079"/>
    </row>
    <row r="184" spans="1:127" s="2150" customFormat="1" ht="84" customHeight="1">
      <c r="A184" s="3768"/>
      <c r="B184" s="1495" t="str">
        <f t="shared" si="5"/>
        <v>2200001870</v>
      </c>
      <c r="C184" s="1495" t="s">
        <v>5675</v>
      </c>
      <c r="D184" s="2463"/>
      <c r="E184" s="1495"/>
      <c r="F184" s="1495" t="s">
        <v>7001</v>
      </c>
      <c r="G184" s="1495"/>
      <c r="H184" s="1495"/>
      <c r="I184" s="1495" t="s">
        <v>19</v>
      </c>
      <c r="J184" s="1495" t="s">
        <v>101</v>
      </c>
      <c r="K184" s="1496" t="s">
        <v>7075</v>
      </c>
      <c r="L184" s="2357">
        <v>2100</v>
      </c>
      <c r="M184" s="1748" t="s">
        <v>7076</v>
      </c>
      <c r="N184" s="1843"/>
      <c r="O184" s="1748">
        <v>3</v>
      </c>
    </row>
    <row r="185" spans="1:127" s="2150" customFormat="1" ht="71.25" customHeight="1">
      <c r="A185" s="3773">
        <v>50</v>
      </c>
      <c r="B185" s="2118" t="str">
        <f t="shared" si="5"/>
        <v>2000002753</v>
      </c>
      <c r="C185" s="2118" t="s">
        <v>7077</v>
      </c>
      <c r="D185" s="2453">
        <v>13500</v>
      </c>
      <c r="E185" s="2184" t="s">
        <v>7078</v>
      </c>
      <c r="F185" s="2120" t="s">
        <v>84</v>
      </c>
      <c r="G185" s="2118" t="s">
        <v>7079</v>
      </c>
      <c r="H185" s="1632" t="s">
        <v>7024</v>
      </c>
      <c r="I185" s="2354" t="s">
        <v>19</v>
      </c>
      <c r="J185" s="2186" t="s">
        <v>1138</v>
      </c>
      <c r="K185" s="2161" t="s">
        <v>7080</v>
      </c>
      <c r="L185" s="2489">
        <v>600</v>
      </c>
      <c r="M185" s="1632" t="s">
        <v>7081</v>
      </c>
      <c r="N185" s="2130"/>
      <c r="O185" s="2117">
        <v>3</v>
      </c>
      <c r="P185" s="2122"/>
      <c r="Q185" s="2122"/>
      <c r="R185" s="1883"/>
      <c r="S185" s="1883"/>
      <c r="T185" s="1883"/>
      <c r="U185" s="1883"/>
      <c r="V185" s="1883"/>
      <c r="W185" s="1883"/>
      <c r="X185" s="1883"/>
      <c r="Y185" s="1883"/>
      <c r="Z185" s="1883"/>
      <c r="AA185" s="1883"/>
      <c r="AB185" s="1883"/>
      <c r="AC185" s="1883"/>
      <c r="AD185" s="1883"/>
      <c r="AE185" s="1883"/>
      <c r="AF185" s="1883"/>
      <c r="AG185" s="1883"/>
      <c r="AH185" s="1883"/>
      <c r="AI185" s="1883"/>
      <c r="AJ185" s="1883"/>
      <c r="AK185" s="1883"/>
      <c r="AL185" s="1883"/>
      <c r="AM185" s="1883"/>
      <c r="AN185" s="1883"/>
      <c r="AO185" s="1883"/>
      <c r="AP185" s="1883"/>
      <c r="AQ185" s="1883"/>
      <c r="AR185" s="1883"/>
      <c r="AS185" s="1883"/>
      <c r="AT185" s="1883"/>
      <c r="AU185" s="1883"/>
      <c r="AV185" s="1883"/>
      <c r="AW185" s="1883"/>
      <c r="AX185" s="1883"/>
      <c r="AY185" s="1883"/>
      <c r="AZ185" s="1883"/>
      <c r="BA185" s="1883"/>
      <c r="BB185" s="1883"/>
      <c r="BC185" s="1883"/>
      <c r="BD185" s="1883"/>
      <c r="BE185" s="1883"/>
      <c r="BF185" s="1883"/>
      <c r="BG185" s="1883"/>
      <c r="BH185" s="1883"/>
      <c r="BI185" s="1883"/>
      <c r="BJ185" s="1883"/>
      <c r="BK185" s="1883"/>
      <c r="BL185" s="1883"/>
      <c r="BM185" s="1883"/>
      <c r="BN185" s="1883"/>
      <c r="BO185" s="1883"/>
      <c r="BP185" s="1883"/>
      <c r="BQ185" s="1883"/>
      <c r="BR185" s="1883"/>
      <c r="BS185" s="1883"/>
      <c r="BT185" s="1883"/>
      <c r="BU185" s="1883"/>
      <c r="BV185" s="1883"/>
      <c r="BW185" s="1883"/>
      <c r="BX185" s="1883"/>
      <c r="BY185" s="1883"/>
      <c r="BZ185" s="1883"/>
      <c r="CA185" s="1883"/>
      <c r="CB185" s="1883"/>
      <c r="CC185" s="1883"/>
      <c r="CD185" s="1883"/>
      <c r="CE185" s="1883"/>
      <c r="CF185" s="1883"/>
      <c r="CG185" s="1883"/>
      <c r="CH185" s="1883"/>
      <c r="CI185" s="1883"/>
      <c r="CJ185" s="1883"/>
      <c r="CK185" s="1883"/>
      <c r="CL185" s="1883"/>
      <c r="CM185" s="1883"/>
      <c r="CN185" s="1883"/>
      <c r="CO185" s="1883"/>
      <c r="CP185" s="1883"/>
      <c r="CQ185" s="1883"/>
      <c r="CR185" s="1883"/>
      <c r="CS185" s="1883"/>
      <c r="CT185" s="1883"/>
      <c r="CU185" s="1883"/>
      <c r="CV185" s="1883"/>
      <c r="CW185" s="1883"/>
      <c r="CX185" s="1883"/>
      <c r="CY185" s="1883"/>
      <c r="CZ185" s="1883"/>
      <c r="DA185" s="1883"/>
      <c r="DB185" s="1883"/>
      <c r="DC185" s="1883"/>
      <c r="DD185" s="1883"/>
      <c r="DE185" s="1883"/>
      <c r="DF185" s="1883"/>
      <c r="DG185" s="1883"/>
      <c r="DH185" s="1883"/>
      <c r="DI185" s="1883"/>
      <c r="DJ185" s="1883"/>
      <c r="DK185" s="1883"/>
      <c r="DL185" s="1883"/>
      <c r="DM185" s="1883"/>
      <c r="DN185" s="1883"/>
      <c r="DO185" s="1883"/>
      <c r="DP185" s="1883"/>
      <c r="DQ185" s="1883"/>
      <c r="DR185" s="1883"/>
      <c r="DS185" s="1883"/>
      <c r="DT185" s="1883"/>
      <c r="DU185" s="1883"/>
      <c r="DV185" s="1883"/>
      <c r="DW185" s="1883"/>
    </row>
    <row r="186" spans="1:127" s="2150" customFormat="1" ht="71.25" customHeight="1">
      <c r="A186" s="3767"/>
      <c r="B186" s="1851" t="str">
        <f t="shared" si="5"/>
        <v>2000002742</v>
      </c>
      <c r="C186" s="1851" t="s">
        <v>7077</v>
      </c>
      <c r="D186" s="2526"/>
      <c r="E186" s="1495"/>
      <c r="F186" s="2025" t="s">
        <v>84</v>
      </c>
      <c r="G186" s="1495"/>
      <c r="H186" s="1495"/>
      <c r="I186" s="1495" t="s">
        <v>19</v>
      </c>
      <c r="J186" s="1495" t="s">
        <v>1138</v>
      </c>
      <c r="K186" s="1600" t="s">
        <v>7082</v>
      </c>
      <c r="L186" s="2517">
        <v>3700</v>
      </c>
      <c r="M186" s="2448" t="s">
        <v>5937</v>
      </c>
      <c r="N186" s="1843"/>
      <c r="O186" s="1748">
        <v>3</v>
      </c>
      <c r="P186" s="1548"/>
      <c r="Q186" s="1548"/>
      <c r="R186" s="1548"/>
      <c r="S186" s="1548"/>
      <c r="T186" s="1548"/>
      <c r="U186" s="1548"/>
      <c r="V186" s="1548"/>
      <c r="W186" s="1548"/>
      <c r="X186" s="1548"/>
      <c r="Y186" s="1548"/>
      <c r="Z186" s="1548"/>
      <c r="AA186" s="1548"/>
      <c r="AB186" s="1548"/>
      <c r="AC186" s="1548"/>
      <c r="AD186" s="1548"/>
      <c r="AE186" s="1548"/>
      <c r="AF186" s="1548"/>
      <c r="AG186" s="1548"/>
      <c r="AH186" s="1548"/>
      <c r="AI186" s="1548"/>
      <c r="AJ186" s="1548"/>
      <c r="AK186" s="1548"/>
      <c r="AL186" s="1548"/>
      <c r="AM186" s="1548"/>
      <c r="AN186" s="1548"/>
      <c r="AO186" s="1548"/>
      <c r="AP186" s="1548"/>
      <c r="AQ186" s="1548"/>
      <c r="AR186" s="1548"/>
      <c r="AS186" s="1548"/>
      <c r="AT186" s="1548"/>
      <c r="AU186" s="1548"/>
      <c r="AV186" s="1548"/>
      <c r="AW186" s="1548"/>
      <c r="AX186" s="1548"/>
      <c r="AY186" s="1548"/>
      <c r="AZ186" s="1548"/>
      <c r="BA186" s="1548"/>
      <c r="BB186" s="1548"/>
      <c r="BC186" s="1548"/>
      <c r="BD186" s="1548"/>
      <c r="BE186" s="1548"/>
      <c r="BF186" s="1548"/>
      <c r="BG186" s="1548"/>
      <c r="BH186" s="1548"/>
      <c r="BI186" s="1548"/>
      <c r="BJ186" s="1548"/>
      <c r="BK186" s="1548"/>
      <c r="BL186" s="1548"/>
      <c r="BM186" s="1548"/>
      <c r="BN186" s="1548"/>
      <c r="BO186" s="1548"/>
      <c r="BP186" s="1548"/>
      <c r="BQ186" s="1548"/>
      <c r="BR186" s="1548"/>
      <c r="BS186" s="1548"/>
      <c r="BT186" s="1548"/>
      <c r="BU186" s="1548"/>
      <c r="BV186" s="1548"/>
      <c r="BW186" s="1548"/>
      <c r="BX186" s="1548"/>
      <c r="BY186" s="1548"/>
      <c r="BZ186" s="1548"/>
      <c r="CA186" s="1548"/>
      <c r="CB186" s="1548"/>
      <c r="CC186" s="1548"/>
      <c r="CD186" s="1548"/>
      <c r="CE186" s="1548"/>
      <c r="CF186" s="1548"/>
      <c r="CG186" s="1548"/>
      <c r="CH186" s="1548"/>
      <c r="CI186" s="1548"/>
      <c r="CJ186" s="1548"/>
      <c r="CK186" s="1548"/>
      <c r="CL186" s="1548"/>
      <c r="CM186" s="1548"/>
      <c r="CN186" s="1548"/>
      <c r="CO186" s="1548"/>
      <c r="CP186" s="1548"/>
      <c r="CQ186" s="1548"/>
      <c r="CR186" s="1548"/>
      <c r="CS186" s="1548"/>
      <c r="CT186" s="1548"/>
      <c r="CU186" s="1548"/>
      <c r="CV186" s="1548"/>
      <c r="CW186" s="1548"/>
      <c r="CX186" s="1548"/>
      <c r="CY186" s="1548"/>
      <c r="CZ186" s="1548"/>
      <c r="DA186" s="1548"/>
      <c r="DB186" s="1548"/>
      <c r="DC186" s="1548"/>
      <c r="DD186" s="1548"/>
      <c r="DE186" s="1548"/>
      <c r="DF186" s="1548"/>
      <c r="DG186" s="1548"/>
      <c r="DH186" s="1548"/>
      <c r="DI186" s="1548"/>
      <c r="DJ186" s="1548"/>
      <c r="DK186" s="1548"/>
      <c r="DL186" s="1548"/>
      <c r="DM186" s="1548"/>
      <c r="DN186" s="1548"/>
      <c r="DO186" s="1548"/>
      <c r="DP186" s="1548"/>
      <c r="DQ186" s="1548"/>
      <c r="DR186" s="1548"/>
      <c r="DS186" s="1548"/>
      <c r="DT186" s="1548"/>
      <c r="DU186" s="1548"/>
      <c r="DV186" s="1548"/>
      <c r="DW186" s="1548"/>
    </row>
    <row r="187" spans="1:127" s="2150" customFormat="1" ht="71.25" customHeight="1">
      <c r="A187" s="3768"/>
      <c r="B187" s="1851" t="str">
        <f t="shared" si="5"/>
        <v>2000002725</v>
      </c>
      <c r="C187" s="1851" t="s">
        <v>7077</v>
      </c>
      <c r="D187" s="2527"/>
      <c r="E187" s="1851"/>
      <c r="F187" s="1872" t="s">
        <v>84</v>
      </c>
      <c r="G187" s="1543"/>
      <c r="H187" s="1543"/>
      <c r="I187" s="1543" t="s">
        <v>19</v>
      </c>
      <c r="J187" s="1543" t="s">
        <v>20</v>
      </c>
      <c r="K187" s="2699" t="s">
        <v>7083</v>
      </c>
      <c r="L187" s="2299">
        <v>9300</v>
      </c>
      <c r="M187" s="2528" t="s">
        <v>5937</v>
      </c>
      <c r="N187" s="1860"/>
      <c r="O187" s="2051">
        <v>3</v>
      </c>
      <c r="P187" s="1559"/>
      <c r="Q187" s="1559"/>
      <c r="R187" s="1559"/>
      <c r="S187" s="1559"/>
      <c r="T187" s="1559"/>
      <c r="U187" s="1559"/>
      <c r="V187" s="1559"/>
      <c r="W187" s="1559"/>
      <c r="X187" s="1559"/>
      <c r="Y187" s="1559"/>
      <c r="Z187" s="1559"/>
      <c r="AA187" s="1559"/>
      <c r="AB187" s="1559"/>
      <c r="AC187" s="1559"/>
      <c r="AD187" s="1559"/>
      <c r="AE187" s="1559"/>
      <c r="AF187" s="1559"/>
      <c r="AG187" s="1559"/>
      <c r="AH187" s="1559"/>
      <c r="AI187" s="1559"/>
      <c r="AJ187" s="1559"/>
      <c r="AK187" s="1559"/>
      <c r="AL187" s="1559"/>
      <c r="AM187" s="1559"/>
      <c r="AN187" s="1559"/>
      <c r="AO187" s="1559"/>
      <c r="AP187" s="1559"/>
      <c r="AQ187" s="1559"/>
      <c r="AR187" s="1559"/>
      <c r="AS187" s="1559"/>
      <c r="AT187" s="1559"/>
      <c r="AU187" s="1559"/>
      <c r="AV187" s="1559"/>
      <c r="AW187" s="1559"/>
      <c r="AX187" s="1559"/>
      <c r="AY187" s="1559"/>
      <c r="AZ187" s="1559"/>
      <c r="BA187" s="1559"/>
      <c r="BB187" s="1559"/>
      <c r="BC187" s="1559"/>
      <c r="BD187" s="1559"/>
      <c r="BE187" s="1559"/>
      <c r="BF187" s="1559"/>
      <c r="BG187" s="1559"/>
      <c r="BH187" s="1559"/>
      <c r="BI187" s="1559"/>
      <c r="BJ187" s="1559"/>
      <c r="BK187" s="1559"/>
      <c r="BL187" s="1559"/>
      <c r="BM187" s="1559"/>
      <c r="BN187" s="1559"/>
      <c r="BO187" s="1559"/>
      <c r="BP187" s="1559"/>
      <c r="BQ187" s="1559"/>
      <c r="BR187" s="1559"/>
      <c r="BS187" s="1559"/>
      <c r="BT187" s="1559"/>
      <c r="BU187" s="1559"/>
      <c r="BV187" s="1559"/>
      <c r="BW187" s="1559"/>
      <c r="BX187" s="1559"/>
      <c r="BY187" s="1559"/>
      <c r="BZ187" s="1559"/>
      <c r="CA187" s="1559"/>
      <c r="CB187" s="1559"/>
      <c r="CC187" s="1559"/>
      <c r="CD187" s="1559"/>
      <c r="CE187" s="1559"/>
      <c r="CF187" s="1559"/>
      <c r="CG187" s="1559"/>
      <c r="CH187" s="1559"/>
      <c r="CI187" s="1559"/>
      <c r="CJ187" s="1559"/>
      <c r="CK187" s="1559"/>
      <c r="CL187" s="1559"/>
      <c r="CM187" s="1559"/>
      <c r="CN187" s="1559"/>
      <c r="CO187" s="1559"/>
      <c r="CP187" s="1559"/>
      <c r="CQ187" s="1559"/>
      <c r="CR187" s="1559"/>
      <c r="CS187" s="1559"/>
      <c r="CT187" s="1559"/>
      <c r="CU187" s="1559"/>
      <c r="CV187" s="1559"/>
      <c r="CW187" s="1559"/>
      <c r="CX187" s="1559"/>
      <c r="CY187" s="1559"/>
      <c r="CZ187" s="1559"/>
      <c r="DA187" s="1559"/>
      <c r="DB187" s="1559"/>
      <c r="DC187" s="1559"/>
      <c r="DD187" s="1559"/>
      <c r="DE187" s="1559"/>
      <c r="DF187" s="1559"/>
      <c r="DG187" s="1559"/>
      <c r="DH187" s="1559"/>
      <c r="DI187" s="1559"/>
      <c r="DJ187" s="1559"/>
      <c r="DK187" s="1559"/>
      <c r="DL187" s="1559"/>
      <c r="DM187" s="1559"/>
      <c r="DN187" s="1559"/>
      <c r="DO187" s="1559"/>
      <c r="DP187" s="1559"/>
      <c r="DQ187" s="1559"/>
      <c r="DR187" s="1559"/>
      <c r="DS187" s="1559"/>
      <c r="DT187" s="1559"/>
      <c r="DU187" s="1559"/>
      <c r="DV187" s="1559"/>
      <c r="DW187" s="1559"/>
    </row>
    <row r="188" spans="1:127" s="2150" customFormat="1" ht="63.75" customHeight="1">
      <c r="A188" s="3773">
        <v>51</v>
      </c>
      <c r="B188" s="1921" t="str">
        <f t="shared" si="5"/>
        <v>2400001045</v>
      </c>
      <c r="C188" s="1921" t="s">
        <v>7084</v>
      </c>
      <c r="D188" s="2461">
        <f>L188+L190+L192+L193</f>
        <v>20400</v>
      </c>
      <c r="E188" s="1921" t="s">
        <v>7085</v>
      </c>
      <c r="F188" s="1921" t="s">
        <v>25</v>
      </c>
      <c r="G188" s="1921" t="s">
        <v>7086</v>
      </c>
      <c r="H188" s="2202" t="s">
        <v>7087</v>
      </c>
      <c r="I188" s="1921" t="s">
        <v>19</v>
      </c>
      <c r="J188" s="1921" t="s">
        <v>286</v>
      </c>
      <c r="K188" s="1916" t="s">
        <v>7088</v>
      </c>
      <c r="L188" s="2529">
        <v>10000</v>
      </c>
      <c r="M188" s="2471" t="s">
        <v>5937</v>
      </c>
      <c r="N188" s="1862" t="s">
        <v>7089</v>
      </c>
      <c r="O188" s="2176">
        <v>3</v>
      </c>
      <c r="Q188" s="2324"/>
      <c r="R188" s="2122"/>
      <c r="S188" s="2122"/>
      <c r="T188" s="2122"/>
      <c r="U188" s="2122"/>
      <c r="V188" s="2122"/>
      <c r="W188" s="2122"/>
      <c r="X188" s="2122"/>
      <c r="Y188" s="2122"/>
      <c r="Z188" s="2122"/>
      <c r="AA188" s="2122"/>
      <c r="AB188" s="2122"/>
      <c r="AC188" s="2122"/>
      <c r="AD188" s="2122"/>
      <c r="AE188" s="2122"/>
      <c r="AF188" s="2122"/>
      <c r="AG188" s="2122"/>
      <c r="AH188" s="2122"/>
      <c r="AI188" s="2122"/>
      <c r="AJ188" s="2122"/>
      <c r="AK188" s="2122"/>
      <c r="AL188" s="2122"/>
      <c r="AM188" s="2122"/>
      <c r="AN188" s="2122"/>
      <c r="AO188" s="2122"/>
      <c r="AP188" s="2122"/>
      <c r="AQ188" s="2122"/>
      <c r="AR188" s="2122"/>
      <c r="AS188" s="2122"/>
      <c r="AT188" s="2122"/>
      <c r="AU188" s="2122"/>
      <c r="AV188" s="2122"/>
      <c r="AW188" s="2122"/>
      <c r="AX188" s="2122"/>
      <c r="AY188" s="2122"/>
      <c r="AZ188" s="2122"/>
      <c r="BA188" s="2122"/>
      <c r="BB188" s="2122"/>
      <c r="BC188" s="2122"/>
      <c r="BD188" s="2122"/>
      <c r="BE188" s="2122"/>
      <c r="BF188" s="2122"/>
      <c r="BG188" s="2122"/>
      <c r="BH188" s="2122"/>
      <c r="BI188" s="2122"/>
      <c r="BJ188" s="2122"/>
      <c r="BK188" s="2122"/>
      <c r="BL188" s="2122"/>
      <c r="BM188" s="2122"/>
      <c r="BN188" s="2122"/>
      <c r="BO188" s="2122"/>
      <c r="BP188" s="2122"/>
      <c r="BQ188" s="2122"/>
      <c r="BR188" s="2122"/>
      <c r="BS188" s="2122"/>
      <c r="BT188" s="2122"/>
      <c r="BU188" s="2122"/>
      <c r="BV188" s="2122"/>
      <c r="BW188" s="2122"/>
      <c r="BX188" s="2122"/>
      <c r="BY188" s="2122"/>
      <c r="BZ188" s="2122"/>
      <c r="CA188" s="2122"/>
      <c r="CB188" s="2122"/>
      <c r="CC188" s="2122"/>
      <c r="CD188" s="2122"/>
      <c r="CE188" s="2122"/>
      <c r="CF188" s="2122"/>
      <c r="CG188" s="2122"/>
      <c r="CH188" s="2122"/>
      <c r="CI188" s="2122"/>
      <c r="CJ188" s="2122"/>
      <c r="CK188" s="2122"/>
      <c r="CL188" s="2122"/>
      <c r="CM188" s="2122"/>
      <c r="CN188" s="2122"/>
      <c r="CO188" s="2122"/>
      <c r="CP188" s="2122"/>
      <c r="CQ188" s="2122"/>
      <c r="CR188" s="2122"/>
      <c r="CS188" s="2122"/>
      <c r="CT188" s="2122"/>
      <c r="CU188" s="2122"/>
      <c r="CV188" s="2122"/>
      <c r="CW188" s="2122"/>
      <c r="CX188" s="2122"/>
      <c r="CY188" s="2122"/>
      <c r="CZ188" s="2122"/>
      <c r="DA188" s="2122"/>
      <c r="DB188" s="2122"/>
      <c r="DC188" s="2122"/>
      <c r="DD188" s="2122"/>
      <c r="DE188" s="2122"/>
      <c r="DF188" s="2122"/>
      <c r="DG188" s="2122"/>
      <c r="DH188" s="2122"/>
      <c r="DI188" s="2122"/>
      <c r="DJ188" s="2122"/>
      <c r="DK188" s="2122"/>
      <c r="DL188" s="2122"/>
      <c r="DM188" s="2122"/>
      <c r="DN188" s="2122"/>
      <c r="DO188" s="2122"/>
      <c r="DP188" s="2122"/>
      <c r="DQ188" s="2122"/>
      <c r="DR188" s="2122"/>
      <c r="DS188" s="2122"/>
      <c r="DT188" s="2122"/>
      <c r="DU188" s="2122"/>
      <c r="DV188" s="2122"/>
      <c r="DW188" s="2033"/>
    </row>
    <row r="189" spans="1:127" s="2150" customFormat="1" ht="63.75" customHeight="1">
      <c r="A189" s="3767"/>
      <c r="B189" s="1495" t="str">
        <f t="shared" si="5"/>
        <v>2400001044</v>
      </c>
      <c r="C189" s="1495" t="s">
        <v>7084</v>
      </c>
      <c r="D189" s="2463"/>
      <c r="E189" s="1495"/>
      <c r="F189" s="1495" t="s">
        <v>25</v>
      </c>
      <c r="G189" s="1495"/>
      <c r="H189" s="2208" t="s">
        <v>7087</v>
      </c>
      <c r="I189" s="1851" t="s">
        <v>19</v>
      </c>
      <c r="J189" s="2530" t="s">
        <v>286</v>
      </c>
      <c r="K189" s="1994" t="s">
        <v>7090</v>
      </c>
      <c r="L189" s="2284"/>
      <c r="M189" s="2471" t="s">
        <v>5937</v>
      </c>
      <c r="N189" s="1862" t="s">
        <v>7089</v>
      </c>
      <c r="O189" s="1939">
        <v>3</v>
      </c>
      <c r="P189" s="1548"/>
      <c r="Q189" s="1982"/>
      <c r="R189" s="1883"/>
      <c r="S189" s="1883"/>
      <c r="T189" s="1883"/>
      <c r="U189" s="1883"/>
      <c r="V189" s="1883"/>
      <c r="W189" s="1883"/>
      <c r="X189" s="1883"/>
      <c r="Y189" s="1883"/>
      <c r="Z189" s="1883"/>
      <c r="AA189" s="1883"/>
      <c r="AB189" s="1883"/>
      <c r="AC189" s="1883"/>
      <c r="AD189" s="1883"/>
      <c r="AE189" s="1883"/>
      <c r="AF189" s="1883"/>
      <c r="AG189" s="1883"/>
      <c r="AH189" s="1883"/>
      <c r="AI189" s="1883"/>
      <c r="AJ189" s="1883"/>
      <c r="AK189" s="1883"/>
      <c r="AL189" s="1883"/>
      <c r="AM189" s="1883"/>
      <c r="AN189" s="1883"/>
      <c r="AO189" s="1883"/>
      <c r="AP189" s="1883"/>
      <c r="AQ189" s="1883"/>
      <c r="AR189" s="1883"/>
      <c r="AS189" s="1883"/>
      <c r="AT189" s="1883"/>
      <c r="AU189" s="1883"/>
      <c r="AV189" s="1883"/>
      <c r="AW189" s="1883"/>
      <c r="AX189" s="1883"/>
      <c r="AY189" s="1883"/>
      <c r="AZ189" s="1883"/>
      <c r="BA189" s="1883"/>
      <c r="BB189" s="1883"/>
      <c r="BC189" s="1883"/>
      <c r="BD189" s="1883"/>
      <c r="BE189" s="1883"/>
      <c r="BF189" s="1883"/>
      <c r="BG189" s="1883"/>
      <c r="BH189" s="1883"/>
      <c r="BI189" s="1883"/>
      <c r="BJ189" s="1883"/>
      <c r="BK189" s="1883"/>
      <c r="BL189" s="1883"/>
      <c r="BM189" s="1883"/>
      <c r="BN189" s="1883"/>
      <c r="BO189" s="1883"/>
      <c r="BP189" s="1883"/>
      <c r="BQ189" s="1883"/>
      <c r="BR189" s="1883"/>
      <c r="BS189" s="1883"/>
      <c r="BT189" s="1883"/>
      <c r="BU189" s="1883"/>
      <c r="BV189" s="1883"/>
      <c r="BW189" s="1883"/>
      <c r="BX189" s="1883"/>
      <c r="BY189" s="1883"/>
      <c r="BZ189" s="1883"/>
      <c r="CA189" s="1883"/>
      <c r="CB189" s="1883"/>
      <c r="CC189" s="1883"/>
      <c r="CD189" s="1883"/>
      <c r="CE189" s="1883"/>
      <c r="CF189" s="1883"/>
      <c r="CG189" s="1883"/>
      <c r="CH189" s="1883"/>
      <c r="CI189" s="1883"/>
      <c r="CJ189" s="1883"/>
      <c r="CK189" s="1883"/>
      <c r="CL189" s="1883"/>
      <c r="CM189" s="1883"/>
      <c r="CN189" s="1883"/>
      <c r="CO189" s="1883"/>
      <c r="CP189" s="1883"/>
      <c r="CQ189" s="1883"/>
      <c r="CR189" s="1883"/>
      <c r="CS189" s="1883"/>
      <c r="CT189" s="1883"/>
      <c r="CU189" s="1883"/>
      <c r="CV189" s="1883"/>
      <c r="CW189" s="1883"/>
      <c r="CX189" s="1883"/>
      <c r="CY189" s="1883"/>
      <c r="CZ189" s="1883"/>
      <c r="DA189" s="1883"/>
      <c r="DB189" s="1883"/>
      <c r="DC189" s="1883"/>
      <c r="DD189" s="1883"/>
      <c r="DE189" s="1883"/>
      <c r="DF189" s="1883"/>
      <c r="DG189" s="1883"/>
      <c r="DH189" s="1883"/>
      <c r="DI189" s="1883"/>
      <c r="DJ189" s="1883"/>
      <c r="DK189" s="1883"/>
      <c r="DL189" s="1883"/>
      <c r="DM189" s="1883"/>
      <c r="DN189" s="1883"/>
      <c r="DO189" s="1883"/>
      <c r="DP189" s="1883"/>
      <c r="DQ189" s="1883"/>
      <c r="DR189" s="1883"/>
      <c r="DS189" s="1883"/>
      <c r="DT189" s="1883"/>
      <c r="DU189" s="1883"/>
      <c r="DV189" s="1883"/>
      <c r="DW189" s="2033"/>
    </row>
    <row r="190" spans="1:127" s="2150" customFormat="1" ht="63.75" customHeight="1">
      <c r="A190" s="3767"/>
      <c r="B190" s="1495" t="str">
        <f t="shared" si="5"/>
        <v>2400001089</v>
      </c>
      <c r="C190" s="1495" t="s">
        <v>7084</v>
      </c>
      <c r="D190" s="2454"/>
      <c r="E190" s="1851"/>
      <c r="F190" s="1495" t="s">
        <v>25</v>
      </c>
      <c r="G190" s="1851"/>
      <c r="H190" s="2208" t="s">
        <v>7091</v>
      </c>
      <c r="I190" s="2303" t="s">
        <v>19</v>
      </c>
      <c r="J190" s="2493" t="s">
        <v>286</v>
      </c>
      <c r="K190" s="1916" t="s">
        <v>7092</v>
      </c>
      <c r="L190" s="2531">
        <v>400</v>
      </c>
      <c r="M190" s="2471" t="s">
        <v>5937</v>
      </c>
      <c r="N190" s="1862" t="s">
        <v>7089</v>
      </c>
      <c r="O190" s="1939">
        <v>3</v>
      </c>
      <c r="P190" s="1883"/>
      <c r="Q190" s="1883"/>
      <c r="R190" s="1883"/>
      <c r="S190" s="1883"/>
      <c r="T190" s="1883"/>
      <c r="U190" s="1883"/>
      <c r="V190" s="1883"/>
      <c r="W190" s="1883"/>
      <c r="X190" s="1883"/>
      <c r="Y190" s="1883"/>
      <c r="Z190" s="1883"/>
      <c r="AA190" s="1883"/>
      <c r="AB190" s="1883"/>
      <c r="AC190" s="1883"/>
      <c r="AD190" s="1883"/>
      <c r="AE190" s="1883"/>
      <c r="AF190" s="1883"/>
      <c r="AG190" s="1883"/>
      <c r="AH190" s="1883"/>
      <c r="AI190" s="1883"/>
      <c r="AJ190" s="1883"/>
      <c r="AK190" s="1883"/>
      <c r="AL190" s="1883"/>
      <c r="AM190" s="1883"/>
      <c r="AN190" s="1883"/>
      <c r="AO190" s="1883"/>
      <c r="AP190" s="1883"/>
      <c r="AQ190" s="1883"/>
      <c r="AR190" s="1883"/>
      <c r="AS190" s="1883"/>
      <c r="AT190" s="1883"/>
      <c r="AU190" s="1883"/>
      <c r="AV190" s="1883"/>
      <c r="AW190" s="1883"/>
      <c r="AX190" s="1883"/>
      <c r="AY190" s="1883"/>
      <c r="AZ190" s="1883"/>
      <c r="BA190" s="1883"/>
      <c r="BB190" s="1883"/>
      <c r="BC190" s="1883"/>
      <c r="BD190" s="1883"/>
      <c r="BE190" s="1883"/>
      <c r="BF190" s="1883"/>
      <c r="BG190" s="1883"/>
      <c r="BH190" s="1883"/>
      <c r="BI190" s="1883"/>
      <c r="BJ190" s="1883"/>
      <c r="BK190" s="1883"/>
      <c r="BL190" s="1883"/>
      <c r="BM190" s="1883"/>
      <c r="BN190" s="1883"/>
      <c r="BO190" s="1883"/>
      <c r="BP190" s="1883"/>
      <c r="BQ190" s="1883"/>
      <c r="BR190" s="1883"/>
      <c r="BS190" s="1883"/>
      <c r="BT190" s="1883"/>
      <c r="BU190" s="1883"/>
      <c r="BV190" s="1883"/>
      <c r="BW190" s="1883"/>
      <c r="BX190" s="1883"/>
      <c r="BY190" s="1883"/>
      <c r="BZ190" s="1883"/>
      <c r="CA190" s="1883"/>
      <c r="CB190" s="1883"/>
      <c r="CC190" s="1883"/>
      <c r="CD190" s="1883"/>
      <c r="CE190" s="1883"/>
      <c r="CF190" s="1883"/>
      <c r="CG190" s="1883"/>
      <c r="CH190" s="1883"/>
      <c r="CI190" s="1883"/>
      <c r="CJ190" s="1883"/>
      <c r="CK190" s="1883"/>
      <c r="CL190" s="1883"/>
      <c r="CM190" s="1883"/>
      <c r="CN190" s="1883"/>
      <c r="CO190" s="1883"/>
      <c r="CP190" s="1883"/>
      <c r="CQ190" s="1883"/>
      <c r="CR190" s="1883"/>
      <c r="CS190" s="1883"/>
      <c r="CT190" s="1883"/>
      <c r="CU190" s="1883"/>
      <c r="CV190" s="1883"/>
      <c r="CW190" s="1883"/>
      <c r="CX190" s="1883"/>
      <c r="CY190" s="1883"/>
      <c r="CZ190" s="1883"/>
      <c r="DA190" s="1883"/>
      <c r="DB190" s="1883"/>
      <c r="DC190" s="1883"/>
      <c r="DD190" s="1883"/>
      <c r="DE190" s="1883"/>
      <c r="DF190" s="1883"/>
      <c r="DG190" s="1883"/>
      <c r="DH190" s="1883"/>
      <c r="DI190" s="1883"/>
      <c r="DJ190" s="1883"/>
      <c r="DK190" s="1883"/>
      <c r="DL190" s="1883"/>
      <c r="DM190" s="1883"/>
      <c r="DN190" s="1883"/>
      <c r="DO190" s="1883"/>
      <c r="DP190" s="1883"/>
      <c r="DQ190" s="1883"/>
      <c r="DR190" s="1883"/>
      <c r="DS190" s="1883"/>
      <c r="DT190" s="1883"/>
      <c r="DU190" s="1883"/>
      <c r="DV190" s="1883"/>
      <c r="DW190" s="2033"/>
    </row>
    <row r="191" spans="1:127" s="2150" customFormat="1" ht="63.75" customHeight="1">
      <c r="A191" s="3767"/>
      <c r="B191" s="1495" t="str">
        <f t="shared" si="5"/>
        <v>2400001090</v>
      </c>
      <c r="C191" s="1495" t="s">
        <v>7084</v>
      </c>
      <c r="D191" s="2454"/>
      <c r="E191" s="1851"/>
      <c r="F191" s="1495" t="s">
        <v>25</v>
      </c>
      <c r="G191" s="1851"/>
      <c r="H191" s="2208" t="s">
        <v>7091</v>
      </c>
      <c r="I191" s="2303" t="s">
        <v>19</v>
      </c>
      <c r="J191" s="2532" t="s">
        <v>286</v>
      </c>
      <c r="K191" s="1770" t="s">
        <v>7093</v>
      </c>
      <c r="L191" s="2531">
        <v>800</v>
      </c>
      <c r="M191" s="2030" t="s">
        <v>7094</v>
      </c>
      <c r="N191" s="1962" t="s">
        <v>7095</v>
      </c>
      <c r="O191" s="1939">
        <v>3</v>
      </c>
      <c r="P191" s="1883"/>
      <c r="Q191" s="1883"/>
      <c r="R191" s="1883"/>
      <c r="S191" s="1883"/>
      <c r="T191" s="1883"/>
      <c r="U191" s="1883"/>
      <c r="V191" s="1883"/>
      <c r="W191" s="1883"/>
      <c r="X191" s="1883"/>
      <c r="Y191" s="1883"/>
      <c r="Z191" s="1883"/>
      <c r="AA191" s="1883"/>
      <c r="AB191" s="1883"/>
      <c r="AC191" s="1883"/>
      <c r="AD191" s="1883"/>
      <c r="AE191" s="1883"/>
      <c r="AF191" s="1883"/>
      <c r="AG191" s="1883"/>
      <c r="AH191" s="1883"/>
      <c r="AI191" s="1883"/>
      <c r="AJ191" s="1883"/>
      <c r="AK191" s="1883"/>
      <c r="AL191" s="1883"/>
      <c r="AM191" s="1883"/>
      <c r="AN191" s="1883"/>
      <c r="AO191" s="1883"/>
      <c r="AP191" s="1883"/>
      <c r="AQ191" s="1883"/>
      <c r="AR191" s="1883"/>
      <c r="AS191" s="1883"/>
      <c r="AT191" s="1883"/>
      <c r="AU191" s="1883"/>
      <c r="AV191" s="1883"/>
      <c r="AW191" s="1883"/>
      <c r="AX191" s="1883"/>
      <c r="AY191" s="1883"/>
      <c r="AZ191" s="1883"/>
      <c r="BA191" s="1883"/>
      <c r="BB191" s="1883"/>
      <c r="BC191" s="1883"/>
      <c r="BD191" s="1883"/>
      <c r="BE191" s="1883"/>
      <c r="BF191" s="1883"/>
      <c r="BG191" s="1883"/>
      <c r="BH191" s="1883"/>
      <c r="BI191" s="1883"/>
      <c r="BJ191" s="1883"/>
      <c r="BK191" s="1883"/>
      <c r="BL191" s="1883"/>
      <c r="BM191" s="1883"/>
      <c r="BN191" s="1883"/>
      <c r="BO191" s="1883"/>
      <c r="BP191" s="1883"/>
      <c r="BQ191" s="1883"/>
      <c r="BR191" s="1883"/>
      <c r="BS191" s="1883"/>
      <c r="BT191" s="1883"/>
      <c r="BU191" s="1883"/>
      <c r="BV191" s="1883"/>
      <c r="BW191" s="1883"/>
      <c r="BX191" s="1883"/>
      <c r="BY191" s="1883"/>
      <c r="BZ191" s="1883"/>
      <c r="CA191" s="1883"/>
      <c r="CB191" s="1883"/>
      <c r="CC191" s="1883"/>
      <c r="CD191" s="1883"/>
      <c r="CE191" s="1883"/>
      <c r="CF191" s="1883"/>
      <c r="CG191" s="1883"/>
      <c r="CH191" s="1883"/>
      <c r="CI191" s="1883"/>
      <c r="CJ191" s="1883"/>
      <c r="CK191" s="1883"/>
      <c r="CL191" s="1883"/>
      <c r="CM191" s="1883"/>
      <c r="CN191" s="1883"/>
      <c r="CO191" s="1883"/>
      <c r="CP191" s="1883"/>
      <c r="CQ191" s="1883"/>
      <c r="CR191" s="1883"/>
      <c r="CS191" s="1883"/>
      <c r="CT191" s="1883"/>
      <c r="CU191" s="1883"/>
      <c r="CV191" s="1883"/>
      <c r="CW191" s="1883"/>
      <c r="CX191" s="1883"/>
      <c r="CY191" s="1883"/>
      <c r="CZ191" s="1883"/>
      <c r="DA191" s="1883"/>
      <c r="DB191" s="1883"/>
      <c r="DC191" s="1883"/>
      <c r="DD191" s="1883"/>
      <c r="DE191" s="1883"/>
      <c r="DF191" s="1883"/>
      <c r="DG191" s="1883"/>
      <c r="DH191" s="1883"/>
      <c r="DI191" s="1883"/>
      <c r="DJ191" s="1883"/>
      <c r="DK191" s="1883"/>
      <c r="DL191" s="1883"/>
      <c r="DM191" s="1883"/>
      <c r="DN191" s="1883"/>
      <c r="DO191" s="1883"/>
      <c r="DP191" s="1883"/>
      <c r="DQ191" s="1883"/>
      <c r="DR191" s="1883"/>
      <c r="DS191" s="1883"/>
      <c r="DT191" s="1883"/>
      <c r="DU191" s="1883"/>
      <c r="DV191" s="1883"/>
      <c r="DW191" s="2033"/>
    </row>
    <row r="192" spans="1:127" s="2150" customFormat="1" ht="63.75" customHeight="1">
      <c r="A192" s="3767"/>
      <c r="B192" s="1495" t="str">
        <f t="shared" si="5"/>
        <v>2400001050</v>
      </c>
      <c r="C192" s="1495" t="s">
        <v>7084</v>
      </c>
      <c r="D192" s="2454"/>
      <c r="E192" s="1851"/>
      <c r="F192" s="1495" t="s">
        <v>25</v>
      </c>
      <c r="G192" s="2118"/>
      <c r="H192" s="2208" t="s">
        <v>7091</v>
      </c>
      <c r="I192" s="2098" t="s">
        <v>19</v>
      </c>
      <c r="J192" s="1851" t="s">
        <v>4807</v>
      </c>
      <c r="K192" s="1981" t="s">
        <v>7096</v>
      </c>
      <c r="L192" s="2281">
        <v>5000</v>
      </c>
      <c r="M192" s="2448" t="s">
        <v>5937</v>
      </c>
      <c r="N192" s="2533" t="s">
        <v>7097</v>
      </c>
      <c r="O192" s="2102">
        <v>3</v>
      </c>
      <c r="P192" s="2122"/>
      <c r="Q192" s="2122"/>
      <c r="R192" s="2122"/>
      <c r="S192" s="2122"/>
      <c r="T192" s="2122"/>
      <c r="U192" s="2122"/>
      <c r="V192" s="2122"/>
      <c r="W192" s="2122"/>
      <c r="X192" s="2122"/>
      <c r="Y192" s="2122"/>
      <c r="Z192" s="2122"/>
      <c r="AA192" s="2122"/>
      <c r="AB192" s="2122"/>
      <c r="AC192" s="2122"/>
      <c r="AD192" s="2122"/>
      <c r="AE192" s="2122"/>
      <c r="AF192" s="2122"/>
      <c r="AG192" s="2122"/>
      <c r="AH192" s="2122"/>
      <c r="AI192" s="2122"/>
      <c r="AJ192" s="2122"/>
      <c r="AK192" s="2122"/>
      <c r="AL192" s="2122"/>
      <c r="AM192" s="2122"/>
      <c r="AN192" s="2122"/>
      <c r="AO192" s="2122"/>
      <c r="AP192" s="2122"/>
      <c r="AQ192" s="2122"/>
      <c r="AR192" s="2122"/>
      <c r="AS192" s="2122"/>
      <c r="AT192" s="2122"/>
      <c r="AU192" s="2122"/>
      <c r="AV192" s="2122"/>
      <c r="AW192" s="2122"/>
      <c r="AX192" s="2122"/>
      <c r="AY192" s="2122"/>
      <c r="AZ192" s="2122"/>
      <c r="BA192" s="2122"/>
      <c r="BB192" s="2122"/>
      <c r="BC192" s="2122"/>
      <c r="BD192" s="2122"/>
      <c r="BE192" s="2122"/>
      <c r="BF192" s="2122"/>
      <c r="BG192" s="2122"/>
      <c r="BH192" s="2122"/>
      <c r="BI192" s="2122"/>
      <c r="BJ192" s="2122"/>
      <c r="BK192" s="2122"/>
      <c r="BL192" s="2122"/>
      <c r="BM192" s="2122"/>
      <c r="BN192" s="2122"/>
      <c r="BO192" s="2122"/>
      <c r="BP192" s="2122"/>
      <c r="BQ192" s="2122"/>
      <c r="BR192" s="2122"/>
      <c r="BS192" s="2122"/>
      <c r="BT192" s="2122"/>
      <c r="BU192" s="2122"/>
      <c r="BV192" s="2122"/>
      <c r="BW192" s="2122"/>
      <c r="BX192" s="2122"/>
      <c r="BY192" s="2122"/>
      <c r="BZ192" s="2122"/>
      <c r="CA192" s="2122"/>
      <c r="CB192" s="2122"/>
      <c r="CC192" s="2122"/>
      <c r="CD192" s="2122"/>
      <c r="CE192" s="2122"/>
      <c r="CF192" s="2122"/>
      <c r="CG192" s="2122"/>
      <c r="CH192" s="2122"/>
      <c r="CI192" s="2122"/>
      <c r="CJ192" s="2122"/>
      <c r="CK192" s="2122"/>
      <c r="CL192" s="2122"/>
      <c r="CM192" s="2122"/>
      <c r="CN192" s="2122"/>
      <c r="CO192" s="2122"/>
      <c r="CP192" s="2122"/>
      <c r="CQ192" s="2122"/>
      <c r="CR192" s="2122"/>
      <c r="CS192" s="2122"/>
      <c r="CT192" s="2122"/>
      <c r="CU192" s="2122"/>
      <c r="CV192" s="2122"/>
      <c r="CW192" s="2122"/>
      <c r="CX192" s="2122"/>
      <c r="CY192" s="2122"/>
      <c r="CZ192" s="2122"/>
      <c r="DA192" s="2122"/>
      <c r="DB192" s="2122"/>
      <c r="DC192" s="2122"/>
      <c r="DD192" s="2122"/>
      <c r="DE192" s="2122"/>
      <c r="DF192" s="2122"/>
      <c r="DG192" s="2122"/>
      <c r="DH192" s="2122"/>
      <c r="DI192" s="2122"/>
      <c r="DJ192" s="2122"/>
      <c r="DK192" s="2122"/>
      <c r="DL192" s="2122"/>
      <c r="DM192" s="2122"/>
      <c r="DN192" s="2122"/>
      <c r="DO192" s="2122"/>
      <c r="DP192" s="2122"/>
      <c r="DQ192" s="2122"/>
      <c r="DR192" s="2122"/>
      <c r="DS192" s="2122"/>
      <c r="DT192" s="2122"/>
      <c r="DU192" s="2122"/>
      <c r="DV192" s="2122"/>
      <c r="DW192" s="2033"/>
    </row>
    <row r="193" spans="1:127" s="2150" customFormat="1" ht="63.75" customHeight="1">
      <c r="A193" s="3768"/>
      <c r="B193" s="1495" t="str">
        <f t="shared" si="5"/>
        <v>2400001051</v>
      </c>
      <c r="C193" s="1495" t="s">
        <v>7084</v>
      </c>
      <c r="D193" s="2454"/>
      <c r="E193" s="1875"/>
      <c r="F193" s="1495" t="s">
        <v>25</v>
      </c>
      <c r="G193" s="2118"/>
      <c r="H193" s="2208" t="s">
        <v>7091</v>
      </c>
      <c r="I193" s="1460" t="s">
        <v>19</v>
      </c>
      <c r="J193" s="2028" t="s">
        <v>4807</v>
      </c>
      <c r="K193" s="1770" t="s">
        <v>7098</v>
      </c>
      <c r="L193" s="2281">
        <v>5000</v>
      </c>
      <c r="M193" s="2448" t="s">
        <v>5937</v>
      </c>
      <c r="N193" s="2533" t="s">
        <v>7097</v>
      </c>
      <c r="O193" s="2102">
        <v>3</v>
      </c>
      <c r="P193" s="2122"/>
      <c r="Q193" s="2122"/>
      <c r="R193" s="2122"/>
      <c r="S193" s="2122"/>
      <c r="T193" s="2122"/>
      <c r="U193" s="2122"/>
      <c r="V193" s="2122"/>
      <c r="W193" s="2122"/>
      <c r="X193" s="2122"/>
      <c r="Y193" s="2122"/>
      <c r="Z193" s="2122"/>
      <c r="AA193" s="2122"/>
      <c r="AB193" s="2122"/>
      <c r="AC193" s="2122"/>
      <c r="AD193" s="2122"/>
      <c r="AE193" s="2122"/>
      <c r="AF193" s="2122"/>
      <c r="AG193" s="2122"/>
      <c r="AH193" s="2122"/>
      <c r="AI193" s="2122"/>
      <c r="AJ193" s="2122"/>
      <c r="AK193" s="2122"/>
      <c r="AL193" s="2122"/>
      <c r="AM193" s="2122"/>
      <c r="AN193" s="2122"/>
      <c r="AO193" s="2122"/>
      <c r="AP193" s="2122"/>
      <c r="AQ193" s="2122"/>
      <c r="AR193" s="2122"/>
      <c r="AS193" s="2122"/>
      <c r="AT193" s="2122"/>
      <c r="AU193" s="2122"/>
      <c r="AV193" s="2122"/>
      <c r="AW193" s="2122"/>
      <c r="AX193" s="2122"/>
      <c r="AY193" s="2122"/>
      <c r="AZ193" s="2122"/>
      <c r="BA193" s="2122"/>
      <c r="BB193" s="2122"/>
      <c r="BC193" s="2122"/>
      <c r="BD193" s="2122"/>
      <c r="BE193" s="2122"/>
      <c r="BF193" s="2122"/>
      <c r="BG193" s="2122"/>
      <c r="BH193" s="2122"/>
      <c r="BI193" s="2122"/>
      <c r="BJ193" s="2122"/>
      <c r="BK193" s="2122"/>
      <c r="BL193" s="2122"/>
      <c r="BM193" s="2122"/>
      <c r="BN193" s="2122"/>
      <c r="BO193" s="2122"/>
      <c r="BP193" s="2122"/>
      <c r="BQ193" s="2122"/>
      <c r="BR193" s="2122"/>
      <c r="BS193" s="2122"/>
      <c r="BT193" s="2122"/>
      <c r="BU193" s="2122"/>
      <c r="BV193" s="2122"/>
      <c r="BW193" s="2122"/>
      <c r="BX193" s="2122"/>
      <c r="BY193" s="2122"/>
      <c r="BZ193" s="2122"/>
      <c r="CA193" s="2122"/>
      <c r="CB193" s="2122"/>
      <c r="CC193" s="2122"/>
      <c r="CD193" s="2122"/>
      <c r="CE193" s="2122"/>
      <c r="CF193" s="2122"/>
      <c r="CG193" s="2122"/>
      <c r="CH193" s="2122"/>
      <c r="CI193" s="2122"/>
      <c r="CJ193" s="2122"/>
      <c r="CK193" s="2122"/>
      <c r="CL193" s="2122"/>
      <c r="CM193" s="2122"/>
      <c r="CN193" s="2122"/>
      <c r="CO193" s="2122"/>
      <c r="CP193" s="2122"/>
      <c r="CQ193" s="2122"/>
      <c r="CR193" s="2122"/>
      <c r="CS193" s="2122"/>
      <c r="CT193" s="2122"/>
      <c r="CU193" s="2122"/>
      <c r="CV193" s="2122"/>
      <c r="CW193" s="2122"/>
      <c r="CX193" s="2122"/>
      <c r="CY193" s="2122"/>
      <c r="CZ193" s="2122"/>
      <c r="DA193" s="2122"/>
      <c r="DB193" s="2122"/>
      <c r="DC193" s="2122"/>
      <c r="DD193" s="2122"/>
      <c r="DE193" s="2122"/>
      <c r="DF193" s="2122"/>
      <c r="DG193" s="2122"/>
      <c r="DH193" s="2122"/>
      <c r="DI193" s="2122"/>
      <c r="DJ193" s="2122"/>
      <c r="DK193" s="2122"/>
      <c r="DL193" s="2122"/>
      <c r="DM193" s="2122"/>
      <c r="DN193" s="2122"/>
      <c r="DO193" s="2122"/>
      <c r="DP193" s="2122"/>
      <c r="DQ193" s="2122"/>
      <c r="DR193" s="2122"/>
      <c r="DS193" s="2122"/>
      <c r="DT193" s="2122"/>
      <c r="DU193" s="2122"/>
      <c r="DV193" s="2122"/>
      <c r="DW193" s="2033"/>
    </row>
    <row r="194" spans="1:127" s="2127" customFormat="1" ht="63.75" customHeight="1">
      <c r="A194" s="3773">
        <v>52</v>
      </c>
      <c r="B194" s="2184" t="str">
        <f t="shared" si="5"/>
        <v>2200001885</v>
      </c>
      <c r="C194" s="2184" t="s">
        <v>6930</v>
      </c>
      <c r="D194" s="2502">
        <v>3270</v>
      </c>
      <c r="E194" s="2187" t="s">
        <v>7099</v>
      </c>
      <c r="F194" s="2424" t="s">
        <v>16</v>
      </c>
      <c r="G194" s="2370" t="s">
        <v>7100</v>
      </c>
      <c r="H194" s="2503" t="s">
        <v>7024</v>
      </c>
      <c r="I194" s="2504" t="s">
        <v>19</v>
      </c>
      <c r="J194" s="2187" t="s">
        <v>234</v>
      </c>
      <c r="K194" s="2700" t="s">
        <v>7101</v>
      </c>
      <c r="L194" s="2505">
        <v>2073</v>
      </c>
      <c r="M194" s="2506" t="s">
        <v>7021</v>
      </c>
      <c r="N194" s="2487"/>
      <c r="O194" s="2051">
        <v>3</v>
      </c>
      <c r="P194" s="2129"/>
      <c r="Q194" s="2316"/>
      <c r="R194" s="2129"/>
      <c r="S194" s="2129"/>
      <c r="T194" s="2129"/>
      <c r="U194" s="2129"/>
      <c r="V194" s="2129"/>
      <c r="W194" s="2129"/>
      <c r="X194" s="2129"/>
      <c r="Y194" s="2129"/>
      <c r="Z194" s="2129"/>
      <c r="AA194" s="2129"/>
      <c r="AB194" s="2129"/>
      <c r="AC194" s="2129"/>
      <c r="AD194" s="2129"/>
      <c r="AE194" s="2129"/>
      <c r="AF194" s="2129"/>
      <c r="AG194" s="2129"/>
      <c r="AH194" s="2129"/>
      <c r="AI194" s="2129"/>
      <c r="AJ194" s="2129"/>
      <c r="AK194" s="2129"/>
      <c r="AL194" s="2129"/>
      <c r="AM194" s="2129"/>
      <c r="AN194" s="2129"/>
      <c r="AO194" s="2129"/>
      <c r="AP194" s="2129"/>
      <c r="AQ194" s="2129"/>
      <c r="AR194" s="2129"/>
      <c r="AS194" s="2129"/>
      <c r="AT194" s="2129"/>
      <c r="AU194" s="2129"/>
      <c r="AV194" s="2129"/>
      <c r="AW194" s="2129"/>
      <c r="AX194" s="2129"/>
      <c r="AY194" s="2129"/>
      <c r="AZ194" s="2129"/>
      <c r="BA194" s="2129"/>
      <c r="BB194" s="2129"/>
      <c r="BC194" s="2129"/>
      <c r="BD194" s="2129"/>
      <c r="BE194" s="2129"/>
      <c r="BF194" s="2129"/>
      <c r="BG194" s="2129"/>
      <c r="BH194" s="2129"/>
      <c r="BI194" s="2129"/>
      <c r="BJ194" s="2129"/>
      <c r="BK194" s="2129"/>
      <c r="BL194" s="2129"/>
      <c r="BM194" s="2129"/>
      <c r="BN194" s="2129"/>
      <c r="BO194" s="2129"/>
      <c r="BP194" s="2129"/>
      <c r="BQ194" s="2129"/>
      <c r="BR194" s="2129"/>
      <c r="BS194" s="2129"/>
      <c r="BT194" s="2129"/>
      <c r="BU194" s="2129"/>
      <c r="BV194" s="2129"/>
      <c r="BW194" s="2129"/>
      <c r="BX194" s="2129"/>
      <c r="BY194" s="2129"/>
      <c r="BZ194" s="2129"/>
      <c r="CA194" s="2129"/>
      <c r="CB194" s="2129"/>
      <c r="CC194" s="2129"/>
      <c r="CD194" s="2129"/>
      <c r="CE194" s="2129"/>
      <c r="CF194" s="2129"/>
      <c r="CG194" s="2129"/>
      <c r="CH194" s="2129"/>
      <c r="CI194" s="2129"/>
      <c r="CJ194" s="2129"/>
      <c r="CK194" s="2129"/>
      <c r="CL194" s="2129"/>
      <c r="CM194" s="2129"/>
      <c r="CN194" s="2129"/>
      <c r="CO194" s="2129"/>
      <c r="CP194" s="2129"/>
      <c r="CQ194" s="2129"/>
      <c r="CR194" s="2129"/>
      <c r="CS194" s="2129"/>
      <c r="CT194" s="2129"/>
      <c r="CU194" s="2129"/>
      <c r="CV194" s="2129"/>
      <c r="CW194" s="2129"/>
      <c r="CX194" s="2129"/>
      <c r="CY194" s="2129"/>
      <c r="CZ194" s="2129"/>
      <c r="DA194" s="2129"/>
      <c r="DB194" s="2129"/>
      <c r="DC194" s="2129"/>
      <c r="DD194" s="2129"/>
      <c r="DE194" s="2129"/>
      <c r="DF194" s="2129"/>
      <c r="DG194" s="2129"/>
      <c r="DH194" s="2129"/>
      <c r="DI194" s="2129"/>
      <c r="DJ194" s="2129"/>
      <c r="DK194" s="2129"/>
      <c r="DL194" s="2129"/>
      <c r="DM194" s="2129"/>
      <c r="DN194" s="2129"/>
      <c r="DO194" s="2129"/>
      <c r="DP194" s="2129"/>
      <c r="DQ194" s="2129"/>
      <c r="DR194" s="2129"/>
      <c r="DS194" s="2129"/>
      <c r="DT194" s="2129"/>
      <c r="DU194" s="2129"/>
      <c r="DV194" s="2129"/>
      <c r="DW194" s="2129"/>
    </row>
    <row r="195" spans="1:127" s="2150" customFormat="1" ht="63.75" customHeight="1">
      <c r="A195" s="3768"/>
      <c r="B195" s="1495" t="str">
        <f t="shared" si="5"/>
        <v>2200001874</v>
      </c>
      <c r="C195" s="1495" t="s">
        <v>6930</v>
      </c>
      <c r="D195" s="2463"/>
      <c r="E195" s="1495"/>
      <c r="F195" s="1495" t="s">
        <v>16</v>
      </c>
      <c r="G195" s="1495"/>
      <c r="H195" s="1495"/>
      <c r="I195" s="1495" t="s">
        <v>19</v>
      </c>
      <c r="J195" s="1495" t="s">
        <v>234</v>
      </c>
      <c r="K195" s="1496" t="s">
        <v>7102</v>
      </c>
      <c r="L195" s="2325">
        <v>1197</v>
      </c>
      <c r="M195" s="2196" t="s">
        <v>7103</v>
      </c>
      <c r="N195" s="1843"/>
      <c r="O195" s="1748">
        <v>3</v>
      </c>
      <c r="P195" s="1548"/>
      <c r="Q195" s="1548"/>
      <c r="R195" s="1548"/>
      <c r="S195" s="1548"/>
      <c r="T195" s="1548"/>
      <c r="U195" s="1548"/>
      <c r="V195" s="1548"/>
      <c r="W195" s="1548"/>
      <c r="X195" s="1548"/>
      <c r="Y195" s="1548"/>
      <c r="Z195" s="1548"/>
      <c r="AA195" s="1548"/>
      <c r="AB195" s="1548"/>
      <c r="AC195" s="1548"/>
      <c r="AD195" s="1548"/>
      <c r="AE195" s="1548"/>
      <c r="AF195" s="1548"/>
      <c r="AG195" s="1548"/>
      <c r="AH195" s="1548"/>
      <c r="AI195" s="1548"/>
      <c r="AJ195" s="1548"/>
      <c r="AK195" s="1548"/>
      <c r="AL195" s="1548"/>
      <c r="AM195" s="1548"/>
      <c r="AN195" s="1548"/>
      <c r="AO195" s="1548"/>
      <c r="AP195" s="1548"/>
      <c r="AQ195" s="1548"/>
      <c r="AR195" s="1548"/>
      <c r="AS195" s="1548"/>
      <c r="AT195" s="1548"/>
      <c r="AU195" s="1548"/>
      <c r="AV195" s="1548"/>
      <c r="AW195" s="1548"/>
      <c r="AX195" s="1548"/>
      <c r="AY195" s="1548"/>
      <c r="AZ195" s="1548"/>
      <c r="BA195" s="1548"/>
      <c r="BB195" s="1548"/>
      <c r="BC195" s="1548"/>
      <c r="BD195" s="1548"/>
      <c r="BE195" s="1548"/>
      <c r="BF195" s="1548"/>
      <c r="BG195" s="1548"/>
      <c r="BH195" s="1548"/>
      <c r="BI195" s="1548"/>
      <c r="BJ195" s="1548"/>
      <c r="BK195" s="1548"/>
      <c r="BL195" s="1548"/>
      <c r="BM195" s="1548"/>
      <c r="BN195" s="1548"/>
      <c r="BO195" s="1548"/>
      <c r="BP195" s="1548"/>
      <c r="BQ195" s="1548"/>
      <c r="BR195" s="1548"/>
      <c r="BS195" s="1548"/>
      <c r="BT195" s="1548"/>
      <c r="BU195" s="1548"/>
      <c r="BV195" s="1548"/>
      <c r="BW195" s="1548"/>
      <c r="BX195" s="1548"/>
      <c r="BY195" s="1548"/>
      <c r="BZ195" s="1548"/>
      <c r="CA195" s="1548"/>
      <c r="CB195" s="1548"/>
      <c r="CC195" s="1548"/>
      <c r="CD195" s="1548"/>
      <c r="CE195" s="1548"/>
      <c r="CF195" s="1548"/>
      <c r="CG195" s="1548"/>
      <c r="CH195" s="1548"/>
      <c r="CI195" s="1548"/>
      <c r="CJ195" s="1548"/>
      <c r="CK195" s="1548"/>
      <c r="CL195" s="1548"/>
      <c r="CM195" s="1548"/>
      <c r="CN195" s="1548"/>
      <c r="CO195" s="1548"/>
      <c r="CP195" s="1548"/>
      <c r="CQ195" s="1548"/>
      <c r="CR195" s="1548"/>
      <c r="CS195" s="1548"/>
      <c r="CT195" s="1548"/>
      <c r="CU195" s="1548"/>
      <c r="CV195" s="1548"/>
      <c r="CW195" s="1548"/>
      <c r="CX195" s="1548"/>
      <c r="CY195" s="1548"/>
      <c r="CZ195" s="1548"/>
      <c r="DA195" s="1548"/>
      <c r="DB195" s="1548"/>
      <c r="DC195" s="1548"/>
      <c r="DD195" s="1548"/>
      <c r="DE195" s="1548"/>
      <c r="DF195" s="1548"/>
      <c r="DG195" s="1548"/>
      <c r="DH195" s="1548"/>
      <c r="DI195" s="1548"/>
      <c r="DJ195" s="1548"/>
      <c r="DK195" s="1548"/>
      <c r="DL195" s="1548"/>
      <c r="DM195" s="1548"/>
      <c r="DN195" s="1548"/>
      <c r="DO195" s="1548"/>
      <c r="DP195" s="1548"/>
      <c r="DQ195" s="1548"/>
      <c r="DR195" s="1548"/>
      <c r="DS195" s="1548"/>
      <c r="DT195" s="1548"/>
      <c r="DU195" s="1548"/>
      <c r="DV195" s="1548"/>
      <c r="DW195" s="1548"/>
    </row>
    <row r="196" spans="1:127" s="2150" customFormat="1" ht="81" customHeight="1">
      <c r="A196" s="3773">
        <v>53</v>
      </c>
      <c r="B196" s="1921" t="str">
        <f t="shared" ref="B196:B202" si="6">TEXT(LEFT(K196,10),"0000000000")</f>
        <v>2200001908</v>
      </c>
      <c r="C196" s="1921" t="s">
        <v>3733</v>
      </c>
      <c r="D196" s="2201">
        <v>8900</v>
      </c>
      <c r="E196" s="2118" t="s">
        <v>7104</v>
      </c>
      <c r="F196" s="1921" t="s">
        <v>3401</v>
      </c>
      <c r="G196" s="1909" t="s">
        <v>4550</v>
      </c>
      <c r="H196" s="1909" t="s">
        <v>7024</v>
      </c>
      <c r="I196" s="1921" t="s">
        <v>19</v>
      </c>
      <c r="J196" s="1921" t="s">
        <v>1138</v>
      </c>
      <c r="K196" s="1845" t="s">
        <v>7105</v>
      </c>
      <c r="L196" s="2337">
        <v>141</v>
      </c>
      <c r="M196" s="2448" t="s">
        <v>5937</v>
      </c>
      <c r="N196" s="2534"/>
      <c r="O196" s="1909">
        <v>3</v>
      </c>
    </row>
    <row r="197" spans="1:127" s="1883" customFormat="1" ht="81" customHeight="1">
      <c r="A197" s="3767"/>
      <c r="B197" s="1495" t="str">
        <f t="shared" si="6"/>
        <v>2200001909</v>
      </c>
      <c r="C197" s="1495" t="s">
        <v>3733</v>
      </c>
      <c r="D197" s="2182"/>
      <c r="E197" s="1851"/>
      <c r="F197" s="1495" t="s">
        <v>3401</v>
      </c>
      <c r="G197" s="2030"/>
      <c r="H197" s="2376"/>
      <c r="I197" s="1495" t="s">
        <v>19</v>
      </c>
      <c r="J197" s="1495" t="s">
        <v>1138</v>
      </c>
      <c r="K197" s="1600" t="s">
        <v>7106</v>
      </c>
      <c r="L197" s="2299">
        <v>273</v>
      </c>
      <c r="M197" s="2448" t="s">
        <v>5953</v>
      </c>
      <c r="N197" s="2535"/>
      <c r="O197" s="2102">
        <v>3</v>
      </c>
    </row>
    <row r="198" spans="1:127" s="1883" customFormat="1" ht="81" customHeight="1">
      <c r="A198" s="3767"/>
      <c r="B198" s="1495" t="str">
        <f t="shared" si="6"/>
        <v>2200001910</v>
      </c>
      <c r="C198" s="1495" t="s">
        <v>3733</v>
      </c>
      <c r="D198" s="2182"/>
      <c r="E198" s="1851"/>
      <c r="F198" s="1495" t="s">
        <v>3401</v>
      </c>
      <c r="G198" s="2030"/>
      <c r="H198" s="2376"/>
      <c r="I198" s="1495" t="s">
        <v>19</v>
      </c>
      <c r="J198" s="1495" t="s">
        <v>1138</v>
      </c>
      <c r="K198" s="1600" t="s">
        <v>7107</v>
      </c>
      <c r="L198" s="2299">
        <v>467</v>
      </c>
      <c r="M198" s="2448" t="s">
        <v>5953</v>
      </c>
      <c r="N198" s="2535"/>
      <c r="O198" s="2102">
        <v>3</v>
      </c>
    </row>
    <row r="199" spans="1:127" s="1883" customFormat="1" ht="81" customHeight="1">
      <c r="A199" s="3767"/>
      <c r="B199" s="1495" t="str">
        <f t="shared" si="6"/>
        <v>2200001906</v>
      </c>
      <c r="C199" s="1495" t="s">
        <v>3733</v>
      </c>
      <c r="D199" s="2182"/>
      <c r="E199" s="1851"/>
      <c r="F199" s="1495" t="s">
        <v>3401</v>
      </c>
      <c r="G199" s="2030"/>
      <c r="H199" s="2376"/>
      <c r="I199" s="1495" t="s">
        <v>19</v>
      </c>
      <c r="J199" s="1495" t="s">
        <v>1138</v>
      </c>
      <c r="K199" s="1600" t="s">
        <v>6296</v>
      </c>
      <c r="L199" s="2299">
        <v>2500</v>
      </c>
      <c r="M199" s="2448" t="s">
        <v>5953</v>
      </c>
      <c r="N199" s="2535" t="s">
        <v>7108</v>
      </c>
      <c r="O199" s="2102">
        <v>3</v>
      </c>
    </row>
    <row r="200" spans="1:127" s="1883" customFormat="1" ht="81" customHeight="1">
      <c r="A200" s="3767"/>
      <c r="B200" s="1495" t="str">
        <f t="shared" si="6"/>
        <v>2000002743</v>
      </c>
      <c r="C200" s="1495" t="s">
        <v>3733</v>
      </c>
      <c r="D200" s="2182"/>
      <c r="E200" s="1851"/>
      <c r="F200" s="1495" t="s">
        <v>3401</v>
      </c>
      <c r="G200" s="1851"/>
      <c r="H200" s="1947"/>
      <c r="I200" s="1495" t="s">
        <v>19</v>
      </c>
      <c r="J200" s="1495" t="s">
        <v>1138</v>
      </c>
      <c r="K200" s="1600" t="s">
        <v>7109</v>
      </c>
      <c r="L200" s="2299">
        <v>4910</v>
      </c>
      <c r="M200" s="2196" t="s">
        <v>5937</v>
      </c>
      <c r="N200" s="2131"/>
      <c r="O200" s="2102">
        <v>3</v>
      </c>
    </row>
    <row r="201" spans="1:127" s="1883" customFormat="1" ht="81" customHeight="1">
      <c r="A201" s="3768"/>
      <c r="B201" s="1495" t="str">
        <f t="shared" si="6"/>
        <v>2200001903</v>
      </c>
      <c r="C201" s="1495" t="s">
        <v>3733</v>
      </c>
      <c r="D201" s="2182"/>
      <c r="E201" s="1851"/>
      <c r="F201" s="1495" t="s">
        <v>3401</v>
      </c>
      <c r="G201" s="1851"/>
      <c r="H201" s="1947"/>
      <c r="I201" s="1495" t="s">
        <v>19</v>
      </c>
      <c r="J201" s="1495" t="s">
        <v>1138</v>
      </c>
      <c r="K201" s="1628" t="s">
        <v>7110</v>
      </c>
      <c r="L201" s="2368">
        <v>614</v>
      </c>
      <c r="M201" s="2536" t="s">
        <v>7111</v>
      </c>
      <c r="N201" s="2131"/>
      <c r="O201" s="2102">
        <v>3</v>
      </c>
    </row>
    <row r="202" spans="1:127" s="1883" customFormat="1" ht="81" customHeight="1">
      <c r="A202" s="3783">
        <v>54</v>
      </c>
      <c r="B202" s="1921" t="str">
        <f t="shared" si="6"/>
        <v>2000002754</v>
      </c>
      <c r="C202" s="1921" t="s">
        <v>3460</v>
      </c>
      <c r="D202" s="2461">
        <v>4000</v>
      </c>
      <c r="E202" s="1921" t="s">
        <v>7112</v>
      </c>
      <c r="F202" s="1921" t="s">
        <v>61</v>
      </c>
      <c r="G202" s="1921" t="s">
        <v>7113</v>
      </c>
      <c r="H202" s="1909" t="s">
        <v>7024</v>
      </c>
      <c r="I202" s="1921" t="s">
        <v>19</v>
      </c>
      <c r="J202" s="1921" t="s">
        <v>74</v>
      </c>
      <c r="K202" s="2194" t="s">
        <v>7114</v>
      </c>
      <c r="L202" s="2337">
        <v>400</v>
      </c>
      <c r="M202" s="1909" t="s">
        <v>7115</v>
      </c>
      <c r="N202" s="2515"/>
      <c r="O202" s="1909">
        <v>3</v>
      </c>
      <c r="P202" s="2150"/>
      <c r="Q202" s="2150"/>
      <c r="R202" s="2150"/>
      <c r="S202" s="2150"/>
      <c r="T202" s="2150"/>
      <c r="U202" s="2150"/>
      <c r="V202" s="2150"/>
      <c r="W202" s="2150"/>
      <c r="X202" s="2150"/>
      <c r="Y202" s="2150"/>
      <c r="Z202" s="2150"/>
      <c r="AA202" s="2150"/>
      <c r="AB202" s="2150"/>
      <c r="AC202" s="2150"/>
      <c r="AD202" s="2150"/>
      <c r="AE202" s="2150"/>
      <c r="AF202" s="2150"/>
      <c r="AG202" s="2150"/>
      <c r="AH202" s="2150"/>
      <c r="AI202" s="2150"/>
      <c r="AJ202" s="2150"/>
      <c r="AK202" s="2150"/>
      <c r="AL202" s="2150"/>
      <c r="AM202" s="2150"/>
      <c r="AN202" s="2150"/>
      <c r="AO202" s="2150"/>
      <c r="AP202" s="2150"/>
      <c r="AQ202" s="2150"/>
      <c r="AR202" s="2150"/>
      <c r="AS202" s="2150"/>
      <c r="AT202" s="2150"/>
      <c r="AU202" s="2150"/>
      <c r="AV202" s="2150"/>
      <c r="AW202" s="2150"/>
      <c r="AX202" s="2150"/>
      <c r="AY202" s="2150"/>
      <c r="AZ202" s="2150"/>
      <c r="BA202" s="2150"/>
      <c r="BB202" s="2150"/>
      <c r="BC202" s="2150"/>
      <c r="BD202" s="2150"/>
      <c r="BE202" s="2150"/>
      <c r="BF202" s="2150"/>
      <c r="BG202" s="2150"/>
      <c r="BH202" s="2150"/>
      <c r="BI202" s="2150"/>
      <c r="BJ202" s="2150"/>
      <c r="BK202" s="2150"/>
      <c r="BL202" s="2150"/>
      <c r="BM202" s="2150"/>
      <c r="BN202" s="2150"/>
      <c r="BO202" s="2150"/>
      <c r="BP202" s="2150"/>
      <c r="BQ202" s="2150"/>
      <c r="BR202" s="2150"/>
      <c r="BS202" s="2150"/>
      <c r="BT202" s="2150"/>
      <c r="BU202" s="2150"/>
      <c r="BV202" s="2150"/>
      <c r="BW202" s="2150"/>
      <c r="BX202" s="2150"/>
      <c r="BY202" s="2150"/>
      <c r="BZ202" s="2150"/>
      <c r="CA202" s="2150"/>
      <c r="CB202" s="2150"/>
      <c r="CC202" s="2150"/>
      <c r="CD202" s="2150"/>
      <c r="CE202" s="2150"/>
      <c r="CF202" s="2150"/>
      <c r="CG202" s="2150"/>
      <c r="CH202" s="2150"/>
      <c r="CI202" s="2150"/>
      <c r="CJ202" s="2150"/>
      <c r="CK202" s="2150"/>
      <c r="CL202" s="2150"/>
      <c r="CM202" s="2150"/>
      <c r="CN202" s="2150"/>
      <c r="CO202" s="2150"/>
      <c r="CP202" s="2150"/>
      <c r="CQ202" s="2150"/>
      <c r="CR202" s="2150"/>
      <c r="CS202" s="2150"/>
      <c r="CT202" s="2150"/>
      <c r="CU202" s="2150"/>
      <c r="CV202" s="2150"/>
      <c r="CW202" s="2150"/>
      <c r="CX202" s="2150"/>
      <c r="CY202" s="2150"/>
      <c r="CZ202" s="2150"/>
      <c r="DA202" s="2150"/>
      <c r="DB202" s="2150"/>
      <c r="DC202" s="2150"/>
      <c r="DD202" s="2150"/>
      <c r="DE202" s="2150"/>
      <c r="DF202" s="2150"/>
      <c r="DG202" s="2150"/>
      <c r="DH202" s="2150"/>
      <c r="DI202" s="2150"/>
      <c r="DJ202" s="2150"/>
      <c r="DK202" s="2150"/>
      <c r="DL202" s="2150"/>
      <c r="DM202" s="2150"/>
      <c r="DN202" s="2150"/>
      <c r="DO202" s="2150"/>
      <c r="DP202" s="2150"/>
      <c r="DQ202" s="2150"/>
      <c r="DR202" s="2150"/>
      <c r="DS202" s="2150"/>
      <c r="DT202" s="2150"/>
      <c r="DU202" s="2150"/>
      <c r="DV202" s="2150"/>
      <c r="DW202" s="2150"/>
    </row>
    <row r="203" spans="1:127" s="1945" customFormat="1" ht="204.75" customHeight="1">
      <c r="A203" s="3784"/>
      <c r="B203" s="1543" t="str">
        <f t="shared" ref="B203:B204" si="7">TEXT(LEFT(K203,10),"0000000000")</f>
        <v>2000002750</v>
      </c>
      <c r="C203" s="1543" t="s">
        <v>3460</v>
      </c>
      <c r="D203" s="2516"/>
      <c r="E203" s="1543"/>
      <c r="F203" s="1543" t="s">
        <v>61</v>
      </c>
      <c r="G203" s="1543"/>
      <c r="H203" s="2051"/>
      <c r="I203" s="1543" t="s">
        <v>19</v>
      </c>
      <c r="J203" s="1543" t="s">
        <v>74</v>
      </c>
      <c r="K203" s="1546" t="s">
        <v>7116</v>
      </c>
      <c r="L203" s="2517">
        <v>2900</v>
      </c>
      <c r="M203" s="2518" t="s">
        <v>5937</v>
      </c>
      <c r="N203" s="2519"/>
      <c r="O203" s="2051">
        <v>3</v>
      </c>
      <c r="P203" s="1559"/>
      <c r="Q203" s="1559"/>
      <c r="R203" s="1559"/>
      <c r="S203" s="1559"/>
      <c r="T203" s="1559"/>
      <c r="U203" s="1559"/>
      <c r="V203" s="1559"/>
      <c r="W203" s="1559"/>
      <c r="X203" s="1559"/>
      <c r="Y203" s="1559"/>
      <c r="Z203" s="1559"/>
      <c r="AA203" s="1559"/>
      <c r="AB203" s="1559"/>
      <c r="AC203" s="1559"/>
      <c r="AD203" s="1559"/>
      <c r="AE203" s="1559"/>
      <c r="AF203" s="1559"/>
      <c r="AG203" s="1559"/>
      <c r="AH203" s="1559"/>
      <c r="AI203" s="1559"/>
      <c r="AJ203" s="1559"/>
      <c r="AK203" s="1559"/>
      <c r="AL203" s="1559"/>
      <c r="AM203" s="1559"/>
      <c r="AN203" s="1559"/>
      <c r="AO203" s="1559"/>
      <c r="AP203" s="1559"/>
      <c r="AQ203" s="1559"/>
      <c r="AR203" s="1559"/>
      <c r="AS203" s="1559"/>
      <c r="AT203" s="1559"/>
      <c r="AU203" s="1559"/>
      <c r="AV203" s="1559"/>
      <c r="AW203" s="1559"/>
      <c r="AX203" s="1559"/>
      <c r="AY203" s="1559"/>
      <c r="AZ203" s="1559"/>
      <c r="BA203" s="1559"/>
      <c r="BB203" s="1559"/>
      <c r="BC203" s="1559"/>
      <c r="BD203" s="1559"/>
      <c r="BE203" s="1559"/>
      <c r="BF203" s="1559"/>
      <c r="BG203" s="1559"/>
      <c r="BH203" s="1559"/>
      <c r="BI203" s="1559"/>
      <c r="BJ203" s="1559"/>
      <c r="BK203" s="1559"/>
      <c r="BL203" s="1559"/>
      <c r="BM203" s="1559"/>
      <c r="BN203" s="1559"/>
      <c r="BO203" s="1559"/>
      <c r="BP203" s="1559"/>
      <c r="BQ203" s="1559"/>
      <c r="BR203" s="1559"/>
      <c r="BS203" s="1559"/>
      <c r="BT203" s="1559"/>
      <c r="BU203" s="1559"/>
      <c r="BV203" s="1559"/>
      <c r="BW203" s="1559"/>
      <c r="BX203" s="1559"/>
      <c r="BY203" s="1559"/>
      <c r="BZ203" s="1559"/>
      <c r="CA203" s="1559"/>
      <c r="CB203" s="1559"/>
      <c r="CC203" s="1559"/>
      <c r="CD203" s="1559"/>
      <c r="CE203" s="1559"/>
      <c r="CF203" s="1559"/>
      <c r="CG203" s="1559"/>
      <c r="CH203" s="1559"/>
      <c r="CI203" s="1559"/>
      <c r="CJ203" s="1559"/>
      <c r="CK203" s="1559"/>
      <c r="CL203" s="1559"/>
      <c r="CM203" s="1559"/>
      <c r="CN203" s="1559"/>
      <c r="CO203" s="1559"/>
      <c r="CP203" s="1559"/>
      <c r="CQ203" s="1559"/>
      <c r="CR203" s="1559"/>
      <c r="CS203" s="1559"/>
      <c r="CT203" s="1559"/>
      <c r="CU203" s="1559"/>
      <c r="CV203" s="1559"/>
      <c r="CW203" s="1559"/>
      <c r="CX203" s="1559"/>
      <c r="CY203" s="1559"/>
      <c r="CZ203" s="1559"/>
      <c r="DA203" s="1559"/>
      <c r="DB203" s="1559"/>
      <c r="DC203" s="1559"/>
      <c r="DD203" s="1559"/>
      <c r="DE203" s="1559"/>
      <c r="DF203" s="1559"/>
      <c r="DG203" s="1559"/>
      <c r="DH203" s="1559"/>
      <c r="DI203" s="1559"/>
      <c r="DJ203" s="1559"/>
      <c r="DK203" s="1559"/>
      <c r="DL203" s="1559"/>
      <c r="DM203" s="1559"/>
      <c r="DN203" s="1559"/>
      <c r="DO203" s="1559"/>
      <c r="DP203" s="1559"/>
      <c r="DQ203" s="1559"/>
      <c r="DR203" s="1559"/>
      <c r="DS203" s="1559"/>
      <c r="DT203" s="1559"/>
      <c r="DU203" s="1559"/>
      <c r="DV203" s="1559"/>
      <c r="DW203" s="1559"/>
    </row>
    <row r="204" spans="1:127" s="1548" customFormat="1" ht="81" customHeight="1">
      <c r="A204" s="3785"/>
      <c r="B204" s="1495" t="str">
        <f t="shared" si="7"/>
        <v>2200001915</v>
      </c>
      <c r="C204" s="1495" t="s">
        <v>3460</v>
      </c>
      <c r="D204" s="2463"/>
      <c r="E204" s="1495"/>
      <c r="F204" s="1495" t="s">
        <v>61</v>
      </c>
      <c r="G204" s="1495"/>
      <c r="H204" s="1748"/>
      <c r="I204" s="1495" t="s">
        <v>19</v>
      </c>
      <c r="J204" s="1495" t="s">
        <v>101</v>
      </c>
      <c r="K204" s="1496" t="s">
        <v>7117</v>
      </c>
      <c r="L204" s="2299">
        <v>647</v>
      </c>
      <c r="M204" s="1748" t="s">
        <v>7118</v>
      </c>
      <c r="N204" s="2520"/>
      <c r="O204" s="1748">
        <v>3</v>
      </c>
    </row>
    <row r="205" spans="1:127" s="1883" customFormat="1" ht="72.75" customHeight="1">
      <c r="A205" s="3773">
        <v>55</v>
      </c>
      <c r="B205" s="2118" t="str">
        <f>TEXT(LEFT(K205,10),"0000000000")</f>
        <v>2000002733</v>
      </c>
      <c r="C205" s="1851" t="s">
        <v>3708</v>
      </c>
      <c r="D205" s="2453">
        <v>5900</v>
      </c>
      <c r="E205" s="2118" t="s">
        <v>7078</v>
      </c>
      <c r="F205" s="2118" t="s">
        <v>3401</v>
      </c>
      <c r="G205" s="2118" t="s">
        <v>7119</v>
      </c>
      <c r="H205" s="1632" t="s">
        <v>7024</v>
      </c>
      <c r="I205" s="2354" t="s">
        <v>19</v>
      </c>
      <c r="J205" s="2120" t="s">
        <v>63</v>
      </c>
      <c r="K205" s="2402" t="s">
        <v>7120</v>
      </c>
      <c r="L205" s="2489">
        <v>937</v>
      </c>
      <c r="M205" s="1632" t="s">
        <v>7121</v>
      </c>
      <c r="N205" s="2130"/>
      <c r="O205" s="2102">
        <v>3</v>
      </c>
    </row>
    <row r="206" spans="1:127" s="1883" customFormat="1" ht="60.75" customHeight="1">
      <c r="A206" s="3767"/>
      <c r="B206" s="1851" t="str">
        <f>TEXT(LEFT(K206,10),"0000000000")</f>
        <v>2200001898</v>
      </c>
      <c r="C206" s="1851" t="s">
        <v>3708</v>
      </c>
      <c r="D206" s="2203"/>
      <c r="E206" s="1872"/>
      <c r="F206" s="1495" t="s">
        <v>3401</v>
      </c>
      <c r="G206" s="2159"/>
      <c r="H206" s="2159"/>
      <c r="I206" s="2374" t="s">
        <v>19</v>
      </c>
      <c r="J206" s="1872" t="s">
        <v>63</v>
      </c>
      <c r="K206" s="1628" t="s">
        <v>7122</v>
      </c>
      <c r="L206" s="2368">
        <v>258</v>
      </c>
      <c r="M206" s="2448" t="s">
        <v>5953</v>
      </c>
      <c r="N206" s="2130"/>
      <c r="O206" s="2102">
        <v>3</v>
      </c>
      <c r="Q206" s="1982"/>
    </row>
    <row r="207" spans="1:127" s="1883" customFormat="1" ht="60.75" customHeight="1">
      <c r="A207" s="3767"/>
      <c r="B207" s="1875" t="str">
        <f>TEXT(LEFT(K207,10),"0000000000")</f>
        <v>2200001907</v>
      </c>
      <c r="C207" s="1875" t="s">
        <v>3708</v>
      </c>
      <c r="D207" s="2545"/>
      <c r="E207" s="2028"/>
      <c r="F207" s="1543" t="s">
        <v>3401</v>
      </c>
      <c r="G207" s="2420"/>
      <c r="H207" s="2420"/>
      <c r="I207" s="2546" t="s">
        <v>19</v>
      </c>
      <c r="J207" s="2028" t="s">
        <v>63</v>
      </c>
      <c r="K207" s="1988" t="s">
        <v>7123</v>
      </c>
      <c r="L207" s="2490">
        <v>46</v>
      </c>
      <c r="M207" s="2448" t="s">
        <v>5953</v>
      </c>
      <c r="N207" s="2393"/>
      <c r="O207" s="2102">
        <v>3</v>
      </c>
      <c r="Q207" s="1982"/>
    </row>
    <row r="208" spans="1:127" s="1945" customFormat="1" ht="60.75" customHeight="1">
      <c r="A208" s="3788"/>
      <c r="B208" s="1495" t="str">
        <f t="shared" ref="B208:B210" si="8">TEXT(LEFT(K208,10),"0000000000")</f>
        <v>2200001912</v>
      </c>
      <c r="C208" s="1495" t="s">
        <v>3708</v>
      </c>
      <c r="D208" s="2203"/>
      <c r="E208" s="1495"/>
      <c r="F208" s="1495" t="s">
        <v>3401</v>
      </c>
      <c r="G208" s="1921"/>
      <c r="H208" s="1921"/>
      <c r="I208" s="1495" t="s">
        <v>19</v>
      </c>
      <c r="J208" s="1495" t="s">
        <v>63</v>
      </c>
      <c r="K208" s="2701" t="s">
        <v>7124</v>
      </c>
      <c r="L208" s="2299">
        <v>65</v>
      </c>
      <c r="M208" s="2205" t="s">
        <v>7125</v>
      </c>
      <c r="N208" s="1862"/>
      <c r="O208" s="2057"/>
      <c r="Q208" s="1985"/>
    </row>
    <row r="209" spans="1:127" s="1945" customFormat="1" ht="60.75" customHeight="1">
      <c r="A209" s="3788"/>
      <c r="B209" s="1495" t="str">
        <f t="shared" si="8"/>
        <v>2000002705</v>
      </c>
      <c r="C209" s="1495" t="s">
        <v>3708</v>
      </c>
      <c r="D209" s="2203"/>
      <c r="E209" s="1495"/>
      <c r="F209" s="1495" t="s">
        <v>3401</v>
      </c>
      <c r="G209" s="1921"/>
      <c r="H209" s="1921"/>
      <c r="I209" s="1495" t="s">
        <v>19</v>
      </c>
      <c r="J209" s="1495" t="s">
        <v>123</v>
      </c>
      <c r="K209" s="2141" t="s">
        <v>7126</v>
      </c>
      <c r="L209" s="2490">
        <v>1500</v>
      </c>
      <c r="M209" s="2518" t="s">
        <v>7127</v>
      </c>
      <c r="N209" s="2393"/>
      <c r="O209" s="2053">
        <v>3</v>
      </c>
      <c r="Q209" s="1985"/>
    </row>
    <row r="210" spans="1:127" s="2150" customFormat="1" ht="81" customHeight="1">
      <c r="A210" s="3787"/>
      <c r="B210" s="1495" t="str">
        <f t="shared" si="8"/>
        <v>2000002744</v>
      </c>
      <c r="C210" s="1495" t="s">
        <v>3708</v>
      </c>
      <c r="D210" s="2203"/>
      <c r="E210" s="1495"/>
      <c r="F210" s="1495" t="s">
        <v>3401</v>
      </c>
      <c r="G210" s="1495"/>
      <c r="H210" s="1495"/>
      <c r="I210" s="1495" t="s">
        <v>19</v>
      </c>
      <c r="J210" s="1495" t="s">
        <v>5325</v>
      </c>
      <c r="K210" s="1886" t="s">
        <v>7128</v>
      </c>
      <c r="L210" s="2299">
        <v>3200</v>
      </c>
      <c r="M210" s="2196" t="s">
        <v>5937</v>
      </c>
      <c r="N210" s="1843"/>
      <c r="O210" s="1748">
        <v>3</v>
      </c>
      <c r="P210" s="1548"/>
      <c r="Q210" s="1548"/>
      <c r="R210" s="1548"/>
      <c r="S210" s="1548"/>
      <c r="T210" s="1548"/>
      <c r="U210" s="1548"/>
      <c r="V210" s="1548"/>
      <c r="W210" s="1548"/>
      <c r="X210" s="1548"/>
      <c r="Y210" s="1548"/>
      <c r="Z210" s="1548"/>
      <c r="AA210" s="1548"/>
      <c r="AB210" s="1548"/>
      <c r="AC210" s="1548"/>
      <c r="AD210" s="1548"/>
      <c r="AE210" s="1548"/>
      <c r="AF210" s="1548"/>
      <c r="AG210" s="1548"/>
      <c r="AH210" s="1548"/>
      <c r="AI210" s="1548"/>
      <c r="AJ210" s="1548"/>
      <c r="AK210" s="1548"/>
      <c r="AL210" s="1548"/>
      <c r="AM210" s="1548"/>
      <c r="AN210" s="1548"/>
      <c r="AO210" s="1548"/>
      <c r="AP210" s="1548"/>
      <c r="AQ210" s="1548"/>
      <c r="AR210" s="1548"/>
      <c r="AS210" s="1548"/>
      <c r="AT210" s="1548"/>
      <c r="AU210" s="1548"/>
      <c r="AV210" s="1548"/>
      <c r="AW210" s="1548"/>
      <c r="AX210" s="1548"/>
      <c r="AY210" s="1548"/>
      <c r="AZ210" s="1548"/>
      <c r="BA210" s="1548"/>
      <c r="BB210" s="1548"/>
      <c r="BC210" s="1548"/>
      <c r="BD210" s="1548"/>
      <c r="BE210" s="1548"/>
      <c r="BF210" s="1548"/>
      <c r="BG210" s="1548"/>
      <c r="BH210" s="1548"/>
      <c r="BI210" s="1548"/>
      <c r="BJ210" s="1548"/>
      <c r="BK210" s="1548"/>
      <c r="BL210" s="1548"/>
      <c r="BM210" s="1548"/>
      <c r="BN210" s="1548"/>
      <c r="BO210" s="1548"/>
      <c r="BP210" s="1548"/>
      <c r="BQ210" s="1548"/>
      <c r="BR210" s="1548"/>
      <c r="BS210" s="1548"/>
      <c r="BT210" s="1548"/>
      <c r="BU210" s="1548"/>
      <c r="BV210" s="1548"/>
      <c r="BW210" s="1548"/>
      <c r="BX210" s="1548"/>
      <c r="BY210" s="1548"/>
      <c r="BZ210" s="1548"/>
      <c r="CA210" s="1548"/>
      <c r="CB210" s="1548"/>
      <c r="CC210" s="1548"/>
      <c r="CD210" s="1548"/>
      <c r="CE210" s="1548"/>
      <c r="CF210" s="1548"/>
      <c r="CG210" s="1548"/>
      <c r="CH210" s="1548"/>
      <c r="CI210" s="1548"/>
      <c r="CJ210" s="1548"/>
      <c r="CK210" s="1548"/>
      <c r="CL210" s="1548"/>
      <c r="CM210" s="1548"/>
      <c r="CN210" s="1548"/>
      <c r="CO210" s="1548"/>
      <c r="CP210" s="1548"/>
      <c r="CQ210" s="1548"/>
      <c r="CR210" s="1548"/>
      <c r="CS210" s="1548"/>
      <c r="CT210" s="1548"/>
      <c r="CU210" s="1548"/>
      <c r="CV210" s="1548"/>
      <c r="CW210" s="1548"/>
      <c r="CX210" s="1548"/>
      <c r="CY210" s="1548"/>
      <c r="CZ210" s="1548"/>
      <c r="DA210" s="1548"/>
      <c r="DB210" s="1548"/>
      <c r="DC210" s="1548"/>
      <c r="DD210" s="1548"/>
      <c r="DE210" s="1548"/>
      <c r="DF210" s="1548"/>
      <c r="DG210" s="1548"/>
      <c r="DH210" s="1548"/>
      <c r="DI210" s="1548"/>
      <c r="DJ210" s="1548"/>
      <c r="DK210" s="1548"/>
      <c r="DL210" s="1548"/>
      <c r="DM210" s="1548"/>
      <c r="DN210" s="1548"/>
      <c r="DO210" s="1548"/>
      <c r="DP210" s="1548"/>
      <c r="DQ210" s="1548"/>
      <c r="DR210" s="1548"/>
      <c r="DS210" s="1548"/>
      <c r="DT210" s="1548"/>
      <c r="DU210" s="1548"/>
      <c r="DV210" s="1548"/>
      <c r="DW210" s="1548"/>
    </row>
    <row r="211" spans="1:127" s="2122" customFormat="1" ht="81" customHeight="1">
      <c r="A211" s="2270">
        <v>56</v>
      </c>
      <c r="B211" s="2118" t="str">
        <f t="shared" ref="B211:B228" si="9">TEXT(LEFT(K211,10),"0000000000")</f>
        <v>2400001095</v>
      </c>
      <c r="C211" s="2118" t="s">
        <v>7129</v>
      </c>
      <c r="D211" s="2453">
        <f>L211</f>
        <v>225</v>
      </c>
      <c r="E211" s="2547" t="s">
        <v>7051</v>
      </c>
      <c r="F211" s="2118" t="s">
        <v>25</v>
      </c>
      <c r="G211" s="2118" t="s">
        <v>7130</v>
      </c>
      <c r="H211" s="1632" t="s">
        <v>7024</v>
      </c>
      <c r="I211" s="2118" t="s">
        <v>19</v>
      </c>
      <c r="J211" s="2118" t="s">
        <v>7131</v>
      </c>
      <c r="K211" s="2161" t="s">
        <v>7132</v>
      </c>
      <c r="L211" s="2548">
        <v>225</v>
      </c>
      <c r="M211" s="2447" t="s">
        <v>5937</v>
      </c>
      <c r="N211" s="2549"/>
      <c r="O211" s="1632">
        <v>3</v>
      </c>
    </row>
    <row r="212" spans="1:127" s="2122" customFormat="1" ht="81" customHeight="1">
      <c r="A212" s="3773">
        <v>57</v>
      </c>
      <c r="B212" s="1921" t="str">
        <f t="shared" si="9"/>
        <v>2200001911</v>
      </c>
      <c r="C212" s="1921" t="s">
        <v>211</v>
      </c>
      <c r="D212" s="2537">
        <v>4000</v>
      </c>
      <c r="E212" s="2187" t="s">
        <v>7133</v>
      </c>
      <c r="F212" s="1921" t="s">
        <v>61</v>
      </c>
      <c r="G212" s="2187" t="s">
        <v>7134</v>
      </c>
      <c r="H212" s="2261" t="s">
        <v>7135</v>
      </c>
      <c r="I212" s="1921" t="s">
        <v>19</v>
      </c>
      <c r="J212" s="1921" t="s">
        <v>1138</v>
      </c>
      <c r="K212" s="2695" t="s">
        <v>7136</v>
      </c>
      <c r="L212" s="2538">
        <v>3010</v>
      </c>
      <c r="M212" s="2261" t="s">
        <v>7137</v>
      </c>
      <c r="N212" s="2487"/>
      <c r="O212" s="2051">
        <v>1</v>
      </c>
      <c r="P212" s="2127"/>
      <c r="Q212" s="2127"/>
      <c r="R212" s="2127"/>
      <c r="S212" s="2127"/>
      <c r="T212" s="2127"/>
      <c r="U212" s="2127"/>
      <c r="V212" s="2127"/>
      <c r="W212" s="2127"/>
      <c r="X212" s="2127"/>
      <c r="Y212" s="2127"/>
      <c r="Z212" s="2127"/>
      <c r="AA212" s="2127"/>
      <c r="AB212" s="2127"/>
      <c r="AC212" s="2127"/>
      <c r="AD212" s="2127"/>
      <c r="AE212" s="2127"/>
      <c r="AF212" s="2127"/>
      <c r="AG212" s="2127"/>
      <c r="AH212" s="2127"/>
      <c r="AI212" s="2127"/>
      <c r="AJ212" s="2127"/>
      <c r="AK212" s="2127"/>
      <c r="AL212" s="2127"/>
      <c r="AM212" s="2127"/>
      <c r="AN212" s="2127"/>
      <c r="AO212" s="2127"/>
      <c r="AP212" s="2127"/>
      <c r="AQ212" s="2127"/>
      <c r="AR212" s="2127"/>
      <c r="AS212" s="2127"/>
      <c r="AT212" s="2127"/>
      <c r="AU212" s="2127"/>
      <c r="AV212" s="2127"/>
      <c r="AW212" s="2127"/>
      <c r="AX212" s="2127"/>
      <c r="AY212" s="2127"/>
      <c r="AZ212" s="2127"/>
      <c r="BA212" s="2127"/>
      <c r="BB212" s="2127"/>
      <c r="BC212" s="2127"/>
      <c r="BD212" s="2127"/>
      <c r="BE212" s="2127"/>
      <c r="BF212" s="2127"/>
      <c r="BG212" s="2127"/>
      <c r="BH212" s="2127"/>
      <c r="BI212" s="2127"/>
      <c r="BJ212" s="2127"/>
      <c r="BK212" s="2127"/>
      <c r="BL212" s="2127"/>
      <c r="BM212" s="2127"/>
      <c r="BN212" s="2127"/>
      <c r="BO212" s="2127"/>
      <c r="BP212" s="2127"/>
      <c r="BQ212" s="2127"/>
      <c r="BR212" s="2127"/>
      <c r="BS212" s="2127"/>
      <c r="BT212" s="2127"/>
      <c r="BU212" s="2127"/>
      <c r="BV212" s="2127"/>
      <c r="BW212" s="2127"/>
      <c r="BX212" s="2127"/>
      <c r="BY212" s="2127"/>
      <c r="BZ212" s="2127"/>
      <c r="CA212" s="2127"/>
      <c r="CB212" s="2127"/>
      <c r="CC212" s="2127"/>
      <c r="CD212" s="2127"/>
      <c r="CE212" s="2127"/>
      <c r="CF212" s="2127"/>
      <c r="CG212" s="2127"/>
      <c r="CH212" s="2127"/>
      <c r="CI212" s="2127"/>
      <c r="CJ212" s="2127"/>
      <c r="CK212" s="2127"/>
      <c r="CL212" s="2127"/>
      <c r="CM212" s="2127"/>
      <c r="CN212" s="2127"/>
      <c r="CO212" s="2127"/>
      <c r="CP212" s="2127"/>
      <c r="CQ212" s="2127"/>
      <c r="CR212" s="2127"/>
      <c r="CS212" s="2127"/>
      <c r="CT212" s="2127"/>
      <c r="CU212" s="2127"/>
      <c r="CV212" s="2127"/>
      <c r="CW212" s="2127"/>
      <c r="CX212" s="2127"/>
      <c r="CY212" s="2127"/>
      <c r="CZ212" s="2127"/>
      <c r="DA212" s="2127"/>
      <c r="DB212" s="2127"/>
      <c r="DC212" s="2127"/>
      <c r="DD212" s="2127"/>
      <c r="DE212" s="2127"/>
      <c r="DF212" s="2127"/>
      <c r="DG212" s="2127"/>
      <c r="DH212" s="2127"/>
      <c r="DI212" s="2127"/>
      <c r="DJ212" s="2127"/>
      <c r="DK212" s="2127"/>
      <c r="DL212" s="2127"/>
      <c r="DM212" s="2127"/>
      <c r="DN212" s="2127"/>
      <c r="DO212" s="2127"/>
      <c r="DP212" s="2127"/>
      <c r="DQ212" s="2127"/>
      <c r="DR212" s="2127"/>
      <c r="DS212" s="2127"/>
      <c r="DT212" s="2127"/>
      <c r="DU212" s="2127"/>
      <c r="DV212" s="2127"/>
      <c r="DW212" s="2127"/>
    </row>
    <row r="213" spans="1:127" s="2122" customFormat="1" ht="81" customHeight="1">
      <c r="A213" s="3767"/>
      <c r="B213" s="1495" t="str">
        <f t="shared" si="9"/>
        <v>2200001913</v>
      </c>
      <c r="C213" s="1495" t="s">
        <v>211</v>
      </c>
      <c r="D213" s="2539"/>
      <c r="E213" s="1543"/>
      <c r="F213" s="1495" t="s">
        <v>61</v>
      </c>
      <c r="G213" s="1543"/>
      <c r="H213" s="1543"/>
      <c r="I213" s="1495" t="s">
        <v>19</v>
      </c>
      <c r="J213" s="1773" t="s">
        <v>1138</v>
      </c>
      <c r="K213" s="1546" t="s">
        <v>7138</v>
      </c>
      <c r="L213" s="2517">
        <v>535</v>
      </c>
      <c r="M213" s="2051" t="s">
        <v>7139</v>
      </c>
      <c r="N213" s="2524"/>
      <c r="O213" s="2051">
        <v>1</v>
      </c>
      <c r="P213" s="1559"/>
      <c r="Q213" s="1559"/>
      <c r="R213" s="1559"/>
      <c r="S213" s="1559"/>
      <c r="T213" s="1559"/>
      <c r="U213" s="1559"/>
      <c r="V213" s="1559"/>
      <c r="W213" s="1559"/>
      <c r="X213" s="1559"/>
      <c r="Y213" s="1559"/>
      <c r="Z213" s="1559"/>
      <c r="AA213" s="1559"/>
      <c r="AB213" s="1559"/>
      <c r="AC213" s="1559"/>
      <c r="AD213" s="1559"/>
      <c r="AE213" s="1559"/>
      <c r="AF213" s="1559"/>
      <c r="AG213" s="1559"/>
      <c r="AH213" s="1559"/>
      <c r="AI213" s="1559"/>
      <c r="AJ213" s="1559"/>
      <c r="AK213" s="1559"/>
      <c r="AL213" s="1559"/>
      <c r="AM213" s="1559"/>
      <c r="AN213" s="1559"/>
      <c r="AO213" s="1559"/>
      <c r="AP213" s="1559"/>
      <c r="AQ213" s="1559"/>
      <c r="AR213" s="1559"/>
      <c r="AS213" s="1559"/>
      <c r="AT213" s="1559"/>
      <c r="AU213" s="1559"/>
      <c r="AV213" s="1559"/>
      <c r="AW213" s="1559"/>
      <c r="AX213" s="1559"/>
      <c r="AY213" s="1559"/>
      <c r="AZ213" s="1559"/>
      <c r="BA213" s="1559"/>
      <c r="BB213" s="1559"/>
      <c r="BC213" s="1559"/>
      <c r="BD213" s="1559"/>
      <c r="BE213" s="1559"/>
      <c r="BF213" s="1559"/>
      <c r="BG213" s="1559"/>
      <c r="BH213" s="1559"/>
      <c r="BI213" s="1559"/>
      <c r="BJ213" s="1559"/>
      <c r="BK213" s="1559"/>
      <c r="BL213" s="1559"/>
      <c r="BM213" s="1559"/>
      <c r="BN213" s="1559"/>
      <c r="BO213" s="1559"/>
      <c r="BP213" s="1559"/>
      <c r="BQ213" s="1559"/>
      <c r="BR213" s="1559"/>
      <c r="BS213" s="1559"/>
      <c r="BT213" s="1559"/>
      <c r="BU213" s="1559"/>
      <c r="BV213" s="1559"/>
      <c r="BW213" s="1559"/>
      <c r="BX213" s="1559"/>
      <c r="BY213" s="1559"/>
      <c r="BZ213" s="1559"/>
      <c r="CA213" s="1559"/>
      <c r="CB213" s="1559"/>
      <c r="CC213" s="1559"/>
      <c r="CD213" s="1559"/>
      <c r="CE213" s="1559"/>
      <c r="CF213" s="1559"/>
      <c r="CG213" s="1559"/>
      <c r="CH213" s="1559"/>
      <c r="CI213" s="1559"/>
      <c r="CJ213" s="1559"/>
      <c r="CK213" s="1559"/>
      <c r="CL213" s="1559"/>
      <c r="CM213" s="1559"/>
      <c r="CN213" s="1559"/>
      <c r="CO213" s="1559"/>
      <c r="CP213" s="1559"/>
      <c r="CQ213" s="1559"/>
      <c r="CR213" s="1559"/>
      <c r="CS213" s="1559"/>
      <c r="CT213" s="1559"/>
      <c r="CU213" s="1559"/>
      <c r="CV213" s="1559"/>
      <c r="CW213" s="1559"/>
      <c r="CX213" s="1559"/>
      <c r="CY213" s="1559"/>
      <c r="CZ213" s="1559"/>
      <c r="DA213" s="1559"/>
      <c r="DB213" s="1559"/>
      <c r="DC213" s="1559"/>
      <c r="DD213" s="1559"/>
      <c r="DE213" s="1559"/>
      <c r="DF213" s="1559"/>
      <c r="DG213" s="1559"/>
      <c r="DH213" s="1559"/>
      <c r="DI213" s="1559"/>
      <c r="DJ213" s="1559"/>
      <c r="DK213" s="1559"/>
      <c r="DL213" s="1559"/>
      <c r="DM213" s="1559"/>
      <c r="DN213" s="1559"/>
      <c r="DO213" s="1559"/>
      <c r="DP213" s="1559"/>
      <c r="DQ213" s="1559"/>
      <c r="DR213" s="1559"/>
      <c r="DS213" s="1559"/>
      <c r="DT213" s="1559"/>
      <c r="DU213" s="1559"/>
      <c r="DV213" s="1559"/>
      <c r="DW213" s="1559"/>
    </row>
    <row r="214" spans="1:127" s="2122" customFormat="1" ht="81" customHeight="1">
      <c r="A214" s="3768"/>
      <c r="B214" s="1495" t="str">
        <f t="shared" si="9"/>
        <v>2200001917</v>
      </c>
      <c r="C214" s="1495" t="s">
        <v>211</v>
      </c>
      <c r="D214" s="2539"/>
      <c r="E214" s="1543"/>
      <c r="F214" s="1495" t="s">
        <v>61</v>
      </c>
      <c r="G214" s="1543"/>
      <c r="H214" s="2187"/>
      <c r="I214" s="1495" t="s">
        <v>19</v>
      </c>
      <c r="J214" s="1773" t="s">
        <v>1138</v>
      </c>
      <c r="K214" s="1967" t="s">
        <v>7140</v>
      </c>
      <c r="L214" s="2299">
        <v>500</v>
      </c>
      <c r="M214" s="1748" t="s">
        <v>7141</v>
      </c>
      <c r="N214" s="2540"/>
      <c r="O214" s="1748">
        <v>1</v>
      </c>
      <c r="P214" s="1548"/>
      <c r="Q214" s="1548"/>
      <c r="R214" s="1548"/>
      <c r="S214" s="1548"/>
      <c r="T214" s="1548"/>
      <c r="U214" s="1548"/>
      <c r="V214" s="1548"/>
      <c r="W214" s="1548"/>
      <c r="X214" s="1548"/>
      <c r="Y214" s="1548"/>
      <c r="Z214" s="1548"/>
      <c r="AA214" s="1548"/>
      <c r="AB214" s="1548"/>
      <c r="AC214" s="1548"/>
      <c r="AD214" s="1548"/>
      <c r="AE214" s="1548"/>
      <c r="AF214" s="1548"/>
      <c r="AG214" s="1548"/>
      <c r="AH214" s="1548"/>
      <c r="AI214" s="1548"/>
      <c r="AJ214" s="1548"/>
      <c r="AK214" s="1548"/>
      <c r="AL214" s="1548"/>
      <c r="AM214" s="1548"/>
      <c r="AN214" s="1548"/>
      <c r="AO214" s="1548"/>
      <c r="AP214" s="1548"/>
      <c r="AQ214" s="1548"/>
      <c r="AR214" s="1548"/>
      <c r="AS214" s="1548"/>
      <c r="AT214" s="1548"/>
      <c r="AU214" s="1548"/>
      <c r="AV214" s="1548"/>
      <c r="AW214" s="1548"/>
      <c r="AX214" s="1548"/>
      <c r="AY214" s="1548"/>
      <c r="AZ214" s="1548"/>
      <c r="BA214" s="1548"/>
      <c r="BB214" s="1548"/>
      <c r="BC214" s="1548"/>
      <c r="BD214" s="1548"/>
      <c r="BE214" s="1548"/>
      <c r="BF214" s="1548"/>
      <c r="BG214" s="1548"/>
      <c r="BH214" s="1548"/>
      <c r="BI214" s="1548"/>
      <c r="BJ214" s="1548"/>
      <c r="BK214" s="1548"/>
      <c r="BL214" s="1548"/>
      <c r="BM214" s="1548"/>
      <c r="BN214" s="1548"/>
      <c r="BO214" s="1548"/>
      <c r="BP214" s="1548"/>
      <c r="BQ214" s="1548"/>
      <c r="BR214" s="1548"/>
      <c r="BS214" s="1548"/>
      <c r="BT214" s="1548"/>
      <c r="BU214" s="1548"/>
      <c r="BV214" s="1548"/>
      <c r="BW214" s="1548"/>
      <c r="BX214" s="1548"/>
      <c r="BY214" s="1548"/>
      <c r="BZ214" s="1548"/>
      <c r="CA214" s="1548"/>
      <c r="CB214" s="1548"/>
      <c r="CC214" s="1548"/>
      <c r="CD214" s="1548"/>
      <c r="CE214" s="1548"/>
      <c r="CF214" s="1548"/>
      <c r="CG214" s="1548"/>
      <c r="CH214" s="1548"/>
      <c r="CI214" s="1548"/>
      <c r="CJ214" s="1548"/>
      <c r="CK214" s="1548"/>
      <c r="CL214" s="1548"/>
      <c r="CM214" s="1548"/>
      <c r="CN214" s="1548"/>
      <c r="CO214" s="1548"/>
      <c r="CP214" s="1548"/>
      <c r="CQ214" s="1548"/>
      <c r="CR214" s="1548"/>
      <c r="CS214" s="1548"/>
      <c r="CT214" s="1548"/>
      <c r="CU214" s="1548"/>
      <c r="CV214" s="1548"/>
      <c r="CW214" s="1548"/>
      <c r="CX214" s="1548"/>
      <c r="CY214" s="1548"/>
      <c r="CZ214" s="1548"/>
      <c r="DA214" s="1548"/>
      <c r="DB214" s="1548"/>
      <c r="DC214" s="1548"/>
      <c r="DD214" s="1548"/>
      <c r="DE214" s="1548"/>
      <c r="DF214" s="1548"/>
      <c r="DG214" s="1548"/>
      <c r="DH214" s="1548"/>
      <c r="DI214" s="1548"/>
      <c r="DJ214" s="1548"/>
      <c r="DK214" s="1548"/>
      <c r="DL214" s="1548"/>
      <c r="DM214" s="1548"/>
      <c r="DN214" s="1548"/>
      <c r="DO214" s="1548"/>
      <c r="DP214" s="1548"/>
      <c r="DQ214" s="1548"/>
      <c r="DR214" s="1548"/>
      <c r="DS214" s="1548"/>
      <c r="DT214" s="1548"/>
      <c r="DU214" s="1548"/>
      <c r="DV214" s="1548"/>
      <c r="DW214" s="1548"/>
    </row>
    <row r="215" spans="1:127" s="1883" customFormat="1" ht="81" customHeight="1">
      <c r="A215" s="3773" t="s">
        <v>7142</v>
      </c>
      <c r="B215" s="1921" t="str">
        <f t="shared" si="9"/>
        <v>2000002756</v>
      </c>
      <c r="C215" s="1921" t="s">
        <v>5319</v>
      </c>
      <c r="D215" s="2550">
        <v>11940</v>
      </c>
      <c r="E215" s="2479" t="s">
        <v>7143</v>
      </c>
      <c r="F215" s="1921" t="s">
        <v>3401</v>
      </c>
      <c r="G215" s="1921" t="s">
        <v>7144</v>
      </c>
      <c r="H215" s="1909" t="s">
        <v>7145</v>
      </c>
      <c r="I215" s="1921" t="s">
        <v>19</v>
      </c>
      <c r="J215" s="1921" t="s">
        <v>1138</v>
      </c>
      <c r="K215" s="1845" t="s">
        <v>7146</v>
      </c>
      <c r="L215" s="2337">
        <v>3560</v>
      </c>
      <c r="M215" s="1909" t="s">
        <v>7147</v>
      </c>
      <c r="N215" s="1862"/>
      <c r="O215" s="1909">
        <v>3</v>
      </c>
      <c r="P215" s="2150"/>
      <c r="Q215" s="2150"/>
      <c r="R215" s="2150"/>
      <c r="S215" s="2150"/>
      <c r="T215" s="2150"/>
      <c r="U215" s="2150"/>
      <c r="V215" s="2150"/>
      <c r="W215" s="2150"/>
      <c r="X215" s="2150"/>
      <c r="Y215" s="2150"/>
      <c r="Z215" s="2150"/>
      <c r="AA215" s="2150"/>
      <c r="AB215" s="2150"/>
      <c r="AC215" s="2150"/>
      <c r="AD215" s="2150"/>
      <c r="AE215" s="2150"/>
      <c r="AF215" s="2150"/>
      <c r="AG215" s="2150"/>
      <c r="AH215" s="2150"/>
      <c r="AI215" s="2150"/>
      <c r="AJ215" s="2150"/>
      <c r="AK215" s="2150"/>
      <c r="AL215" s="2150"/>
      <c r="AM215" s="2150"/>
      <c r="AN215" s="2150"/>
      <c r="AO215" s="2150"/>
      <c r="AP215" s="2150"/>
      <c r="AQ215" s="2150"/>
      <c r="AR215" s="2150"/>
      <c r="AS215" s="2150"/>
      <c r="AT215" s="2150"/>
      <c r="AU215" s="2150"/>
      <c r="AV215" s="2150"/>
      <c r="AW215" s="2150"/>
      <c r="AX215" s="2150"/>
      <c r="AY215" s="2150"/>
      <c r="AZ215" s="2150"/>
      <c r="BA215" s="2150"/>
      <c r="BB215" s="2150"/>
      <c r="BC215" s="2150"/>
      <c r="BD215" s="2150"/>
      <c r="BE215" s="2150"/>
      <c r="BF215" s="2150"/>
      <c r="BG215" s="2150"/>
      <c r="BH215" s="2150"/>
      <c r="BI215" s="2150"/>
      <c r="BJ215" s="2150"/>
      <c r="BK215" s="2150"/>
      <c r="BL215" s="2150"/>
      <c r="BM215" s="2150"/>
      <c r="BN215" s="2150"/>
      <c r="BO215" s="2150"/>
      <c r="BP215" s="2150"/>
      <c r="BQ215" s="2150"/>
      <c r="BR215" s="2150"/>
      <c r="BS215" s="2150"/>
      <c r="BT215" s="2150"/>
      <c r="BU215" s="2150"/>
      <c r="BV215" s="2150"/>
      <c r="BW215" s="2150"/>
      <c r="BX215" s="2150"/>
      <c r="BY215" s="2150"/>
      <c r="BZ215" s="2150"/>
      <c r="CA215" s="2150"/>
      <c r="CB215" s="2150"/>
      <c r="CC215" s="2150"/>
      <c r="CD215" s="2150"/>
      <c r="CE215" s="2150"/>
      <c r="CF215" s="2150"/>
      <c r="CG215" s="2150"/>
      <c r="CH215" s="2150"/>
      <c r="CI215" s="2150"/>
      <c r="CJ215" s="2150"/>
      <c r="CK215" s="2150"/>
      <c r="CL215" s="2150"/>
      <c r="CM215" s="2150"/>
      <c r="CN215" s="2150"/>
      <c r="CO215" s="2150"/>
      <c r="CP215" s="2150"/>
      <c r="CQ215" s="2150"/>
      <c r="CR215" s="2150"/>
      <c r="CS215" s="2150"/>
      <c r="CT215" s="2150"/>
      <c r="CU215" s="2150"/>
      <c r="CV215" s="2150"/>
      <c r="CW215" s="2150"/>
      <c r="CX215" s="2150"/>
      <c r="CY215" s="2150"/>
      <c r="CZ215" s="2150"/>
      <c r="DA215" s="2150"/>
      <c r="DB215" s="2150"/>
      <c r="DC215" s="2150"/>
      <c r="DD215" s="2150"/>
      <c r="DE215" s="2150"/>
      <c r="DF215" s="2150"/>
      <c r="DG215" s="2150"/>
      <c r="DH215" s="2150"/>
      <c r="DI215" s="2150"/>
      <c r="DJ215" s="2150"/>
      <c r="DK215" s="2150"/>
      <c r="DL215" s="2150"/>
      <c r="DM215" s="2150"/>
      <c r="DN215" s="2150"/>
      <c r="DO215" s="2150"/>
      <c r="DP215" s="2150"/>
      <c r="DQ215" s="2150"/>
      <c r="DR215" s="2150"/>
      <c r="DS215" s="2150"/>
      <c r="DT215" s="2150"/>
      <c r="DU215" s="2150"/>
      <c r="DV215" s="2150"/>
      <c r="DW215" s="2150"/>
    </row>
    <row r="216" spans="1:127" s="1883" customFormat="1" ht="64.5" customHeight="1">
      <c r="A216" s="3767"/>
      <c r="B216" s="1875" t="str">
        <f>TEXT(LEFT(K216,10),"0000000000")</f>
        <v>2000002759</v>
      </c>
      <c r="C216" s="1875" t="s">
        <v>5319</v>
      </c>
      <c r="D216" s="2551"/>
      <c r="E216" s="2552"/>
      <c r="F216" s="1495" t="s">
        <v>3401</v>
      </c>
      <c r="G216" s="1851"/>
      <c r="H216" s="2030"/>
      <c r="I216" s="2546" t="s">
        <v>19</v>
      </c>
      <c r="J216" s="2028" t="s">
        <v>1138</v>
      </c>
      <c r="K216" s="1966" t="s">
        <v>7148</v>
      </c>
      <c r="L216" s="2553">
        <v>680</v>
      </c>
      <c r="M216" s="2506" t="s">
        <v>5937</v>
      </c>
      <c r="N216" s="2511"/>
      <c r="O216" s="2053">
        <v>3</v>
      </c>
      <c r="P216" s="1945"/>
      <c r="Q216" s="1945"/>
      <c r="R216" s="1945"/>
      <c r="S216" s="1945"/>
      <c r="T216" s="1945"/>
      <c r="U216" s="1945"/>
      <c r="V216" s="1945"/>
      <c r="W216" s="1945"/>
      <c r="X216" s="1945"/>
      <c r="Y216" s="1945"/>
      <c r="Z216" s="1945"/>
      <c r="AA216" s="1945"/>
      <c r="AB216" s="1945"/>
      <c r="AC216" s="1945"/>
      <c r="AD216" s="1945"/>
      <c r="AE216" s="1945"/>
      <c r="AF216" s="1945"/>
      <c r="AG216" s="1945"/>
      <c r="AH216" s="1945"/>
      <c r="AI216" s="1945"/>
      <c r="AJ216" s="1945"/>
      <c r="AK216" s="1945"/>
      <c r="AL216" s="1945"/>
      <c r="AM216" s="1945"/>
      <c r="AN216" s="1945"/>
      <c r="AO216" s="1945"/>
      <c r="AP216" s="1945"/>
      <c r="AQ216" s="1945"/>
      <c r="AR216" s="1945"/>
      <c r="AS216" s="1945"/>
      <c r="AT216" s="1945"/>
      <c r="AU216" s="1945"/>
      <c r="AV216" s="1945"/>
      <c r="AW216" s="1945"/>
      <c r="AX216" s="1945"/>
      <c r="AY216" s="1945"/>
      <c r="AZ216" s="1945"/>
      <c r="BA216" s="1945"/>
      <c r="BB216" s="1945"/>
      <c r="BC216" s="1945"/>
      <c r="BD216" s="1945"/>
      <c r="BE216" s="1945"/>
      <c r="BF216" s="1945"/>
      <c r="BG216" s="1945"/>
      <c r="BH216" s="1945"/>
      <c r="BI216" s="1945"/>
      <c r="BJ216" s="1945"/>
      <c r="BK216" s="1945"/>
      <c r="BL216" s="1945"/>
      <c r="BM216" s="1945"/>
      <c r="BN216" s="1945"/>
      <c r="BO216" s="1945"/>
      <c r="BP216" s="1945"/>
      <c r="BQ216" s="1945"/>
      <c r="BR216" s="1945"/>
      <c r="BS216" s="1945"/>
      <c r="BT216" s="1945"/>
      <c r="BU216" s="1945"/>
      <c r="BV216" s="1945"/>
      <c r="BW216" s="1945"/>
      <c r="BX216" s="1945"/>
      <c r="BY216" s="1945"/>
      <c r="BZ216" s="1945"/>
      <c r="CA216" s="1945"/>
      <c r="CB216" s="1945"/>
      <c r="CC216" s="1945"/>
      <c r="CD216" s="1945"/>
      <c r="CE216" s="1945"/>
      <c r="CF216" s="1945"/>
      <c r="CG216" s="1945"/>
      <c r="CH216" s="1945"/>
      <c r="CI216" s="1945"/>
      <c r="CJ216" s="1945"/>
      <c r="CK216" s="1945"/>
      <c r="CL216" s="1945"/>
      <c r="CM216" s="1945"/>
      <c r="CN216" s="1945"/>
      <c r="CO216" s="1945"/>
      <c r="CP216" s="1945"/>
      <c r="CQ216" s="1945"/>
      <c r="CR216" s="1945"/>
      <c r="CS216" s="1945"/>
      <c r="CT216" s="1945"/>
      <c r="CU216" s="1945"/>
      <c r="CV216" s="1945"/>
      <c r="CW216" s="1945"/>
      <c r="CX216" s="1945"/>
      <c r="CY216" s="1945"/>
      <c r="CZ216" s="1945"/>
      <c r="DA216" s="1945"/>
      <c r="DB216" s="1945"/>
      <c r="DC216" s="1945"/>
      <c r="DD216" s="1945"/>
      <c r="DE216" s="1945"/>
      <c r="DF216" s="1945"/>
      <c r="DG216" s="1945"/>
      <c r="DH216" s="1945"/>
      <c r="DI216" s="1945"/>
      <c r="DJ216" s="1945"/>
      <c r="DK216" s="1945"/>
      <c r="DL216" s="1945"/>
      <c r="DM216" s="1945"/>
      <c r="DN216" s="1945"/>
      <c r="DO216" s="1945"/>
      <c r="DP216" s="1945"/>
      <c r="DQ216" s="1945"/>
      <c r="DR216" s="1945"/>
      <c r="DS216" s="1945"/>
      <c r="DT216" s="1945"/>
      <c r="DU216" s="1945"/>
      <c r="DV216" s="1945"/>
      <c r="DW216" s="1945"/>
    </row>
    <row r="217" spans="1:127" s="1883" customFormat="1" ht="64.5" customHeight="1">
      <c r="A217" s="3767"/>
      <c r="B217" s="1875" t="str">
        <f>TEXT(LEFT(K217,10),"0000000000")</f>
        <v>2000002727</v>
      </c>
      <c r="C217" s="1495" t="s">
        <v>5319</v>
      </c>
      <c r="D217" s="2554"/>
      <c r="E217" s="1921"/>
      <c r="F217" s="1495" t="s">
        <v>3401</v>
      </c>
      <c r="G217" s="1921"/>
      <c r="H217" s="1495"/>
      <c r="I217" s="1495" t="s">
        <v>19</v>
      </c>
      <c r="J217" s="1495" t="s">
        <v>1138</v>
      </c>
      <c r="K217" s="1845" t="s">
        <v>7149</v>
      </c>
      <c r="L217" s="2353">
        <v>1000</v>
      </c>
      <c r="M217" s="1748" t="s">
        <v>7150</v>
      </c>
      <c r="N217" s="1862"/>
      <c r="O217" s="1748">
        <v>3</v>
      </c>
      <c r="P217" s="2150"/>
      <c r="Q217" s="2150"/>
      <c r="R217" s="2150"/>
      <c r="S217" s="2150"/>
      <c r="T217" s="2150"/>
      <c r="U217" s="2150"/>
      <c r="V217" s="2150"/>
      <c r="W217" s="2150"/>
      <c r="X217" s="2150"/>
      <c r="Y217" s="2150"/>
      <c r="Z217" s="2150"/>
      <c r="AA217" s="2150"/>
      <c r="AB217" s="2150"/>
      <c r="AC217" s="2150"/>
      <c r="AD217" s="2150"/>
      <c r="AE217" s="2150"/>
      <c r="AF217" s="2150"/>
      <c r="AG217" s="2150"/>
      <c r="AH217" s="2150"/>
      <c r="AI217" s="2150"/>
      <c r="AJ217" s="2150"/>
      <c r="AK217" s="2150"/>
      <c r="AL217" s="2150"/>
      <c r="AM217" s="2150"/>
      <c r="AN217" s="2150"/>
      <c r="AO217" s="2150"/>
      <c r="AP217" s="2150"/>
      <c r="AQ217" s="2150"/>
      <c r="AR217" s="2150"/>
      <c r="AS217" s="2150"/>
      <c r="AT217" s="2150"/>
      <c r="AU217" s="2150"/>
      <c r="AV217" s="2150"/>
      <c r="AW217" s="2150"/>
      <c r="AX217" s="2150"/>
      <c r="AY217" s="2150"/>
      <c r="AZ217" s="2150"/>
      <c r="BA217" s="2150"/>
      <c r="BB217" s="2150"/>
      <c r="BC217" s="2150"/>
      <c r="BD217" s="2150"/>
      <c r="BE217" s="2150"/>
      <c r="BF217" s="2150"/>
      <c r="BG217" s="2150"/>
      <c r="BH217" s="2150"/>
      <c r="BI217" s="2150"/>
      <c r="BJ217" s="2150"/>
      <c r="BK217" s="2150"/>
      <c r="BL217" s="2150"/>
      <c r="BM217" s="2150"/>
      <c r="BN217" s="2150"/>
      <c r="BO217" s="2150"/>
      <c r="BP217" s="2150"/>
      <c r="BQ217" s="2150"/>
      <c r="BR217" s="2150"/>
      <c r="BS217" s="2150"/>
      <c r="BT217" s="2150"/>
      <c r="BU217" s="2150"/>
      <c r="BV217" s="2150"/>
      <c r="BW217" s="2150"/>
      <c r="BX217" s="2150"/>
      <c r="BY217" s="2150"/>
      <c r="BZ217" s="2150"/>
      <c r="CA217" s="2150"/>
      <c r="CB217" s="2150"/>
      <c r="CC217" s="2150"/>
      <c r="CD217" s="2150"/>
      <c r="CE217" s="2150"/>
      <c r="CF217" s="2150"/>
      <c r="CG217" s="2150"/>
      <c r="CH217" s="2150"/>
      <c r="CI217" s="2150"/>
      <c r="CJ217" s="2150"/>
      <c r="CK217" s="2150"/>
      <c r="CL217" s="2150"/>
      <c r="CM217" s="2150"/>
      <c r="CN217" s="2150"/>
      <c r="CO217" s="2150"/>
      <c r="CP217" s="2150"/>
      <c r="CQ217" s="2150"/>
      <c r="CR217" s="2150"/>
      <c r="CS217" s="2150"/>
      <c r="CT217" s="2150"/>
      <c r="CU217" s="2150"/>
      <c r="CV217" s="2150"/>
      <c r="CW217" s="2150"/>
      <c r="CX217" s="2150"/>
      <c r="CY217" s="2150"/>
      <c r="CZ217" s="2150"/>
      <c r="DA217" s="2150"/>
      <c r="DB217" s="2150"/>
      <c r="DC217" s="2150"/>
      <c r="DD217" s="2150"/>
      <c r="DE217" s="2150"/>
      <c r="DF217" s="2150"/>
      <c r="DG217" s="2150"/>
      <c r="DH217" s="2150"/>
      <c r="DI217" s="2150"/>
      <c r="DJ217" s="2150"/>
      <c r="DK217" s="2150"/>
      <c r="DL217" s="2150"/>
      <c r="DM217" s="2150"/>
      <c r="DN217" s="2150"/>
      <c r="DO217" s="2150"/>
      <c r="DP217" s="2150"/>
      <c r="DQ217" s="2150"/>
      <c r="DR217" s="2150"/>
      <c r="DS217" s="2150"/>
      <c r="DT217" s="2150"/>
      <c r="DU217" s="2150"/>
      <c r="DV217" s="2150"/>
      <c r="DW217" s="1916"/>
    </row>
    <row r="218" spans="1:127" s="1883" customFormat="1" ht="64.5" customHeight="1">
      <c r="A218" s="3767"/>
      <c r="B218" s="1495" t="str">
        <f t="shared" si="9"/>
        <v>2000002715</v>
      </c>
      <c r="C218" s="1495" t="s">
        <v>5319</v>
      </c>
      <c r="D218" s="2512"/>
      <c r="E218" s="2118"/>
      <c r="F218" s="1851" t="s">
        <v>3401</v>
      </c>
      <c r="G218" s="2118"/>
      <c r="H218" s="2118"/>
      <c r="I218" s="2374" t="s">
        <v>19</v>
      </c>
      <c r="J218" s="1851" t="s">
        <v>1138</v>
      </c>
      <c r="K218" s="1497" t="s">
        <v>7151</v>
      </c>
      <c r="L218" s="2555">
        <v>2000</v>
      </c>
      <c r="M218" s="2160" t="s">
        <v>7152</v>
      </c>
      <c r="N218" s="2130"/>
      <c r="O218" s="2102">
        <v>3</v>
      </c>
      <c r="P218" s="2122"/>
      <c r="Q218" s="2122"/>
      <c r="R218" s="2122"/>
      <c r="S218" s="2122"/>
      <c r="T218" s="2122"/>
      <c r="U218" s="2122"/>
      <c r="V218" s="2122"/>
      <c r="W218" s="2122"/>
      <c r="X218" s="2122"/>
      <c r="Y218" s="2122"/>
      <c r="Z218" s="2122"/>
      <c r="AA218" s="2122"/>
      <c r="AB218" s="2122"/>
      <c r="AC218" s="2122"/>
      <c r="AD218" s="2122"/>
      <c r="AE218" s="2122"/>
      <c r="AF218" s="2122"/>
      <c r="AG218" s="2122"/>
      <c r="AH218" s="2122"/>
      <c r="AI218" s="2122"/>
      <c r="AJ218" s="2122"/>
      <c r="AK218" s="2122"/>
      <c r="AL218" s="2122"/>
      <c r="AM218" s="2122"/>
      <c r="AN218" s="2122"/>
      <c r="AO218" s="2122"/>
      <c r="AP218" s="2122"/>
      <c r="AQ218" s="2122"/>
      <c r="AR218" s="2122"/>
      <c r="AS218" s="2122"/>
      <c r="AT218" s="2122"/>
      <c r="AU218" s="2122"/>
      <c r="AV218" s="2122"/>
      <c r="AW218" s="2122"/>
      <c r="AX218" s="2122"/>
      <c r="AY218" s="2122"/>
      <c r="AZ218" s="2122"/>
      <c r="BA218" s="2122"/>
      <c r="BB218" s="2122"/>
      <c r="BC218" s="2122"/>
      <c r="BD218" s="2122"/>
      <c r="BE218" s="2122"/>
      <c r="BF218" s="2122"/>
      <c r="BG218" s="2122"/>
      <c r="BH218" s="2122"/>
      <c r="BI218" s="2122"/>
      <c r="BJ218" s="2122"/>
      <c r="BK218" s="2122"/>
      <c r="BL218" s="2122"/>
      <c r="BM218" s="2122"/>
      <c r="BN218" s="2122"/>
      <c r="BO218" s="2122"/>
      <c r="BP218" s="2122"/>
      <c r="BQ218" s="2122"/>
      <c r="BR218" s="2122"/>
      <c r="BS218" s="2122"/>
      <c r="BT218" s="2122"/>
      <c r="BU218" s="2122"/>
      <c r="BV218" s="2122"/>
      <c r="BW218" s="2122"/>
      <c r="BX218" s="2122"/>
      <c r="BY218" s="2122"/>
      <c r="BZ218" s="2122"/>
      <c r="CA218" s="2122"/>
      <c r="CB218" s="2122"/>
      <c r="CC218" s="2122"/>
      <c r="CD218" s="2122"/>
      <c r="CE218" s="2122"/>
      <c r="CF218" s="2122"/>
      <c r="CG218" s="2122"/>
      <c r="CH218" s="2122"/>
      <c r="CI218" s="2122"/>
      <c r="CJ218" s="2122"/>
      <c r="CK218" s="2122"/>
      <c r="CL218" s="2122"/>
      <c r="CM218" s="2122"/>
      <c r="CN218" s="2122"/>
      <c r="CO218" s="2122"/>
      <c r="CP218" s="2122"/>
      <c r="CQ218" s="2122"/>
      <c r="CR218" s="2122"/>
      <c r="CS218" s="2122"/>
      <c r="CT218" s="2122"/>
      <c r="CU218" s="2122"/>
      <c r="CV218" s="2122"/>
      <c r="CW218" s="2122"/>
      <c r="CX218" s="2122"/>
      <c r="CY218" s="2122"/>
      <c r="CZ218" s="2122"/>
      <c r="DA218" s="2122"/>
      <c r="DB218" s="2122"/>
      <c r="DC218" s="2122"/>
      <c r="DD218" s="2122"/>
      <c r="DE218" s="2122"/>
      <c r="DF218" s="2122"/>
      <c r="DG218" s="2122"/>
      <c r="DH218" s="2122"/>
      <c r="DI218" s="2122"/>
      <c r="DJ218" s="2122"/>
      <c r="DK218" s="2122"/>
      <c r="DL218" s="2122"/>
      <c r="DM218" s="2122"/>
      <c r="DN218" s="2122"/>
      <c r="DO218" s="2122"/>
      <c r="DP218" s="2122"/>
      <c r="DQ218" s="2122"/>
      <c r="DR218" s="2122"/>
      <c r="DS218" s="2122"/>
      <c r="DT218" s="2122"/>
      <c r="DU218" s="2122"/>
      <c r="DV218" s="2122"/>
      <c r="DW218" s="2122"/>
    </row>
    <row r="219" spans="1:127" s="1883" customFormat="1" ht="64.5" customHeight="1">
      <c r="A219" s="3767"/>
      <c r="B219" s="1495" t="str">
        <f t="shared" si="9"/>
        <v>2200001899</v>
      </c>
      <c r="C219" s="1495" t="s">
        <v>5319</v>
      </c>
      <c r="D219" s="2556"/>
      <c r="E219" s="2118"/>
      <c r="F219" s="1495" t="s">
        <v>3401</v>
      </c>
      <c r="G219" s="1495"/>
      <c r="H219" s="1947"/>
      <c r="I219" s="2320" t="s">
        <v>19</v>
      </c>
      <c r="J219" s="1495" t="s">
        <v>1138</v>
      </c>
      <c r="K219" s="1628" t="s">
        <v>7153</v>
      </c>
      <c r="L219" s="2368">
        <v>72</v>
      </c>
      <c r="M219" s="2448" t="s">
        <v>5953</v>
      </c>
      <c r="N219" s="2131"/>
      <c r="O219" s="2102">
        <v>3</v>
      </c>
      <c r="P219" s="1945"/>
      <c r="DW219" s="1548"/>
    </row>
    <row r="220" spans="1:127" s="1883" customFormat="1" ht="64.5" customHeight="1">
      <c r="A220" s="3767"/>
      <c r="B220" s="1495" t="str">
        <f t="shared" si="9"/>
        <v>2000002742</v>
      </c>
      <c r="C220" s="1495" t="s">
        <v>5319</v>
      </c>
      <c r="D220" s="2557"/>
      <c r="E220" s="2118"/>
      <c r="F220" s="1495" t="s">
        <v>3401</v>
      </c>
      <c r="G220" s="1921"/>
      <c r="H220" s="2159"/>
      <c r="I220" s="2320" t="s">
        <v>19</v>
      </c>
      <c r="J220" s="1495" t="s">
        <v>1138</v>
      </c>
      <c r="K220" s="1600" t="s">
        <v>7082</v>
      </c>
      <c r="L220" s="2299">
        <v>1500</v>
      </c>
      <c r="M220" s="2448" t="s">
        <v>5937</v>
      </c>
      <c r="N220" s="2130"/>
      <c r="O220" s="2102">
        <v>3</v>
      </c>
      <c r="P220" s="2122"/>
      <c r="Q220" s="2324"/>
      <c r="R220" s="2122"/>
      <c r="S220" s="2122"/>
      <c r="T220" s="2122"/>
      <c r="U220" s="2122"/>
      <c r="V220" s="2122"/>
      <c r="W220" s="2122"/>
      <c r="X220" s="2122"/>
      <c r="Y220" s="2122"/>
      <c r="Z220" s="2122"/>
      <c r="AA220" s="2122"/>
      <c r="AB220" s="2122"/>
      <c r="AC220" s="2122"/>
      <c r="AD220" s="2122"/>
      <c r="AE220" s="2122"/>
      <c r="AF220" s="2122"/>
      <c r="AG220" s="2122"/>
      <c r="AH220" s="2122"/>
      <c r="AI220" s="2122"/>
      <c r="AJ220" s="2122"/>
      <c r="AK220" s="2122"/>
      <c r="AL220" s="2122"/>
      <c r="AM220" s="2122"/>
      <c r="AN220" s="2122"/>
      <c r="AO220" s="2122"/>
      <c r="AP220" s="2122"/>
      <c r="AQ220" s="2122"/>
      <c r="AR220" s="2122"/>
      <c r="AS220" s="2122"/>
      <c r="AT220" s="2122"/>
      <c r="AU220" s="2122"/>
      <c r="AV220" s="2122"/>
      <c r="AW220" s="2122"/>
      <c r="AX220" s="2122"/>
      <c r="AY220" s="2122"/>
      <c r="AZ220" s="2122"/>
      <c r="BA220" s="2122"/>
      <c r="BB220" s="2122"/>
      <c r="BC220" s="2122"/>
      <c r="BD220" s="2122"/>
      <c r="BE220" s="2122"/>
      <c r="BF220" s="2122"/>
      <c r="BG220" s="2122"/>
      <c r="BH220" s="2122"/>
      <c r="BI220" s="2122"/>
      <c r="BJ220" s="2122"/>
      <c r="BK220" s="2122"/>
      <c r="BL220" s="2122"/>
      <c r="BM220" s="2122"/>
      <c r="BN220" s="2122"/>
      <c r="BO220" s="2122"/>
      <c r="BP220" s="2122"/>
      <c r="BQ220" s="2122"/>
      <c r="BR220" s="2122"/>
      <c r="BS220" s="2122"/>
      <c r="BT220" s="2122"/>
      <c r="BU220" s="2122"/>
      <c r="BV220" s="2122"/>
      <c r="BW220" s="2122"/>
      <c r="BX220" s="2122"/>
      <c r="BY220" s="2122"/>
      <c r="BZ220" s="2122"/>
      <c r="CA220" s="2122"/>
      <c r="CB220" s="2122"/>
      <c r="CC220" s="2122"/>
      <c r="CD220" s="2122"/>
      <c r="CE220" s="2122"/>
      <c r="CF220" s="2122"/>
      <c r="CG220" s="2122"/>
      <c r="CH220" s="2122"/>
      <c r="CI220" s="2122"/>
      <c r="CJ220" s="2122"/>
      <c r="CK220" s="2122"/>
      <c r="CL220" s="2122"/>
      <c r="CM220" s="2122"/>
      <c r="CN220" s="2122"/>
      <c r="CO220" s="2122"/>
      <c r="CP220" s="2122"/>
      <c r="CQ220" s="2122"/>
      <c r="CR220" s="2122"/>
      <c r="CS220" s="2122"/>
      <c r="CT220" s="2122"/>
      <c r="CU220" s="2122"/>
      <c r="CV220" s="2122"/>
      <c r="CW220" s="2122"/>
      <c r="CX220" s="2122"/>
      <c r="CY220" s="2122"/>
      <c r="CZ220" s="2122"/>
      <c r="DA220" s="2122"/>
      <c r="DB220" s="2122"/>
      <c r="DC220" s="2122"/>
      <c r="DD220" s="2122"/>
      <c r="DE220" s="2122"/>
      <c r="DF220" s="2122"/>
      <c r="DG220" s="2122"/>
      <c r="DH220" s="2122"/>
      <c r="DI220" s="2122"/>
      <c r="DJ220" s="2122"/>
      <c r="DK220" s="2122"/>
      <c r="DL220" s="2122"/>
      <c r="DM220" s="2122"/>
      <c r="DN220" s="2122"/>
      <c r="DO220" s="2122"/>
      <c r="DP220" s="2122"/>
      <c r="DQ220" s="2122"/>
      <c r="DR220" s="2122"/>
      <c r="DS220" s="2122"/>
      <c r="DT220" s="2122"/>
      <c r="DU220" s="2122"/>
      <c r="DV220" s="2122"/>
      <c r="DW220" s="2122"/>
    </row>
    <row r="221" spans="1:127" s="1883" customFormat="1" ht="64.5" customHeight="1">
      <c r="A221" s="3768"/>
      <c r="B221" s="1495" t="str">
        <f t="shared" si="9"/>
        <v>2000002724</v>
      </c>
      <c r="C221" s="1495" t="s">
        <v>5319</v>
      </c>
      <c r="D221" s="2558"/>
      <c r="E221" s="2118"/>
      <c r="F221" s="1495" t="s">
        <v>3401</v>
      </c>
      <c r="G221" s="1495"/>
      <c r="H221" s="1495"/>
      <c r="I221" s="2486" t="s">
        <v>19</v>
      </c>
      <c r="J221" s="1495" t="s">
        <v>1138</v>
      </c>
      <c r="K221" s="2136" t="s">
        <v>7154</v>
      </c>
      <c r="L221" s="2357">
        <v>3100</v>
      </c>
      <c r="M221" s="2208" t="s">
        <v>6993</v>
      </c>
      <c r="N221" s="1843" t="s">
        <v>7155</v>
      </c>
      <c r="O221" s="1748">
        <v>3</v>
      </c>
      <c r="P221" s="1982"/>
      <c r="Q221" s="1548"/>
      <c r="R221" s="1548"/>
      <c r="S221" s="1548"/>
      <c r="T221" s="1548"/>
      <c r="U221" s="1548"/>
      <c r="V221" s="1548"/>
      <c r="W221" s="1548"/>
      <c r="X221" s="1548"/>
      <c r="Y221" s="1548"/>
      <c r="Z221" s="1548"/>
      <c r="AA221" s="1548"/>
      <c r="AB221" s="1548"/>
      <c r="AC221" s="1548"/>
      <c r="AD221" s="1548"/>
      <c r="AE221" s="1548"/>
      <c r="AF221" s="1548"/>
      <c r="AG221" s="1548"/>
      <c r="AH221" s="1548"/>
      <c r="AI221" s="1548"/>
      <c r="AJ221" s="1548"/>
      <c r="AK221" s="1548"/>
      <c r="AL221" s="1548"/>
      <c r="AM221" s="1548"/>
      <c r="AN221" s="1548"/>
      <c r="AO221" s="1548"/>
      <c r="AP221" s="1548"/>
      <c r="AQ221" s="1548"/>
      <c r="AR221" s="1548"/>
      <c r="AS221" s="1548"/>
      <c r="AT221" s="1548"/>
      <c r="AU221" s="1548"/>
      <c r="AV221" s="1548"/>
      <c r="AW221" s="1548"/>
      <c r="AX221" s="1548"/>
      <c r="AY221" s="1548"/>
      <c r="AZ221" s="1548"/>
      <c r="BA221" s="1548"/>
      <c r="BB221" s="1548"/>
      <c r="BC221" s="1548"/>
      <c r="BD221" s="1548"/>
      <c r="BE221" s="1548"/>
      <c r="BF221" s="1548"/>
      <c r="BG221" s="1548"/>
      <c r="BH221" s="1548"/>
      <c r="BI221" s="1548"/>
      <c r="BJ221" s="1548"/>
      <c r="BK221" s="1548"/>
      <c r="BL221" s="1548"/>
      <c r="BM221" s="1548"/>
      <c r="BN221" s="1548"/>
      <c r="BO221" s="1548"/>
      <c r="BP221" s="1548"/>
      <c r="BQ221" s="1548"/>
      <c r="BR221" s="1548"/>
      <c r="BS221" s="1548"/>
      <c r="BT221" s="1548"/>
      <c r="BU221" s="1548"/>
      <c r="BV221" s="1548"/>
      <c r="BW221" s="1548"/>
      <c r="BX221" s="1548"/>
      <c r="BY221" s="1548"/>
      <c r="BZ221" s="1548"/>
      <c r="CA221" s="1548"/>
      <c r="CB221" s="1548"/>
      <c r="CC221" s="1548"/>
      <c r="CD221" s="1548"/>
      <c r="CE221" s="1548"/>
      <c r="CF221" s="1548"/>
      <c r="CG221" s="1548"/>
      <c r="CH221" s="1548"/>
      <c r="CI221" s="1548"/>
      <c r="CJ221" s="1548"/>
      <c r="CK221" s="1548"/>
      <c r="CL221" s="1548"/>
      <c r="CM221" s="1548"/>
      <c r="CN221" s="1548"/>
      <c r="CO221" s="1548"/>
      <c r="CP221" s="1548"/>
      <c r="CQ221" s="1548"/>
      <c r="CR221" s="1548"/>
      <c r="CS221" s="1548"/>
      <c r="CT221" s="1548"/>
      <c r="CU221" s="1548"/>
      <c r="CV221" s="1548"/>
      <c r="CW221" s="1548"/>
      <c r="CX221" s="1548"/>
      <c r="CY221" s="1548"/>
      <c r="CZ221" s="1548"/>
      <c r="DA221" s="1548"/>
      <c r="DB221" s="1548"/>
      <c r="DC221" s="1548"/>
      <c r="DD221" s="1548"/>
      <c r="DE221" s="1548"/>
      <c r="DF221" s="1548"/>
      <c r="DG221" s="1548"/>
      <c r="DH221" s="1548"/>
      <c r="DI221" s="1548"/>
      <c r="DJ221" s="1548"/>
      <c r="DK221" s="1548"/>
      <c r="DL221" s="1548"/>
      <c r="DM221" s="1548"/>
      <c r="DN221" s="1548"/>
      <c r="DO221" s="1548"/>
      <c r="DP221" s="1548"/>
      <c r="DQ221" s="1548"/>
      <c r="DR221" s="1548"/>
      <c r="DS221" s="1548"/>
      <c r="DT221" s="1548"/>
      <c r="DU221" s="1548"/>
      <c r="DV221" s="1548"/>
      <c r="DW221" s="1548"/>
    </row>
    <row r="222" spans="1:127" s="1883" customFormat="1" ht="81" customHeight="1">
      <c r="A222" s="2270"/>
      <c r="B222" s="1495" t="str">
        <f t="shared" si="9"/>
        <v>2200001914</v>
      </c>
      <c r="C222" s="2118" t="s">
        <v>6268</v>
      </c>
      <c r="D222" s="2512">
        <v>591</v>
      </c>
      <c r="E222" s="2118" t="s">
        <v>7156</v>
      </c>
      <c r="F222" s="1851" t="s">
        <v>89</v>
      </c>
      <c r="G222" s="1851"/>
      <c r="H222" s="1851"/>
      <c r="I222" s="2118" t="s">
        <v>19</v>
      </c>
      <c r="J222" s="2118" t="s">
        <v>234</v>
      </c>
      <c r="K222" s="1873" t="s">
        <v>7157</v>
      </c>
      <c r="L222" s="2361">
        <v>591</v>
      </c>
      <c r="M222" s="2102" t="s">
        <v>5454</v>
      </c>
      <c r="N222" s="1962"/>
      <c r="O222" s="2030"/>
      <c r="P222" s="1982"/>
    </row>
    <row r="223" spans="1:127" s="1883" customFormat="1" ht="74.25" customHeight="1">
      <c r="A223" s="2270"/>
      <c r="B223" s="2118" t="str">
        <f t="shared" si="9"/>
        <v>2200001874</v>
      </c>
      <c r="C223" s="2118" t="s">
        <v>6268</v>
      </c>
      <c r="D223" s="2453">
        <v>3916</v>
      </c>
      <c r="E223" s="2118" t="s">
        <v>7158</v>
      </c>
      <c r="F223" s="2118" t="s">
        <v>89</v>
      </c>
      <c r="G223" s="2118"/>
      <c r="H223" s="2118"/>
      <c r="I223" s="2118" t="s">
        <v>19</v>
      </c>
      <c r="J223" s="2118" t="s">
        <v>234</v>
      </c>
      <c r="K223" s="2161" t="s">
        <v>7159</v>
      </c>
      <c r="L223" s="2322">
        <v>3916</v>
      </c>
      <c r="M223" s="2030" t="s">
        <v>7103</v>
      </c>
      <c r="N223" s="2369"/>
      <c r="O223" s="2030">
        <v>3</v>
      </c>
      <c r="P223" s="2122"/>
      <c r="Q223" s="2122"/>
      <c r="R223" s="2122"/>
      <c r="S223" s="2122"/>
      <c r="T223" s="2122"/>
      <c r="U223" s="2122"/>
      <c r="V223" s="2122"/>
      <c r="W223" s="2122"/>
      <c r="X223" s="2122"/>
      <c r="Y223" s="2122"/>
      <c r="Z223" s="2122"/>
      <c r="AA223" s="2122"/>
      <c r="AB223" s="2122"/>
      <c r="AC223" s="2122"/>
      <c r="AD223" s="2122"/>
      <c r="AE223" s="2122"/>
      <c r="AF223" s="2122"/>
      <c r="AG223" s="2122"/>
      <c r="AH223" s="2122"/>
      <c r="AI223" s="2122"/>
      <c r="AJ223" s="2122"/>
      <c r="AK223" s="2122"/>
      <c r="AL223" s="2122"/>
      <c r="AM223" s="2122"/>
      <c r="AN223" s="2122"/>
      <c r="AO223" s="2122"/>
      <c r="AP223" s="2122"/>
      <c r="AQ223" s="2122"/>
      <c r="AR223" s="2122"/>
      <c r="AS223" s="2122"/>
      <c r="AT223" s="2122"/>
      <c r="AU223" s="2122"/>
      <c r="AV223" s="2122"/>
      <c r="AW223" s="2122"/>
      <c r="AX223" s="2122"/>
      <c r="AY223" s="2122"/>
      <c r="AZ223" s="2122"/>
      <c r="BA223" s="2122"/>
      <c r="BB223" s="2122"/>
      <c r="BC223" s="2122"/>
      <c r="BD223" s="2122"/>
      <c r="BE223" s="2122"/>
      <c r="BF223" s="2122"/>
      <c r="BG223" s="2122"/>
      <c r="BH223" s="2122"/>
      <c r="BI223" s="2122"/>
      <c r="BJ223" s="2122"/>
      <c r="BK223" s="2122"/>
      <c r="BL223" s="2122"/>
      <c r="BM223" s="2122"/>
      <c r="BN223" s="2122"/>
      <c r="BO223" s="2122"/>
      <c r="BP223" s="2122"/>
      <c r="BQ223" s="2122"/>
      <c r="BR223" s="2122"/>
      <c r="BS223" s="2122"/>
      <c r="BT223" s="2122"/>
      <c r="BU223" s="2122"/>
      <c r="BV223" s="2122"/>
      <c r="BW223" s="2122"/>
      <c r="BX223" s="2122"/>
      <c r="BY223" s="2122"/>
      <c r="BZ223" s="2122"/>
      <c r="CA223" s="2122"/>
      <c r="CB223" s="2122"/>
      <c r="CC223" s="2122"/>
      <c r="CD223" s="2122"/>
      <c r="CE223" s="2122"/>
      <c r="CF223" s="2122"/>
      <c r="CG223" s="2122"/>
      <c r="CH223" s="2122"/>
      <c r="CI223" s="2122"/>
      <c r="CJ223" s="2122"/>
      <c r="CK223" s="2122"/>
      <c r="CL223" s="2122"/>
      <c r="CM223" s="2122"/>
      <c r="CN223" s="2122"/>
      <c r="CO223" s="2122"/>
      <c r="CP223" s="2122"/>
      <c r="CQ223" s="2122"/>
      <c r="CR223" s="2122"/>
      <c r="CS223" s="2122"/>
      <c r="CT223" s="2122"/>
      <c r="CU223" s="2122"/>
      <c r="CV223" s="2122"/>
      <c r="CW223" s="2122"/>
      <c r="CX223" s="2122"/>
      <c r="CY223" s="2122"/>
      <c r="CZ223" s="2122"/>
      <c r="DA223" s="2122"/>
      <c r="DB223" s="2122"/>
      <c r="DC223" s="2122"/>
      <c r="DD223" s="2122"/>
      <c r="DE223" s="2122"/>
      <c r="DF223" s="2122"/>
      <c r="DG223" s="2122"/>
      <c r="DH223" s="2122"/>
      <c r="DI223" s="2122"/>
      <c r="DJ223" s="2122"/>
      <c r="DK223" s="2122"/>
      <c r="DL223" s="2122"/>
      <c r="DM223" s="2122"/>
      <c r="DN223" s="2122"/>
      <c r="DO223" s="2122"/>
      <c r="DP223" s="2122"/>
      <c r="DQ223" s="2122"/>
      <c r="DR223" s="2122"/>
      <c r="DS223" s="2122"/>
      <c r="DT223" s="2122"/>
      <c r="DU223" s="2122"/>
      <c r="DV223" s="2122"/>
      <c r="DW223" s="2122"/>
    </row>
    <row r="224" spans="1:127" s="1883" customFormat="1" ht="58.5" customHeight="1">
      <c r="A224" s="2270"/>
      <c r="B224" s="1851" t="str">
        <f t="shared" si="9"/>
        <v>2200001869</v>
      </c>
      <c r="C224" s="1851" t="s">
        <v>6268</v>
      </c>
      <c r="D224" s="2182">
        <v>826</v>
      </c>
      <c r="E224" s="1872" t="s">
        <v>7160</v>
      </c>
      <c r="F224" s="1851" t="s">
        <v>89</v>
      </c>
      <c r="G224" s="1947"/>
      <c r="H224" s="1851"/>
      <c r="I224" s="1851" t="s">
        <v>19</v>
      </c>
      <c r="J224" s="1851" t="s">
        <v>234</v>
      </c>
      <c r="K224" s="1497" t="s">
        <v>7161</v>
      </c>
      <c r="L224" s="2361">
        <v>2000</v>
      </c>
      <c r="M224" s="2160" t="s">
        <v>6399</v>
      </c>
      <c r="N224" s="2369" t="s">
        <v>7162</v>
      </c>
      <c r="O224" s="2030">
        <v>2</v>
      </c>
    </row>
    <row r="225" spans="1:127" s="1880" customFormat="1" ht="58.5" customHeight="1">
      <c r="A225" s="2338"/>
      <c r="B225" s="1851" t="str">
        <f t="shared" si="9"/>
        <v>2200001878</v>
      </c>
      <c r="C225" s="1851" t="s">
        <v>6268</v>
      </c>
      <c r="D225" s="2454">
        <v>1208</v>
      </c>
      <c r="E225" s="1851" t="s">
        <v>7163</v>
      </c>
      <c r="F225" s="1872" t="s">
        <v>89</v>
      </c>
      <c r="G225" s="1851"/>
      <c r="H225" s="1947"/>
      <c r="I225" s="2374" t="s">
        <v>19</v>
      </c>
      <c r="J225" s="1872" t="s">
        <v>234</v>
      </c>
      <c r="K225" s="1628" t="s">
        <v>7164</v>
      </c>
      <c r="L225" s="2266">
        <v>1208</v>
      </c>
      <c r="M225" s="2447" t="s">
        <v>5937</v>
      </c>
      <c r="N225" s="2131" t="s">
        <v>7165</v>
      </c>
      <c r="O225" s="2102">
        <v>2</v>
      </c>
      <c r="P225" s="1883"/>
      <c r="Q225" s="1883"/>
      <c r="R225" s="1883"/>
      <c r="S225" s="1883"/>
      <c r="T225" s="1883"/>
      <c r="U225" s="1883"/>
      <c r="V225" s="1883"/>
      <c r="W225" s="1883"/>
      <c r="X225" s="1883"/>
      <c r="Y225" s="1883"/>
      <c r="Z225" s="1883"/>
      <c r="AA225" s="1883"/>
      <c r="AB225" s="1883"/>
      <c r="AC225" s="1883"/>
      <c r="AD225" s="1883"/>
      <c r="AE225" s="1883"/>
      <c r="AF225" s="1883"/>
      <c r="AG225" s="1883"/>
      <c r="AH225" s="1883"/>
      <c r="AI225" s="1883"/>
      <c r="AJ225" s="1883"/>
      <c r="AK225" s="1883"/>
      <c r="AL225" s="1883"/>
      <c r="AM225" s="1883"/>
      <c r="AN225" s="1883"/>
      <c r="AO225" s="1883"/>
      <c r="AP225" s="1883"/>
      <c r="AQ225" s="1883"/>
      <c r="AR225" s="1883"/>
      <c r="AS225" s="1883"/>
      <c r="AT225" s="1883"/>
      <c r="AU225" s="1883"/>
      <c r="AV225" s="1883"/>
      <c r="AW225" s="1883"/>
      <c r="AX225" s="1883"/>
      <c r="AY225" s="1883"/>
      <c r="AZ225" s="1883"/>
      <c r="BA225" s="1883"/>
      <c r="BB225" s="1883"/>
      <c r="BC225" s="1883"/>
      <c r="BD225" s="1883"/>
      <c r="BE225" s="1883"/>
      <c r="BF225" s="1883"/>
      <c r="BG225" s="1883"/>
      <c r="BH225" s="1883"/>
      <c r="BI225" s="1883"/>
      <c r="BJ225" s="1883"/>
      <c r="BK225" s="1883"/>
      <c r="BL225" s="1883"/>
      <c r="BM225" s="1883"/>
      <c r="BN225" s="1883"/>
      <c r="BO225" s="1883"/>
      <c r="BP225" s="1883"/>
      <c r="BQ225" s="1883"/>
      <c r="BR225" s="1883"/>
      <c r="BS225" s="1883"/>
      <c r="BT225" s="1883"/>
      <c r="BU225" s="1883"/>
      <c r="BV225" s="1883"/>
      <c r="BW225" s="1883"/>
      <c r="BX225" s="1883"/>
      <c r="BY225" s="1883"/>
      <c r="BZ225" s="1883"/>
      <c r="CA225" s="1883"/>
      <c r="CB225" s="1883"/>
      <c r="CC225" s="1883"/>
      <c r="CD225" s="1883"/>
      <c r="CE225" s="1883"/>
      <c r="CF225" s="1883"/>
      <c r="CG225" s="1883"/>
      <c r="CH225" s="1883"/>
      <c r="CI225" s="1883"/>
      <c r="CJ225" s="1883"/>
      <c r="CK225" s="1883"/>
      <c r="CL225" s="1883"/>
      <c r="CM225" s="1883"/>
      <c r="CN225" s="1883"/>
      <c r="CO225" s="1883"/>
      <c r="CP225" s="1883"/>
      <c r="CQ225" s="1883"/>
      <c r="CR225" s="1883"/>
      <c r="CS225" s="1883"/>
      <c r="CT225" s="1883"/>
      <c r="CU225" s="1883"/>
      <c r="CV225" s="1883"/>
      <c r="CW225" s="1883"/>
      <c r="CX225" s="1883"/>
      <c r="CY225" s="1883"/>
      <c r="CZ225" s="1883"/>
      <c r="DA225" s="1883"/>
      <c r="DB225" s="1883"/>
      <c r="DC225" s="1883"/>
      <c r="DD225" s="1883"/>
      <c r="DE225" s="1883"/>
      <c r="DF225" s="1883"/>
      <c r="DG225" s="1883"/>
      <c r="DH225" s="1883"/>
      <c r="DI225" s="1883"/>
      <c r="DJ225" s="1883"/>
      <c r="DK225" s="1883"/>
      <c r="DL225" s="1883"/>
      <c r="DM225" s="1883"/>
      <c r="DN225" s="1883"/>
      <c r="DO225" s="1883"/>
      <c r="DP225" s="1883"/>
      <c r="DQ225" s="1883"/>
      <c r="DR225" s="1883"/>
      <c r="DS225" s="1883"/>
      <c r="DT225" s="1883"/>
      <c r="DU225" s="1883"/>
      <c r="DV225" s="1883"/>
      <c r="DW225" s="1883"/>
    </row>
    <row r="226" spans="1:127" s="1777" customFormat="1" ht="58.5" customHeight="1">
      <c r="A226" s="2321"/>
      <c r="B226" s="1851" t="str">
        <f t="shared" si="9"/>
        <v>2000002694</v>
      </c>
      <c r="C226" s="1851" t="s">
        <v>6268</v>
      </c>
      <c r="D226" s="2454">
        <v>1000</v>
      </c>
      <c r="E226" s="1851" t="s">
        <v>7166</v>
      </c>
      <c r="F226" s="1872" t="s">
        <v>89</v>
      </c>
      <c r="G226" s="1495"/>
      <c r="H226" s="1947"/>
      <c r="I226" s="2320" t="s">
        <v>19</v>
      </c>
      <c r="J226" s="1872" t="s">
        <v>234</v>
      </c>
      <c r="K226" s="1496" t="s">
        <v>7167</v>
      </c>
      <c r="L226" s="2266">
        <v>1000</v>
      </c>
      <c r="M226" s="2448" t="s">
        <v>5937</v>
      </c>
      <c r="N226" s="2131"/>
      <c r="O226" s="2102">
        <v>2</v>
      </c>
      <c r="P226" s="1883"/>
      <c r="Q226" s="1883"/>
      <c r="R226" s="1883"/>
      <c r="S226" s="1883"/>
      <c r="T226" s="1883"/>
      <c r="U226" s="1883"/>
      <c r="V226" s="1883"/>
      <c r="W226" s="1883"/>
      <c r="X226" s="1883"/>
      <c r="Y226" s="1883"/>
      <c r="Z226" s="1883"/>
      <c r="AA226" s="1883"/>
      <c r="AB226" s="1883"/>
      <c r="AC226" s="1883"/>
      <c r="AD226" s="1883"/>
      <c r="AE226" s="1883"/>
      <c r="AF226" s="1883"/>
      <c r="AG226" s="1883"/>
      <c r="AH226" s="1883"/>
      <c r="AI226" s="1883"/>
      <c r="AJ226" s="1883"/>
      <c r="AK226" s="1883"/>
      <c r="AL226" s="1883"/>
      <c r="AM226" s="1883"/>
      <c r="AN226" s="1883"/>
      <c r="AO226" s="1883"/>
      <c r="AP226" s="1883"/>
      <c r="AQ226" s="1883"/>
      <c r="AR226" s="1883"/>
      <c r="AS226" s="1883"/>
      <c r="AT226" s="1883"/>
      <c r="AU226" s="1883"/>
      <c r="AV226" s="1883"/>
      <c r="AW226" s="1883"/>
      <c r="AX226" s="1883"/>
      <c r="AY226" s="1883"/>
      <c r="AZ226" s="1883"/>
      <c r="BA226" s="1883"/>
      <c r="BB226" s="1883"/>
      <c r="BC226" s="1883"/>
      <c r="BD226" s="1883"/>
      <c r="BE226" s="1883"/>
      <c r="BF226" s="1883"/>
      <c r="BG226" s="1883"/>
      <c r="BH226" s="1883"/>
      <c r="BI226" s="1883"/>
      <c r="BJ226" s="1883"/>
      <c r="BK226" s="1883"/>
      <c r="BL226" s="1883"/>
      <c r="BM226" s="1883"/>
      <c r="BN226" s="1883"/>
      <c r="BO226" s="1883"/>
      <c r="BP226" s="1883"/>
      <c r="BQ226" s="1883"/>
      <c r="BR226" s="1883"/>
      <c r="BS226" s="1883"/>
      <c r="BT226" s="1883"/>
      <c r="BU226" s="1883"/>
      <c r="BV226" s="1883"/>
      <c r="BW226" s="1883"/>
      <c r="BX226" s="1883"/>
      <c r="BY226" s="1883"/>
      <c r="BZ226" s="1883"/>
      <c r="CA226" s="1883"/>
      <c r="CB226" s="1883"/>
      <c r="CC226" s="1883"/>
      <c r="CD226" s="1883"/>
      <c r="CE226" s="1883"/>
      <c r="CF226" s="1883"/>
      <c r="CG226" s="1883"/>
      <c r="CH226" s="1883"/>
      <c r="CI226" s="1883"/>
      <c r="CJ226" s="1883"/>
      <c r="CK226" s="1883"/>
      <c r="CL226" s="1883"/>
      <c r="CM226" s="1883"/>
      <c r="CN226" s="1883"/>
      <c r="CO226" s="1883"/>
      <c r="CP226" s="1883"/>
      <c r="CQ226" s="1883"/>
      <c r="CR226" s="1883"/>
      <c r="CS226" s="1883"/>
      <c r="CT226" s="1883"/>
      <c r="CU226" s="1883"/>
      <c r="CV226" s="1883"/>
      <c r="CW226" s="1883"/>
      <c r="CX226" s="1883"/>
      <c r="CY226" s="1883"/>
      <c r="CZ226" s="1883"/>
      <c r="DA226" s="1883"/>
      <c r="DB226" s="1883"/>
      <c r="DC226" s="1883"/>
      <c r="DD226" s="1883"/>
      <c r="DE226" s="1883"/>
      <c r="DF226" s="1883"/>
      <c r="DG226" s="1883"/>
      <c r="DH226" s="1883"/>
      <c r="DI226" s="1883"/>
      <c r="DJ226" s="1883"/>
      <c r="DK226" s="1883"/>
      <c r="DL226" s="1883"/>
      <c r="DM226" s="1883"/>
      <c r="DN226" s="1883"/>
      <c r="DO226" s="1883"/>
      <c r="DP226" s="1883"/>
      <c r="DQ226" s="1883"/>
      <c r="DR226" s="1883"/>
      <c r="DS226" s="1883"/>
      <c r="DT226" s="1883"/>
      <c r="DU226" s="1883"/>
      <c r="DV226" s="1883"/>
      <c r="DW226" s="1883"/>
    </row>
    <row r="227" spans="1:127" s="1548" customFormat="1" ht="58.5" customHeight="1">
      <c r="A227" s="2469"/>
      <c r="B227" s="1851" t="str">
        <f t="shared" si="9"/>
        <v>2000002625</v>
      </c>
      <c r="C227" s="1851" t="s">
        <v>6268</v>
      </c>
      <c r="D227" s="2454">
        <v>1000</v>
      </c>
      <c r="E227" s="1851" t="s">
        <v>7168</v>
      </c>
      <c r="F227" s="1872" t="s">
        <v>89</v>
      </c>
      <c r="G227" s="1495"/>
      <c r="H227" s="1947" t="s">
        <v>7169</v>
      </c>
      <c r="I227" s="2320" t="s">
        <v>19</v>
      </c>
      <c r="J227" s="1872" t="s">
        <v>234</v>
      </c>
      <c r="K227" s="1496" t="s">
        <v>7170</v>
      </c>
      <c r="L227" s="2266">
        <v>1000</v>
      </c>
      <c r="M227" s="2448" t="s">
        <v>5937</v>
      </c>
      <c r="N227" s="2131"/>
      <c r="O227" s="2102">
        <v>2</v>
      </c>
      <c r="P227" s="1883"/>
      <c r="Q227" s="1883"/>
      <c r="R227" s="1883"/>
      <c r="S227" s="1883"/>
      <c r="T227" s="1883"/>
      <c r="U227" s="1883"/>
      <c r="V227" s="1883"/>
      <c r="W227" s="1883"/>
      <c r="X227" s="1883"/>
      <c r="Y227" s="1883"/>
      <c r="Z227" s="1883"/>
      <c r="AA227" s="1883"/>
      <c r="AB227" s="1883"/>
      <c r="AC227" s="1883"/>
      <c r="AD227" s="1883"/>
      <c r="AE227" s="1883"/>
      <c r="AF227" s="1883"/>
      <c r="AG227" s="1883"/>
      <c r="AH227" s="1883"/>
      <c r="AI227" s="1883"/>
      <c r="AJ227" s="1883"/>
      <c r="AK227" s="1883"/>
      <c r="AL227" s="1883"/>
      <c r="AM227" s="1883"/>
      <c r="AN227" s="1883"/>
      <c r="AO227" s="1883"/>
      <c r="AP227" s="1883"/>
      <c r="AQ227" s="1883"/>
      <c r="AR227" s="1883"/>
      <c r="AS227" s="1883"/>
      <c r="AT227" s="1883"/>
      <c r="AU227" s="1883"/>
      <c r="AV227" s="1883"/>
      <c r="AW227" s="1883"/>
      <c r="AX227" s="1883"/>
      <c r="AY227" s="1883"/>
      <c r="AZ227" s="1883"/>
      <c r="BA227" s="1883"/>
      <c r="BB227" s="1883"/>
      <c r="BC227" s="1883"/>
      <c r="BD227" s="1883"/>
      <c r="BE227" s="1883"/>
      <c r="BF227" s="1883"/>
      <c r="BG227" s="1883"/>
      <c r="BH227" s="1883"/>
      <c r="BI227" s="1883"/>
      <c r="BJ227" s="1883"/>
      <c r="BK227" s="1883"/>
      <c r="BL227" s="1883"/>
      <c r="BM227" s="1883"/>
      <c r="BN227" s="1883"/>
      <c r="BO227" s="1883"/>
      <c r="BP227" s="1883"/>
      <c r="BQ227" s="1883"/>
      <c r="BR227" s="1883"/>
      <c r="BS227" s="1883"/>
      <c r="BT227" s="1883"/>
      <c r="BU227" s="1883"/>
      <c r="BV227" s="1883"/>
      <c r="BW227" s="1883"/>
      <c r="BX227" s="1883"/>
      <c r="BY227" s="1883"/>
      <c r="BZ227" s="1883"/>
      <c r="CA227" s="1883"/>
      <c r="CB227" s="1883"/>
      <c r="CC227" s="1883"/>
      <c r="CD227" s="1883"/>
      <c r="CE227" s="1883"/>
      <c r="CF227" s="1883"/>
      <c r="CG227" s="1883"/>
      <c r="CH227" s="1883"/>
      <c r="CI227" s="1883"/>
      <c r="CJ227" s="1883"/>
      <c r="CK227" s="1883"/>
      <c r="CL227" s="1883"/>
      <c r="CM227" s="1883"/>
      <c r="CN227" s="1883"/>
      <c r="CO227" s="1883"/>
      <c r="CP227" s="1883"/>
      <c r="CQ227" s="1883"/>
      <c r="CR227" s="1883"/>
      <c r="CS227" s="1883"/>
      <c r="CT227" s="1883"/>
      <c r="CU227" s="1883"/>
      <c r="CV227" s="1883"/>
      <c r="CW227" s="1883"/>
      <c r="CX227" s="1883"/>
      <c r="CY227" s="1883"/>
      <c r="CZ227" s="1883"/>
      <c r="DA227" s="1883"/>
      <c r="DB227" s="1883"/>
      <c r="DC227" s="1883"/>
      <c r="DD227" s="1883"/>
      <c r="DE227" s="1883"/>
      <c r="DF227" s="1883"/>
      <c r="DG227" s="1883"/>
      <c r="DH227" s="1883"/>
      <c r="DI227" s="1883"/>
      <c r="DJ227" s="1883"/>
      <c r="DK227" s="1883"/>
      <c r="DL227" s="1883"/>
      <c r="DM227" s="1883"/>
      <c r="DN227" s="1883"/>
      <c r="DO227" s="1883"/>
      <c r="DP227" s="1883"/>
      <c r="DQ227" s="1883"/>
      <c r="DR227" s="1883"/>
      <c r="DS227" s="1883"/>
      <c r="DT227" s="1883"/>
      <c r="DU227" s="1883"/>
      <c r="DV227" s="1883"/>
      <c r="DW227" s="1883"/>
    </row>
    <row r="228" spans="1:127" s="1548" customFormat="1" ht="58.5" customHeight="1">
      <c r="A228" s="2321"/>
      <c r="B228" s="1851" t="str">
        <f t="shared" si="9"/>
        <v>2000002626</v>
      </c>
      <c r="C228" s="1851" t="s">
        <v>6268</v>
      </c>
      <c r="D228" s="2454">
        <v>1000</v>
      </c>
      <c r="E228" s="1851" t="s">
        <v>7171</v>
      </c>
      <c r="F228" s="1872" t="s">
        <v>89</v>
      </c>
      <c r="G228" s="1495"/>
      <c r="H228" s="1947" t="s">
        <v>7169</v>
      </c>
      <c r="I228" s="2320" t="s">
        <v>19</v>
      </c>
      <c r="J228" s="1872" t="s">
        <v>234</v>
      </c>
      <c r="K228" s="1496" t="s">
        <v>7172</v>
      </c>
      <c r="L228" s="2266">
        <v>1000</v>
      </c>
      <c r="M228" s="2448" t="s">
        <v>5937</v>
      </c>
      <c r="N228" s="2131"/>
      <c r="O228" s="2102">
        <v>3</v>
      </c>
      <c r="P228" s="1883"/>
      <c r="Q228" s="1883"/>
      <c r="R228" s="1883"/>
      <c r="S228" s="1883"/>
      <c r="T228" s="1883"/>
      <c r="U228" s="1883"/>
      <c r="V228" s="1883"/>
      <c r="W228" s="1883"/>
      <c r="X228" s="1883"/>
      <c r="Y228" s="1883"/>
      <c r="Z228" s="1883"/>
      <c r="AA228" s="1883"/>
      <c r="AB228" s="1883"/>
      <c r="AC228" s="1883"/>
      <c r="AD228" s="1883"/>
      <c r="AE228" s="1883"/>
      <c r="AF228" s="1883"/>
      <c r="AG228" s="1883"/>
      <c r="AH228" s="1883"/>
      <c r="AI228" s="1883"/>
      <c r="AJ228" s="1883"/>
      <c r="AK228" s="1883"/>
      <c r="AL228" s="1883"/>
      <c r="AM228" s="1883"/>
      <c r="AN228" s="1883"/>
      <c r="AO228" s="1883"/>
      <c r="AP228" s="1883"/>
      <c r="AQ228" s="1883"/>
      <c r="AR228" s="1883"/>
      <c r="AS228" s="1883"/>
      <c r="AT228" s="1883"/>
      <c r="AU228" s="1883"/>
      <c r="AV228" s="1883"/>
      <c r="AW228" s="1883"/>
      <c r="AX228" s="1883"/>
      <c r="AY228" s="1883"/>
      <c r="AZ228" s="1883"/>
      <c r="BA228" s="1883"/>
      <c r="BB228" s="1883"/>
      <c r="BC228" s="1883"/>
      <c r="BD228" s="1883"/>
      <c r="BE228" s="1883"/>
      <c r="BF228" s="1883"/>
      <c r="BG228" s="1883"/>
      <c r="BH228" s="1883"/>
      <c r="BI228" s="1883"/>
      <c r="BJ228" s="1883"/>
      <c r="BK228" s="1883"/>
      <c r="BL228" s="1883"/>
      <c r="BM228" s="1883"/>
      <c r="BN228" s="1883"/>
      <c r="BO228" s="1883"/>
      <c r="BP228" s="1883"/>
      <c r="BQ228" s="1883"/>
      <c r="BR228" s="1883"/>
      <c r="BS228" s="1883"/>
      <c r="BT228" s="1883"/>
      <c r="BU228" s="1883"/>
      <c r="BV228" s="1883"/>
      <c r="BW228" s="1883"/>
      <c r="BX228" s="1883"/>
      <c r="BY228" s="1883"/>
      <c r="BZ228" s="1883"/>
      <c r="CA228" s="1883"/>
      <c r="CB228" s="1883"/>
      <c r="CC228" s="1883"/>
      <c r="CD228" s="1883"/>
      <c r="CE228" s="1883"/>
      <c r="CF228" s="1883"/>
      <c r="CG228" s="1883"/>
      <c r="CH228" s="1883"/>
      <c r="CI228" s="1883"/>
      <c r="CJ228" s="1883"/>
      <c r="CK228" s="1883"/>
      <c r="CL228" s="1883"/>
      <c r="CM228" s="1883"/>
      <c r="CN228" s="1883"/>
      <c r="CO228" s="1883"/>
      <c r="CP228" s="1883"/>
      <c r="CQ228" s="1883"/>
      <c r="CR228" s="1883"/>
      <c r="CS228" s="1883"/>
      <c r="CT228" s="1883"/>
      <c r="CU228" s="1883"/>
      <c r="CV228" s="1883"/>
      <c r="CW228" s="1883"/>
      <c r="CX228" s="1883"/>
      <c r="CY228" s="1883"/>
      <c r="CZ228" s="1883"/>
      <c r="DA228" s="1883"/>
      <c r="DB228" s="1883"/>
      <c r="DC228" s="1883"/>
      <c r="DD228" s="1883"/>
      <c r="DE228" s="1883"/>
      <c r="DF228" s="1883"/>
      <c r="DG228" s="1883"/>
      <c r="DH228" s="1883"/>
      <c r="DI228" s="1883"/>
      <c r="DJ228" s="1883"/>
      <c r="DK228" s="1883"/>
      <c r="DL228" s="1883"/>
      <c r="DM228" s="1883"/>
      <c r="DN228" s="1883"/>
      <c r="DO228" s="1883"/>
      <c r="DP228" s="1883"/>
      <c r="DQ228" s="1883"/>
      <c r="DR228" s="1883"/>
      <c r="DS228" s="1883"/>
      <c r="DT228" s="1883"/>
      <c r="DU228" s="1883"/>
      <c r="DV228" s="1883"/>
      <c r="DW228" s="1883"/>
    </row>
    <row r="229" spans="1:127" s="1548" customFormat="1" ht="58.5" customHeight="1">
      <c r="A229" s="1542"/>
      <c r="B229" s="1493">
        <v>2000002676</v>
      </c>
      <c r="C229" s="1493" t="s">
        <v>6268</v>
      </c>
      <c r="D229" s="1494"/>
      <c r="E229" s="1495" t="s">
        <v>7173</v>
      </c>
      <c r="F229" s="1493" t="s">
        <v>89</v>
      </c>
      <c r="G229" s="1495"/>
      <c r="H229" s="1495"/>
      <c r="I229" s="1495" t="s">
        <v>19</v>
      </c>
      <c r="J229" s="1495" t="s">
        <v>234</v>
      </c>
      <c r="K229" s="1600" t="s">
        <v>7174</v>
      </c>
      <c r="L229" s="2357">
        <v>1500</v>
      </c>
      <c r="M229" s="2196" t="s">
        <v>5937</v>
      </c>
      <c r="N229" s="2498"/>
      <c r="O229" s="2359"/>
    </row>
    <row r="230" spans="1:127" ht="58.5" customHeight="1">
      <c r="B230" s="1"/>
      <c r="D230" s="1138"/>
    </row>
    <row r="231" spans="1:127" ht="58.5" customHeight="1">
      <c r="B231" s="1"/>
      <c r="D231" s="1138"/>
    </row>
    <row r="232" spans="1:127" ht="58.5" customHeight="1">
      <c r="B232" s="1"/>
      <c r="D232" s="1138"/>
    </row>
    <row r="233" spans="1:127" ht="58.5" customHeight="1">
      <c r="B233" s="1"/>
      <c r="D233" s="1138"/>
    </row>
    <row r="234" spans="1:127" ht="58.5" customHeight="1">
      <c r="B234" s="1"/>
      <c r="D234" s="1138"/>
    </row>
    <row r="235" spans="1:127" ht="58.5" customHeight="1">
      <c r="B235" s="1"/>
      <c r="D235" s="1138"/>
    </row>
    <row r="236" spans="1:127" ht="58.5" customHeight="1">
      <c r="B236" s="1"/>
      <c r="D236" s="1138"/>
    </row>
    <row r="237" spans="1:127" ht="58.5" customHeight="1">
      <c r="B237" s="1"/>
      <c r="D237" s="1138"/>
    </row>
    <row r="238" spans="1:127" ht="58.5" customHeight="1">
      <c r="B238" s="1"/>
      <c r="D238" s="1138"/>
    </row>
    <row r="239" spans="1:127" ht="58.5" customHeight="1">
      <c r="B239" s="1"/>
      <c r="D239" s="1138"/>
    </row>
    <row r="240" spans="1:127" ht="58.5" customHeight="1">
      <c r="B240" s="1"/>
    </row>
  </sheetData>
  <autoFilter ref="A3:DW229" xr:uid="{B351A121-B853-49EC-9728-8ED67CF83AF9}"/>
  <mergeCells count="38">
    <mergeCell ref="A120:A121"/>
    <mergeCell ref="A166:A174"/>
    <mergeCell ref="A185:A187"/>
    <mergeCell ref="A175:A177"/>
    <mergeCell ref="A149:A152"/>
    <mergeCell ref="A147:A148"/>
    <mergeCell ref="A215:A221"/>
    <mergeCell ref="A111:A115"/>
    <mergeCell ref="A196:A201"/>
    <mergeCell ref="A1:P1"/>
    <mergeCell ref="A194:A195"/>
    <mergeCell ref="A156:A157"/>
    <mergeCell ref="A158:A165"/>
    <mergeCell ref="A153:A154"/>
    <mergeCell ref="A182:A184"/>
    <mergeCell ref="A178:A179"/>
    <mergeCell ref="A188:A193"/>
    <mergeCell ref="A180:A181"/>
    <mergeCell ref="A101:A108"/>
    <mergeCell ref="A127:A140"/>
    <mergeCell ref="A125:A126"/>
    <mergeCell ref="A205:A210"/>
    <mergeCell ref="A212:A214"/>
    <mergeCell ref="A40:A48"/>
    <mergeCell ref="A49:A50"/>
    <mergeCell ref="A51:A52"/>
    <mergeCell ref="A53:A70"/>
    <mergeCell ref="A72:A76"/>
    <mergeCell ref="A78:A89"/>
    <mergeCell ref="A90:A91"/>
    <mergeCell ref="A92:A93"/>
    <mergeCell ref="A94:A100"/>
    <mergeCell ref="A109:A110"/>
    <mergeCell ref="A117:A118"/>
    <mergeCell ref="A123:A124"/>
    <mergeCell ref="A143:A146"/>
    <mergeCell ref="A202:A204"/>
    <mergeCell ref="A141:A142"/>
  </mergeCells>
  <conditionalFormatting sqref="B241:B1048576">
    <cfRule type="duplicateValues" dxfId="83" priority="1111"/>
    <cfRule type="duplicateValues" dxfId="82" priority="1112"/>
  </conditionalFormatting>
  <pageMargins left="0.7" right="0.7" top="0.75" bottom="0.75" header="0.3" footer="0.3"/>
  <pageSetup paperSize="9" scale="40" orientation="landscape" r:id="rId1"/>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866184-F735-47A3-867E-509D88C61238}">
  <sheetPr>
    <tabColor theme="6"/>
    <pageSetUpPr fitToPage="1"/>
  </sheetPr>
  <dimension ref="A1:DW142"/>
  <sheetViews>
    <sheetView topLeftCell="A2" zoomScale="70" zoomScaleNormal="70" workbookViewId="0">
      <pane xSplit="4" ySplit="3" topLeftCell="E39" activePane="bottomRight" state="frozen"/>
      <selection pane="topRight" activeCell="E39" sqref="E39"/>
      <selection pane="bottomLeft" activeCell="E39" sqref="E39"/>
      <selection pane="bottomRight" activeCell="E39" sqref="E39"/>
    </sheetView>
  </sheetViews>
  <sheetFormatPr defaultColWidth="32.140625" defaultRowHeight="58.5" customHeight="1"/>
  <cols>
    <col min="1" max="1" width="8.5703125" style="359" customWidth="1"/>
    <col min="2" max="2" width="21.140625" style="763" customWidth="1"/>
    <col min="3" max="3" width="32.140625" style="1" customWidth="1"/>
    <col min="4" max="4" width="19" style="1138" customWidth="1"/>
    <col min="5" max="5" width="28" style="271" customWidth="1"/>
    <col min="6" max="6" width="21.85546875" style="1" customWidth="1"/>
    <col min="7" max="7" width="24.28515625" style="271" customWidth="1"/>
    <col min="8" max="8" width="21.85546875" style="271" customWidth="1"/>
    <col min="9" max="10" width="25.5703125" style="271" customWidth="1"/>
    <col min="11" max="11" width="76.28515625" style="9" customWidth="1"/>
    <col min="12" max="12" width="20.7109375" style="1" customWidth="1"/>
    <col min="13" max="13" width="34.140625" style="1" customWidth="1"/>
    <col min="14" max="14" width="71.140625" style="763" customWidth="1"/>
    <col min="15" max="15" width="44.85546875" style="763" customWidth="1"/>
    <col min="16" max="16384" width="32.140625" style="3"/>
  </cols>
  <sheetData>
    <row r="1" spans="1:127" ht="58.5" customHeight="1">
      <c r="B1" s="1848"/>
      <c r="C1" s="10"/>
      <c r="D1" s="2080"/>
      <c r="E1" s="2080"/>
      <c r="F1" s="2080"/>
      <c r="G1" s="2080"/>
      <c r="H1" s="2080"/>
      <c r="I1" s="2080"/>
      <c r="J1" s="2080"/>
      <c r="K1" s="2080"/>
      <c r="L1" s="2105"/>
      <c r="N1" s="1848"/>
      <c r="O1" s="1848"/>
    </row>
    <row r="2" spans="1:127" ht="50.25" customHeight="1">
      <c r="A2" s="3789" t="s">
        <v>4760</v>
      </c>
      <c r="B2" s="3789"/>
      <c r="C2" s="3789"/>
      <c r="D2" s="3789"/>
      <c r="E2" s="3789"/>
      <c r="F2" s="3789"/>
      <c r="G2" s="3789"/>
      <c r="H2" s="3789"/>
      <c r="I2" s="3789"/>
      <c r="J2" s="3789"/>
      <c r="K2" s="3789"/>
      <c r="L2" s="3789"/>
      <c r="M2" s="3789"/>
      <c r="N2" s="3789"/>
      <c r="O2" s="3789"/>
    </row>
    <row r="3" spans="1:127" ht="39.75" customHeight="1">
      <c r="A3" s="3712" t="s">
        <v>3388</v>
      </c>
      <c r="B3" s="3712"/>
      <c r="C3" s="3712"/>
      <c r="D3" s="2091">
        <f>SUBTOTAL(9,D5:D618)</f>
        <v>285970</v>
      </c>
      <c r="E3" s="1932"/>
      <c r="F3" s="2092"/>
      <c r="G3" s="1932"/>
      <c r="H3" s="1932"/>
      <c r="I3" s="1932"/>
      <c r="J3" s="1932"/>
      <c r="K3" s="2093">
        <f ca="1">TODAY()</f>
        <v>45960</v>
      </c>
      <c r="L3" s="2091">
        <f>SUBTOTAL(9,L5:L618)</f>
        <v>282084</v>
      </c>
      <c r="M3" s="2094"/>
      <c r="N3" s="2099"/>
      <c r="O3" s="2099"/>
    </row>
    <row r="4" spans="1:127" s="1149" customFormat="1" ht="79.5" customHeight="1">
      <c r="A4" s="2109" t="s">
        <v>1</v>
      </c>
      <c r="B4" s="2110" t="s">
        <v>5190</v>
      </c>
      <c r="C4" s="2111" t="s">
        <v>2</v>
      </c>
      <c r="D4" s="2090" t="s">
        <v>5423</v>
      </c>
      <c r="E4" s="1970" t="s">
        <v>3389</v>
      </c>
      <c r="F4" s="1970" t="s">
        <v>5</v>
      </c>
      <c r="G4" s="1970" t="s">
        <v>3390</v>
      </c>
      <c r="H4" s="1970" t="s">
        <v>6700</v>
      </c>
      <c r="I4" s="1970" t="s">
        <v>8</v>
      </c>
      <c r="J4" s="1970" t="s">
        <v>9</v>
      </c>
      <c r="K4" s="1970" t="s">
        <v>6701</v>
      </c>
      <c r="L4" s="1970" t="s">
        <v>6262</v>
      </c>
      <c r="M4" s="1970" t="s">
        <v>7175</v>
      </c>
      <c r="N4" s="2100" t="s">
        <v>11</v>
      </c>
      <c r="O4" s="2100"/>
    </row>
    <row r="5" spans="1:127" s="2086" customFormat="1" ht="51" customHeight="1">
      <c r="A5" s="3790">
        <v>1</v>
      </c>
      <c r="B5" s="2101" t="str">
        <f t="shared" ref="B5:B36" si="0">TEXT(LEFT(K5,10),"0000000000")</f>
        <v>2200001829</v>
      </c>
      <c r="C5" s="1461" t="s">
        <v>3491</v>
      </c>
      <c r="D5" s="2124">
        <v>4300</v>
      </c>
      <c r="E5" s="1461" t="s">
        <v>4761</v>
      </c>
      <c r="F5" s="1461" t="s">
        <v>3401</v>
      </c>
      <c r="G5" s="1461" t="s">
        <v>4762</v>
      </c>
      <c r="H5" s="1461" t="s">
        <v>1599</v>
      </c>
      <c r="I5" s="1461" t="s">
        <v>19</v>
      </c>
      <c r="J5" s="2125" t="s">
        <v>959</v>
      </c>
      <c r="K5" s="1916" t="s">
        <v>7176</v>
      </c>
      <c r="L5" s="2126">
        <v>433</v>
      </c>
      <c r="M5" s="1461" t="s">
        <v>7177</v>
      </c>
      <c r="N5" s="2123" t="s">
        <v>7178</v>
      </c>
      <c r="O5" s="2123"/>
      <c r="P5" s="2129"/>
      <c r="Q5" s="2129"/>
      <c r="R5" s="2129"/>
      <c r="S5" s="2129"/>
      <c r="T5" s="2129"/>
      <c r="U5" s="2129"/>
      <c r="V5" s="2129"/>
      <c r="W5" s="2129"/>
      <c r="X5" s="2129"/>
      <c r="Y5" s="2129"/>
      <c r="Z5" s="2129"/>
      <c r="AA5" s="2129"/>
      <c r="AB5" s="2129"/>
      <c r="AC5" s="2129"/>
      <c r="AD5" s="2129"/>
      <c r="AE5" s="2129"/>
      <c r="AF5" s="2129"/>
      <c r="AG5" s="2129"/>
      <c r="AH5" s="2129"/>
      <c r="AI5" s="2129"/>
      <c r="AJ5" s="2129"/>
      <c r="AK5" s="2129"/>
      <c r="AL5" s="2129"/>
      <c r="AM5" s="2129"/>
      <c r="AN5" s="2129"/>
      <c r="AO5" s="2129"/>
      <c r="AP5" s="2129"/>
      <c r="AQ5" s="2129"/>
      <c r="AR5" s="2129"/>
      <c r="AS5" s="2129"/>
      <c r="AT5" s="2129"/>
      <c r="AU5" s="2129"/>
      <c r="AV5" s="2129"/>
      <c r="AW5" s="2129"/>
      <c r="AX5" s="2129"/>
      <c r="AY5" s="2129"/>
      <c r="AZ5" s="2129"/>
      <c r="BA5" s="2129"/>
      <c r="BB5" s="2129"/>
      <c r="BC5" s="2129"/>
      <c r="BD5" s="2129"/>
      <c r="BE5" s="2129"/>
      <c r="BF5" s="2129"/>
      <c r="BG5" s="2129"/>
      <c r="BH5" s="2129"/>
      <c r="BI5" s="2129"/>
      <c r="BJ5" s="2129"/>
      <c r="BK5" s="2129"/>
      <c r="BL5" s="2129"/>
      <c r="BM5" s="2129"/>
      <c r="BN5" s="2129"/>
      <c r="BO5" s="2129"/>
      <c r="BP5" s="2129"/>
      <c r="BQ5" s="2129"/>
      <c r="BR5" s="2129"/>
      <c r="BS5" s="2129"/>
      <c r="BT5" s="2129"/>
      <c r="BU5" s="2129"/>
      <c r="BV5" s="2129"/>
      <c r="BW5" s="2129"/>
      <c r="BX5" s="2129"/>
      <c r="BY5" s="2129"/>
      <c r="BZ5" s="2129"/>
      <c r="CA5" s="2129"/>
      <c r="CB5" s="2129"/>
      <c r="CC5" s="2129"/>
      <c r="CD5" s="2129"/>
      <c r="CE5" s="2129"/>
      <c r="CF5" s="2129"/>
      <c r="CG5" s="2129"/>
      <c r="CH5" s="2129"/>
      <c r="CI5" s="2129"/>
      <c r="CJ5" s="2129"/>
      <c r="CK5" s="2129"/>
      <c r="CL5" s="2129"/>
      <c r="CM5" s="2129"/>
      <c r="CN5" s="2129"/>
      <c r="CO5" s="2129"/>
      <c r="CP5" s="2129"/>
      <c r="CQ5" s="2129"/>
      <c r="CR5" s="2129"/>
      <c r="CS5" s="2129"/>
      <c r="CT5" s="2129"/>
      <c r="CU5" s="2129"/>
      <c r="CV5" s="2129"/>
      <c r="CW5" s="2129"/>
      <c r="CX5" s="2129"/>
      <c r="CY5" s="2129"/>
      <c r="CZ5" s="2129"/>
      <c r="DA5" s="2129"/>
      <c r="DB5" s="2129"/>
      <c r="DC5" s="2129"/>
      <c r="DD5" s="2129"/>
      <c r="DE5" s="2129"/>
      <c r="DF5" s="2129"/>
      <c r="DG5" s="2129"/>
      <c r="DH5" s="2129"/>
      <c r="DI5" s="2129"/>
      <c r="DJ5" s="2129"/>
      <c r="DK5" s="2129"/>
      <c r="DL5" s="2129"/>
      <c r="DM5" s="2129"/>
      <c r="DN5" s="2129"/>
      <c r="DO5" s="2129"/>
      <c r="DP5" s="2129"/>
      <c r="DQ5" s="2129"/>
      <c r="DR5" s="2129"/>
      <c r="DS5" s="2129"/>
      <c r="DT5" s="2129"/>
      <c r="DU5" s="2129"/>
      <c r="DV5" s="2129"/>
      <c r="DW5" s="2129"/>
    </row>
    <row r="6" spans="1:127" s="2077" customFormat="1" ht="51" customHeight="1">
      <c r="A6" s="3791"/>
      <c r="B6" s="2101" t="str">
        <f t="shared" si="0"/>
        <v>2200001831</v>
      </c>
      <c r="C6" s="1460" t="s">
        <v>3491</v>
      </c>
      <c r="D6" s="1460"/>
      <c r="E6" s="1460"/>
      <c r="F6" s="1460" t="s">
        <v>3401</v>
      </c>
      <c r="G6" s="1460"/>
      <c r="H6" s="1460"/>
      <c r="I6" s="1460"/>
      <c r="J6" s="2098" t="s">
        <v>959</v>
      </c>
      <c r="K6" s="1496" t="s">
        <v>7179</v>
      </c>
      <c r="L6" s="2106">
        <v>3825</v>
      </c>
      <c r="M6" s="1460" t="s">
        <v>7177</v>
      </c>
      <c r="N6" s="2101"/>
      <c r="O6" s="2101"/>
      <c r="P6" s="1883"/>
      <c r="Q6" s="1883"/>
      <c r="R6" s="1883"/>
      <c r="S6" s="1883"/>
      <c r="T6" s="1883"/>
      <c r="U6" s="1883"/>
      <c r="V6" s="1883"/>
      <c r="W6" s="1883"/>
      <c r="X6" s="1883"/>
      <c r="Y6" s="1883"/>
      <c r="Z6" s="1883"/>
      <c r="AA6" s="1883"/>
      <c r="AB6" s="1883"/>
      <c r="AC6" s="1883"/>
      <c r="AD6" s="1883"/>
      <c r="AE6" s="1883"/>
      <c r="AF6" s="1883"/>
      <c r="AG6" s="1883"/>
      <c r="AH6" s="1883"/>
      <c r="AI6" s="1883"/>
      <c r="AJ6" s="1883"/>
      <c r="AK6" s="1883"/>
      <c r="AL6" s="1883"/>
      <c r="AM6" s="1883"/>
      <c r="AN6" s="1883"/>
      <c r="AO6" s="1883"/>
      <c r="AP6" s="1883"/>
      <c r="AQ6" s="1883"/>
      <c r="AR6" s="1883"/>
      <c r="AS6" s="1883"/>
      <c r="AT6" s="1883"/>
      <c r="AU6" s="1883"/>
      <c r="AV6" s="1883"/>
      <c r="AW6" s="1883"/>
      <c r="AX6" s="1883"/>
      <c r="AY6" s="1883"/>
      <c r="AZ6" s="1883"/>
      <c r="BA6" s="1883"/>
      <c r="BB6" s="1883"/>
      <c r="BC6" s="1883"/>
      <c r="BD6" s="1883"/>
      <c r="BE6" s="1883"/>
      <c r="BF6" s="1883"/>
      <c r="BG6" s="1883"/>
      <c r="BH6" s="1883"/>
      <c r="BI6" s="1883"/>
      <c r="BJ6" s="1883"/>
      <c r="BK6" s="1883"/>
      <c r="BL6" s="1883"/>
      <c r="BM6" s="1883"/>
      <c r="BN6" s="1883"/>
      <c r="BO6" s="1883"/>
      <c r="BP6" s="1883"/>
      <c r="BQ6" s="1883"/>
      <c r="BR6" s="1883"/>
      <c r="BS6" s="1883"/>
      <c r="BT6" s="1883"/>
      <c r="BU6" s="1883"/>
      <c r="BV6" s="1883"/>
      <c r="BW6" s="1883"/>
      <c r="BX6" s="1883"/>
      <c r="BY6" s="1883"/>
      <c r="BZ6" s="1883"/>
      <c r="CA6" s="1883"/>
      <c r="CB6" s="1883"/>
      <c r="CC6" s="1883"/>
      <c r="CD6" s="1883"/>
      <c r="CE6" s="1883"/>
      <c r="CF6" s="1883"/>
      <c r="CG6" s="1883"/>
      <c r="CH6" s="1883"/>
      <c r="CI6" s="1883"/>
      <c r="CJ6" s="1883"/>
      <c r="CK6" s="1883"/>
      <c r="CL6" s="1883"/>
      <c r="CM6" s="1883"/>
      <c r="CN6" s="1883"/>
      <c r="CO6" s="1883"/>
      <c r="CP6" s="1883"/>
      <c r="CQ6" s="1883"/>
      <c r="CR6" s="1883"/>
      <c r="CS6" s="1883"/>
      <c r="CT6" s="1883"/>
      <c r="CU6" s="1883"/>
      <c r="CV6" s="1883"/>
      <c r="CW6" s="1883"/>
      <c r="CX6" s="1883"/>
      <c r="CY6" s="1883"/>
      <c r="CZ6" s="1883"/>
      <c r="DA6" s="1883"/>
      <c r="DB6" s="1883"/>
      <c r="DC6" s="1883"/>
      <c r="DD6" s="1883"/>
      <c r="DE6" s="1883"/>
      <c r="DF6" s="1883"/>
      <c r="DG6" s="1883"/>
      <c r="DH6" s="1883"/>
      <c r="DI6" s="1883"/>
      <c r="DJ6" s="1883"/>
      <c r="DK6" s="1883"/>
      <c r="DL6" s="1883"/>
      <c r="DM6" s="1883"/>
      <c r="DN6" s="1883"/>
      <c r="DO6" s="1883"/>
      <c r="DP6" s="1883"/>
      <c r="DQ6" s="1883"/>
      <c r="DR6" s="1883"/>
      <c r="DS6" s="1883"/>
      <c r="DT6" s="1883"/>
      <c r="DU6" s="1883"/>
      <c r="DV6" s="1883"/>
      <c r="DW6" s="1883"/>
    </row>
    <row r="7" spans="1:127" s="2087" customFormat="1" ht="60" customHeight="1">
      <c r="A7" s="3790">
        <v>2</v>
      </c>
      <c r="B7" s="2101" t="str">
        <f t="shared" si="0"/>
        <v>2000002556</v>
      </c>
      <c r="C7" s="1461" t="s">
        <v>3629</v>
      </c>
      <c r="D7" s="2124">
        <v>23000</v>
      </c>
      <c r="E7" s="1461" t="s">
        <v>4765</v>
      </c>
      <c r="F7" s="1461" t="s">
        <v>3416</v>
      </c>
      <c r="G7" s="1461" t="s">
        <v>4766</v>
      </c>
      <c r="H7" s="1461" t="s">
        <v>1599</v>
      </c>
      <c r="I7" s="1461" t="s">
        <v>19</v>
      </c>
      <c r="J7" s="2125" t="s">
        <v>20</v>
      </c>
      <c r="K7" s="2148" t="s">
        <v>7180</v>
      </c>
      <c r="L7" s="2149">
        <v>23000</v>
      </c>
      <c r="M7" s="1461" t="s">
        <v>7181</v>
      </c>
      <c r="N7" s="2123" t="s">
        <v>7182</v>
      </c>
      <c r="O7" s="2123"/>
      <c r="P7" s="2128"/>
      <c r="Q7" s="2128"/>
      <c r="R7" s="2128"/>
      <c r="S7" s="2128"/>
      <c r="T7" s="2128"/>
      <c r="U7" s="2128"/>
      <c r="V7" s="2128"/>
      <c r="W7" s="2128"/>
      <c r="X7" s="2128"/>
      <c r="Y7" s="2128"/>
      <c r="Z7" s="2128"/>
      <c r="AA7" s="2128"/>
      <c r="AB7" s="2128"/>
      <c r="AC7" s="2128"/>
      <c r="AD7" s="2128"/>
      <c r="AE7" s="2128"/>
      <c r="AF7" s="2128"/>
      <c r="AG7" s="2128"/>
      <c r="AH7" s="2128"/>
      <c r="AI7" s="2128"/>
      <c r="AJ7" s="2128"/>
      <c r="AK7" s="2128"/>
      <c r="AL7" s="2128"/>
      <c r="AM7" s="2128"/>
      <c r="AN7" s="2128"/>
      <c r="AO7" s="2128"/>
      <c r="AP7" s="2128"/>
      <c r="AQ7" s="2128"/>
      <c r="AR7" s="2128"/>
      <c r="AS7" s="2128"/>
      <c r="AT7" s="2128"/>
      <c r="AU7" s="2128"/>
      <c r="AV7" s="2128"/>
      <c r="AW7" s="2128"/>
      <c r="AX7" s="2128"/>
      <c r="AY7" s="2128"/>
      <c r="AZ7" s="2128"/>
      <c r="BA7" s="2128"/>
      <c r="BB7" s="2128"/>
      <c r="BC7" s="2128"/>
      <c r="BD7" s="2128"/>
      <c r="BE7" s="2128"/>
      <c r="BF7" s="2128"/>
      <c r="BG7" s="2128"/>
      <c r="BH7" s="2128"/>
      <c r="BI7" s="2128"/>
      <c r="BJ7" s="2128"/>
      <c r="BK7" s="2128"/>
      <c r="BL7" s="2128"/>
      <c r="BM7" s="2128"/>
      <c r="BN7" s="2128"/>
      <c r="BO7" s="2128"/>
      <c r="BP7" s="2128"/>
      <c r="BQ7" s="2128"/>
      <c r="BR7" s="2128"/>
      <c r="BS7" s="2128"/>
      <c r="BT7" s="2128"/>
      <c r="BU7" s="2128"/>
      <c r="BV7" s="2128"/>
      <c r="BW7" s="2128"/>
      <c r="BX7" s="2128"/>
      <c r="BY7" s="2128"/>
      <c r="BZ7" s="2128"/>
      <c r="CA7" s="2128"/>
      <c r="CB7" s="2128"/>
      <c r="CC7" s="2128"/>
      <c r="CD7" s="2128"/>
      <c r="CE7" s="2128"/>
      <c r="CF7" s="2128"/>
      <c r="CG7" s="2128"/>
      <c r="CH7" s="2128"/>
      <c r="CI7" s="2128"/>
      <c r="CJ7" s="2128"/>
      <c r="CK7" s="2128"/>
      <c r="CL7" s="2128"/>
      <c r="CM7" s="2128"/>
      <c r="CN7" s="2128"/>
      <c r="CO7" s="2128"/>
      <c r="CP7" s="2128"/>
      <c r="CQ7" s="2128"/>
      <c r="CR7" s="2128"/>
      <c r="CS7" s="2128"/>
      <c r="CT7" s="2128"/>
      <c r="CU7" s="2128"/>
      <c r="CV7" s="2128"/>
      <c r="CW7" s="2128"/>
      <c r="CX7" s="2128"/>
      <c r="CY7" s="2128"/>
      <c r="CZ7" s="2128"/>
      <c r="DA7" s="2128"/>
      <c r="DB7" s="2128"/>
      <c r="DC7" s="2128"/>
      <c r="DD7" s="2128"/>
      <c r="DE7" s="2128"/>
      <c r="DF7" s="2128"/>
      <c r="DG7" s="2128"/>
      <c r="DH7" s="2128"/>
      <c r="DI7" s="2128"/>
      <c r="DJ7" s="2128"/>
      <c r="DK7" s="2128"/>
      <c r="DL7" s="2128"/>
      <c r="DM7" s="2128"/>
      <c r="DN7" s="2128"/>
      <c r="DO7" s="2128"/>
      <c r="DP7" s="2128"/>
      <c r="DQ7" s="2128"/>
      <c r="DR7" s="2128"/>
      <c r="DS7" s="2128"/>
      <c r="DT7" s="2128"/>
      <c r="DU7" s="2128"/>
      <c r="DV7" s="2128"/>
      <c r="DW7" s="2128"/>
    </row>
    <row r="8" spans="1:127" s="2077" customFormat="1" ht="51" customHeight="1">
      <c r="A8" s="3791"/>
      <c r="B8" s="2101" t="str">
        <f t="shared" si="0"/>
        <v>2000002559</v>
      </c>
      <c r="C8" s="1460" t="s">
        <v>3629</v>
      </c>
      <c r="D8" s="1460"/>
      <c r="E8" s="1460"/>
      <c r="F8" s="1460" t="s">
        <v>3416</v>
      </c>
      <c r="G8" s="1460"/>
      <c r="H8" s="1460"/>
      <c r="I8" s="1460"/>
      <c r="J8" s="2098" t="s">
        <v>20</v>
      </c>
      <c r="K8" s="1496" t="s">
        <v>7183</v>
      </c>
      <c r="L8" s="2106"/>
      <c r="M8" s="1460" t="s">
        <v>7181</v>
      </c>
      <c r="N8" s="2101"/>
      <c r="O8" s="2101"/>
      <c r="P8" s="1883"/>
      <c r="Q8" s="1883"/>
      <c r="R8" s="1883"/>
      <c r="S8" s="1883"/>
      <c r="T8" s="1883"/>
      <c r="U8" s="1883"/>
      <c r="V8" s="1883"/>
      <c r="W8" s="1883"/>
      <c r="X8" s="1883"/>
      <c r="Y8" s="1883"/>
      <c r="Z8" s="1883"/>
      <c r="AA8" s="1883"/>
      <c r="AB8" s="1883"/>
      <c r="AC8" s="1883"/>
      <c r="AD8" s="1883"/>
      <c r="AE8" s="1883"/>
      <c r="AF8" s="1883"/>
      <c r="AG8" s="1883"/>
      <c r="AH8" s="1883"/>
      <c r="AI8" s="1883"/>
      <c r="AJ8" s="1883"/>
      <c r="AK8" s="1883"/>
      <c r="AL8" s="1883"/>
      <c r="AM8" s="1883"/>
      <c r="AN8" s="1883"/>
      <c r="AO8" s="1883"/>
      <c r="AP8" s="1883"/>
      <c r="AQ8" s="1883"/>
      <c r="AR8" s="1883"/>
      <c r="AS8" s="1883"/>
      <c r="AT8" s="1883"/>
      <c r="AU8" s="1883"/>
      <c r="AV8" s="1883"/>
      <c r="AW8" s="1883"/>
      <c r="AX8" s="1883"/>
      <c r="AY8" s="1883"/>
      <c r="AZ8" s="1883"/>
      <c r="BA8" s="1883"/>
      <c r="BB8" s="1883"/>
      <c r="BC8" s="1883"/>
      <c r="BD8" s="1883"/>
      <c r="BE8" s="1883"/>
      <c r="BF8" s="1883"/>
      <c r="BG8" s="1883"/>
      <c r="BH8" s="1883"/>
      <c r="BI8" s="1883"/>
      <c r="BJ8" s="1883"/>
      <c r="BK8" s="1883"/>
      <c r="BL8" s="1883"/>
      <c r="BM8" s="1883"/>
      <c r="BN8" s="1883"/>
      <c r="BO8" s="1883"/>
      <c r="BP8" s="1883"/>
      <c r="BQ8" s="1883"/>
      <c r="BR8" s="1883"/>
      <c r="BS8" s="1883"/>
      <c r="BT8" s="1883"/>
      <c r="BU8" s="1883"/>
      <c r="BV8" s="1883"/>
      <c r="BW8" s="1883"/>
      <c r="BX8" s="1883"/>
      <c r="BY8" s="1883"/>
      <c r="BZ8" s="1883"/>
      <c r="CA8" s="1883"/>
      <c r="CB8" s="1883"/>
      <c r="CC8" s="1883"/>
      <c r="CD8" s="1883"/>
      <c r="CE8" s="1883"/>
      <c r="CF8" s="1883"/>
      <c r="CG8" s="1883"/>
      <c r="CH8" s="1883"/>
      <c r="CI8" s="1883"/>
      <c r="CJ8" s="1883"/>
      <c r="CK8" s="1883"/>
      <c r="CL8" s="1883"/>
      <c r="CM8" s="1883"/>
      <c r="CN8" s="1883"/>
      <c r="CO8" s="1883"/>
      <c r="CP8" s="1883"/>
      <c r="CQ8" s="1883"/>
      <c r="CR8" s="1883"/>
      <c r="CS8" s="1883"/>
      <c r="CT8" s="1883"/>
      <c r="CU8" s="1883"/>
      <c r="CV8" s="1883"/>
      <c r="CW8" s="1883"/>
      <c r="CX8" s="1883"/>
      <c r="CY8" s="1883"/>
      <c r="CZ8" s="1883"/>
      <c r="DA8" s="1883"/>
      <c r="DB8" s="1883"/>
      <c r="DC8" s="1883"/>
      <c r="DD8" s="1883"/>
      <c r="DE8" s="1883"/>
      <c r="DF8" s="1883"/>
      <c r="DG8" s="1883"/>
      <c r="DH8" s="1883"/>
      <c r="DI8" s="1883"/>
      <c r="DJ8" s="1883"/>
      <c r="DK8" s="1883"/>
      <c r="DL8" s="1883"/>
      <c r="DM8" s="1883"/>
      <c r="DN8" s="1883"/>
      <c r="DO8" s="1883"/>
      <c r="DP8" s="1883"/>
      <c r="DQ8" s="1883"/>
      <c r="DR8" s="1883"/>
      <c r="DS8" s="1883"/>
      <c r="DT8" s="1883"/>
      <c r="DU8" s="1883"/>
      <c r="DV8" s="1883"/>
      <c r="DW8" s="1883"/>
    </row>
    <row r="9" spans="1:127" s="2003" customFormat="1" ht="51" customHeight="1">
      <c r="A9" s="3790">
        <v>3</v>
      </c>
      <c r="B9" s="2101" t="str">
        <f t="shared" si="0"/>
        <v>2000002585</v>
      </c>
      <c r="C9" s="1461" t="s">
        <v>3924</v>
      </c>
      <c r="D9" s="2124">
        <v>7200</v>
      </c>
      <c r="E9" s="1461" t="s">
        <v>4768</v>
      </c>
      <c r="F9" s="1461" t="s">
        <v>3401</v>
      </c>
      <c r="G9" s="1461" t="s">
        <v>4769</v>
      </c>
      <c r="H9" s="1461" t="s">
        <v>1599</v>
      </c>
      <c r="I9" s="1461" t="s">
        <v>19</v>
      </c>
      <c r="J9" s="2125" t="s">
        <v>1138</v>
      </c>
      <c r="K9" s="1916" t="s">
        <v>7184</v>
      </c>
      <c r="L9" s="2126">
        <v>1000</v>
      </c>
      <c r="M9" s="1461" t="s">
        <v>7185</v>
      </c>
      <c r="N9" s="2123" t="s">
        <v>7178</v>
      </c>
      <c r="O9" s="2123"/>
      <c r="P9" s="2127"/>
      <c r="Q9" s="2127"/>
      <c r="R9" s="2127"/>
      <c r="S9" s="2127"/>
      <c r="T9" s="2127"/>
      <c r="U9" s="2127"/>
      <c r="V9" s="2127"/>
      <c r="W9" s="2127"/>
      <c r="X9" s="2127"/>
      <c r="Y9" s="2127"/>
      <c r="Z9" s="2127"/>
      <c r="AA9" s="2127"/>
      <c r="AB9" s="2127"/>
      <c r="AC9" s="2127"/>
      <c r="AD9" s="2127"/>
      <c r="AE9" s="2127"/>
      <c r="AF9" s="2127"/>
      <c r="AG9" s="2127"/>
      <c r="AH9" s="2127"/>
      <c r="AI9" s="2127"/>
      <c r="AJ9" s="2127"/>
      <c r="AK9" s="2127"/>
      <c r="AL9" s="2127"/>
      <c r="AM9" s="2127"/>
      <c r="AN9" s="2127"/>
      <c r="AO9" s="2127"/>
      <c r="AP9" s="2127"/>
      <c r="AQ9" s="2127"/>
      <c r="AR9" s="2127"/>
      <c r="AS9" s="2127"/>
      <c r="AT9" s="2127"/>
      <c r="AU9" s="2127"/>
      <c r="AV9" s="2127"/>
      <c r="AW9" s="2127"/>
      <c r="AX9" s="2127"/>
      <c r="AY9" s="2127"/>
      <c r="AZ9" s="2127"/>
      <c r="BA9" s="2127"/>
      <c r="BB9" s="2127"/>
      <c r="BC9" s="2127"/>
      <c r="BD9" s="2127"/>
      <c r="BE9" s="2127"/>
      <c r="BF9" s="2127"/>
      <c r="BG9" s="2127"/>
      <c r="BH9" s="2127"/>
      <c r="BI9" s="2127"/>
      <c r="BJ9" s="2127"/>
      <c r="BK9" s="2127"/>
      <c r="BL9" s="2127"/>
      <c r="BM9" s="2127"/>
      <c r="BN9" s="2127"/>
      <c r="BO9" s="2127"/>
      <c r="BP9" s="2127"/>
      <c r="BQ9" s="2127"/>
      <c r="BR9" s="2127"/>
      <c r="BS9" s="2127"/>
      <c r="BT9" s="2127"/>
      <c r="BU9" s="2127"/>
      <c r="BV9" s="2127"/>
      <c r="BW9" s="2127"/>
      <c r="BX9" s="2127"/>
      <c r="BY9" s="2127"/>
      <c r="BZ9" s="2127"/>
      <c r="CA9" s="2127"/>
      <c r="CB9" s="2127"/>
      <c r="CC9" s="2127"/>
      <c r="CD9" s="2127"/>
      <c r="CE9" s="2127"/>
      <c r="CF9" s="2127"/>
      <c r="CG9" s="2127"/>
      <c r="CH9" s="2127"/>
      <c r="CI9" s="2127"/>
      <c r="CJ9" s="2127"/>
      <c r="CK9" s="2127"/>
      <c r="CL9" s="2127"/>
      <c r="CM9" s="2127"/>
      <c r="CN9" s="2127"/>
      <c r="CO9" s="2127"/>
      <c r="CP9" s="2127"/>
      <c r="CQ9" s="2127"/>
      <c r="CR9" s="2127"/>
      <c r="CS9" s="2127"/>
      <c r="CT9" s="2127"/>
      <c r="CU9" s="2127"/>
      <c r="CV9" s="2127"/>
      <c r="CW9" s="2127"/>
      <c r="CX9" s="2127"/>
      <c r="CY9" s="2127"/>
      <c r="CZ9" s="2127"/>
      <c r="DA9" s="2127"/>
      <c r="DB9" s="2127"/>
      <c r="DC9" s="2127"/>
      <c r="DD9" s="2127"/>
      <c r="DE9" s="2127"/>
      <c r="DF9" s="2127"/>
      <c r="DG9" s="2127"/>
      <c r="DH9" s="2127"/>
      <c r="DI9" s="2127"/>
      <c r="DJ9" s="2127"/>
      <c r="DK9" s="2127"/>
      <c r="DL9" s="2127"/>
      <c r="DM9" s="2127"/>
      <c r="DN9" s="2127"/>
      <c r="DO9" s="2127"/>
      <c r="DP9" s="2127"/>
      <c r="DQ9" s="2127"/>
      <c r="DR9" s="2127"/>
      <c r="DS9" s="2127"/>
      <c r="DT9" s="2127"/>
      <c r="DU9" s="2127"/>
      <c r="DV9" s="2127"/>
      <c r="DW9" s="2127"/>
    </row>
    <row r="10" spans="1:127" s="2089" customFormat="1" ht="51" customHeight="1">
      <c r="A10" s="3791"/>
      <c r="B10" s="2101" t="str">
        <f t="shared" si="0"/>
        <v>2200001830</v>
      </c>
      <c r="C10" s="1460" t="s">
        <v>3924</v>
      </c>
      <c r="D10" s="2095"/>
      <c r="E10" s="1460"/>
      <c r="F10" s="1460" t="s">
        <v>3401</v>
      </c>
      <c r="G10" s="1460"/>
      <c r="H10" s="1460"/>
      <c r="I10" s="1460"/>
      <c r="J10" s="2098" t="s">
        <v>1138</v>
      </c>
      <c r="K10" s="1598" t="s">
        <v>7186</v>
      </c>
      <c r="L10" s="2106">
        <v>6200</v>
      </c>
      <c r="M10" s="1460" t="s">
        <v>7177</v>
      </c>
      <c r="N10" s="2101"/>
      <c r="O10" s="2101"/>
      <c r="P10" s="2088"/>
      <c r="Q10" s="2088"/>
      <c r="R10" s="2088"/>
      <c r="S10" s="2088"/>
      <c r="T10" s="2088"/>
      <c r="U10" s="2088"/>
      <c r="V10" s="2088"/>
      <c r="W10" s="2088"/>
      <c r="X10" s="2088"/>
      <c r="Y10" s="2088"/>
      <c r="Z10" s="2088"/>
      <c r="AA10" s="2088"/>
      <c r="AB10" s="2088"/>
      <c r="AC10" s="2088"/>
      <c r="AD10" s="2088"/>
      <c r="AE10" s="2088"/>
      <c r="AF10" s="2088"/>
      <c r="AG10" s="2088"/>
      <c r="AH10" s="2088"/>
      <c r="AI10" s="2088"/>
      <c r="AJ10" s="2088"/>
      <c r="AK10" s="2088"/>
      <c r="AL10" s="2088"/>
      <c r="AM10" s="2088"/>
      <c r="AN10" s="2088"/>
      <c r="AO10" s="2088"/>
      <c r="AP10" s="2088"/>
      <c r="AQ10" s="2088"/>
      <c r="AR10" s="2088"/>
      <c r="AS10" s="2088"/>
      <c r="AT10" s="2088"/>
      <c r="AU10" s="2088"/>
      <c r="AV10" s="2088"/>
      <c r="AW10" s="2088"/>
      <c r="AX10" s="2088"/>
      <c r="AY10" s="2088"/>
      <c r="AZ10" s="2088"/>
      <c r="BA10" s="2088"/>
      <c r="BB10" s="2088"/>
      <c r="BC10" s="2088"/>
      <c r="BD10" s="2088"/>
      <c r="BE10" s="2088"/>
      <c r="BF10" s="2088"/>
      <c r="BG10" s="2088"/>
      <c r="BH10" s="2088"/>
      <c r="BI10" s="2088"/>
      <c r="BJ10" s="2088"/>
      <c r="BK10" s="2088"/>
      <c r="BL10" s="2088"/>
      <c r="BM10" s="2088"/>
      <c r="BN10" s="2088"/>
      <c r="BO10" s="2088"/>
      <c r="BP10" s="2088"/>
      <c r="BQ10" s="2088"/>
      <c r="BR10" s="2088"/>
      <c r="BS10" s="2088"/>
      <c r="BT10" s="2088"/>
      <c r="BU10" s="2088"/>
      <c r="BV10" s="2088"/>
      <c r="BW10" s="2088"/>
      <c r="BX10" s="2088"/>
      <c r="BY10" s="2088"/>
      <c r="BZ10" s="2088"/>
      <c r="CA10" s="2088"/>
      <c r="CB10" s="2088"/>
      <c r="CC10" s="2088"/>
      <c r="CD10" s="2088"/>
      <c r="CE10" s="2088"/>
      <c r="CF10" s="2088"/>
      <c r="CG10" s="2088"/>
      <c r="CH10" s="2088"/>
      <c r="CI10" s="2088"/>
      <c r="CJ10" s="2088"/>
      <c r="CK10" s="2088"/>
      <c r="CL10" s="2088"/>
      <c r="CM10" s="2088"/>
      <c r="CN10" s="2088"/>
      <c r="CO10" s="2088"/>
      <c r="CP10" s="2088"/>
      <c r="CQ10" s="2088"/>
      <c r="CR10" s="2088"/>
      <c r="CS10" s="2088"/>
      <c r="CT10" s="2088"/>
      <c r="CU10" s="2088"/>
      <c r="CV10" s="2088"/>
      <c r="CW10" s="2088"/>
      <c r="CX10" s="2088"/>
      <c r="CY10" s="2088"/>
      <c r="CZ10" s="2088"/>
      <c r="DA10" s="2088"/>
      <c r="DB10" s="2088"/>
      <c r="DC10" s="2088"/>
      <c r="DD10" s="2088"/>
      <c r="DE10" s="2088"/>
      <c r="DF10" s="2088"/>
      <c r="DG10" s="2088"/>
      <c r="DH10" s="2088"/>
      <c r="DI10" s="2088"/>
      <c r="DJ10" s="2088"/>
      <c r="DK10" s="2088"/>
      <c r="DL10" s="2088"/>
      <c r="DM10" s="2088"/>
      <c r="DN10" s="2088"/>
      <c r="DO10" s="2088"/>
      <c r="DP10" s="2088"/>
      <c r="DQ10" s="2088"/>
      <c r="DR10" s="2088"/>
      <c r="DS10" s="2088"/>
      <c r="DT10" s="2088"/>
      <c r="DU10" s="2088"/>
      <c r="DV10" s="2088"/>
      <c r="DW10" s="2088"/>
    </row>
    <row r="11" spans="1:127" s="2033" customFormat="1" ht="51" customHeight="1">
      <c r="A11" s="2096">
        <v>4</v>
      </c>
      <c r="B11" s="2101" t="str">
        <f t="shared" si="0"/>
        <v>2000002588</v>
      </c>
      <c r="C11" s="1851" t="s">
        <v>52</v>
      </c>
      <c r="D11" s="2097">
        <v>4600</v>
      </c>
      <c r="E11" s="1851" t="s">
        <v>4771</v>
      </c>
      <c r="F11" s="1851" t="s">
        <v>16</v>
      </c>
      <c r="G11" s="1851"/>
      <c r="H11" s="1460" t="s">
        <v>1599</v>
      </c>
      <c r="I11" s="1851" t="s">
        <v>19</v>
      </c>
      <c r="J11" s="1872" t="s">
        <v>199</v>
      </c>
      <c r="K11" s="1548" t="s">
        <v>7187</v>
      </c>
      <c r="L11" s="2107">
        <v>4600</v>
      </c>
      <c r="M11" s="1460" t="s">
        <v>7181</v>
      </c>
      <c r="N11" s="2102"/>
      <c r="O11" s="2102"/>
      <c r="P11" s="1883"/>
      <c r="Q11" s="1883"/>
      <c r="R11" s="1883"/>
      <c r="S11" s="1883"/>
      <c r="T11" s="1883"/>
      <c r="U11" s="1883"/>
      <c r="V11" s="1883"/>
      <c r="W11" s="1883"/>
      <c r="X11" s="1883"/>
      <c r="Y11" s="1883"/>
      <c r="Z11" s="1883"/>
      <c r="AA11" s="1883"/>
      <c r="AB11" s="1883"/>
      <c r="AC11" s="1883"/>
      <c r="AD11" s="1883"/>
      <c r="AE11" s="1883"/>
      <c r="AF11" s="1883"/>
      <c r="AG11" s="1883"/>
      <c r="AH11" s="1883"/>
      <c r="AI11" s="1883"/>
      <c r="AJ11" s="1883"/>
      <c r="AK11" s="1883"/>
      <c r="AL11" s="1883"/>
      <c r="AM11" s="1883"/>
      <c r="AN11" s="1883"/>
      <c r="AO11" s="1883"/>
      <c r="AP11" s="1883"/>
      <c r="AQ11" s="1883"/>
      <c r="AR11" s="1883"/>
      <c r="AS11" s="1883"/>
      <c r="AT11" s="1883"/>
      <c r="AU11" s="1883"/>
      <c r="AV11" s="1883"/>
      <c r="AW11" s="1883"/>
      <c r="AX11" s="1883"/>
      <c r="AY11" s="1883"/>
      <c r="AZ11" s="1883"/>
      <c r="BA11" s="1883"/>
      <c r="BB11" s="1883"/>
      <c r="BC11" s="1883"/>
      <c r="BD11" s="1883"/>
      <c r="BE11" s="1883"/>
      <c r="BF11" s="1883"/>
      <c r="BG11" s="1883"/>
      <c r="BH11" s="1883"/>
      <c r="BI11" s="1883"/>
      <c r="BJ11" s="1883"/>
      <c r="BK11" s="1883"/>
      <c r="BL11" s="1883"/>
      <c r="BM11" s="1883"/>
      <c r="BN11" s="1883"/>
      <c r="BO11" s="1883"/>
      <c r="BP11" s="1883"/>
      <c r="BQ11" s="1883"/>
      <c r="BR11" s="1883"/>
      <c r="BS11" s="1883"/>
      <c r="BT11" s="1883"/>
      <c r="BU11" s="1883"/>
      <c r="BV11" s="1883"/>
      <c r="BW11" s="1883"/>
      <c r="BX11" s="1883"/>
      <c r="BY11" s="1883"/>
      <c r="BZ11" s="1883"/>
      <c r="CA11" s="1883"/>
      <c r="CB11" s="1883"/>
      <c r="CC11" s="1883"/>
      <c r="CD11" s="1883"/>
      <c r="CE11" s="1883"/>
      <c r="CF11" s="1883"/>
      <c r="CG11" s="1883"/>
      <c r="CH11" s="1883"/>
      <c r="CI11" s="1883"/>
      <c r="CJ11" s="1883"/>
      <c r="CK11" s="1883"/>
      <c r="CL11" s="1883"/>
      <c r="CM11" s="1883"/>
      <c r="CN11" s="1883"/>
      <c r="CO11" s="1883"/>
      <c r="CP11" s="1883"/>
      <c r="CQ11" s="1883"/>
      <c r="CR11" s="1883"/>
      <c r="CS11" s="1883"/>
      <c r="CT11" s="1883"/>
      <c r="CU11" s="1883"/>
      <c r="CV11" s="1883"/>
      <c r="CW11" s="1883"/>
      <c r="CX11" s="1883"/>
      <c r="CY11" s="1883"/>
      <c r="CZ11" s="1883"/>
      <c r="DA11" s="1883"/>
      <c r="DB11" s="1883"/>
      <c r="DC11" s="1883"/>
      <c r="DD11" s="1883"/>
      <c r="DE11" s="1883"/>
      <c r="DF11" s="1883"/>
      <c r="DG11" s="1883"/>
      <c r="DH11" s="1883"/>
      <c r="DI11" s="1883"/>
      <c r="DJ11" s="1883"/>
      <c r="DK11" s="1883"/>
      <c r="DL11" s="1883"/>
      <c r="DM11" s="1883"/>
      <c r="DN11" s="1883"/>
      <c r="DO11" s="1883"/>
      <c r="DP11" s="1883"/>
      <c r="DQ11" s="1883"/>
      <c r="DR11" s="1883"/>
      <c r="DS11" s="1883"/>
      <c r="DT11" s="1883"/>
      <c r="DU11" s="1883"/>
      <c r="DV11" s="1883"/>
      <c r="DW11" s="1883"/>
    </row>
    <row r="12" spans="1:127" s="2033" customFormat="1" ht="67.5" customHeight="1">
      <c r="A12" s="3792">
        <v>5</v>
      </c>
      <c r="B12" s="2101" t="str">
        <f t="shared" si="0"/>
        <v>2200001818</v>
      </c>
      <c r="C12" s="2118" t="s">
        <v>71</v>
      </c>
      <c r="D12" s="2119">
        <v>3720</v>
      </c>
      <c r="E12" s="2118" t="s">
        <v>4771</v>
      </c>
      <c r="F12" s="2120" t="s">
        <v>84</v>
      </c>
      <c r="G12" s="2118" t="s">
        <v>4773</v>
      </c>
      <c r="H12" s="1461" t="s">
        <v>1599</v>
      </c>
      <c r="I12" s="2118" t="s">
        <v>19</v>
      </c>
      <c r="J12" s="2120" t="s">
        <v>959</v>
      </c>
      <c r="K12" s="2150" t="s">
        <v>7188</v>
      </c>
      <c r="L12" s="2151">
        <v>540</v>
      </c>
      <c r="M12" s="1461" t="s">
        <v>7181</v>
      </c>
      <c r="N12" s="2117"/>
      <c r="O12" s="2117"/>
      <c r="P12" s="2122"/>
      <c r="Q12" s="2122"/>
      <c r="R12" s="2122"/>
      <c r="S12" s="2122"/>
      <c r="T12" s="2122"/>
      <c r="U12" s="2122"/>
      <c r="V12" s="2122"/>
      <c r="W12" s="2122"/>
      <c r="X12" s="2122"/>
      <c r="Y12" s="2122"/>
      <c r="Z12" s="2122"/>
      <c r="AA12" s="2122"/>
      <c r="AB12" s="2122"/>
      <c r="AC12" s="2122"/>
      <c r="AD12" s="2122"/>
      <c r="AE12" s="2122"/>
      <c r="AF12" s="2122"/>
      <c r="AG12" s="2122"/>
      <c r="AH12" s="2122"/>
      <c r="AI12" s="2122"/>
      <c r="AJ12" s="2122"/>
      <c r="AK12" s="2122"/>
      <c r="AL12" s="2122"/>
      <c r="AM12" s="2122"/>
      <c r="AN12" s="2122"/>
      <c r="AO12" s="2122"/>
      <c r="AP12" s="2122"/>
      <c r="AQ12" s="2122"/>
      <c r="AR12" s="2122"/>
      <c r="AS12" s="2122"/>
      <c r="AT12" s="2122"/>
      <c r="AU12" s="2122"/>
      <c r="AV12" s="2122"/>
      <c r="AW12" s="2122"/>
      <c r="AX12" s="2122"/>
      <c r="AY12" s="2122"/>
      <c r="AZ12" s="2122"/>
      <c r="BA12" s="2122"/>
      <c r="BB12" s="2122"/>
      <c r="BC12" s="2122"/>
      <c r="BD12" s="2122"/>
      <c r="BE12" s="2122"/>
      <c r="BF12" s="2122"/>
      <c r="BG12" s="2122"/>
      <c r="BH12" s="2122"/>
      <c r="BI12" s="2122"/>
      <c r="BJ12" s="2122"/>
      <c r="BK12" s="2122"/>
      <c r="BL12" s="2122"/>
      <c r="BM12" s="2122"/>
      <c r="BN12" s="2122"/>
      <c r="BO12" s="2122"/>
      <c r="BP12" s="2122"/>
      <c r="BQ12" s="2122"/>
      <c r="BR12" s="2122"/>
      <c r="BS12" s="2122"/>
      <c r="BT12" s="2122"/>
      <c r="BU12" s="2122"/>
      <c r="BV12" s="2122"/>
      <c r="BW12" s="2122"/>
      <c r="BX12" s="2122"/>
      <c r="BY12" s="2122"/>
      <c r="BZ12" s="2122"/>
      <c r="CA12" s="2122"/>
      <c r="CB12" s="2122"/>
      <c r="CC12" s="2122"/>
      <c r="CD12" s="2122"/>
      <c r="CE12" s="2122"/>
      <c r="CF12" s="2122"/>
      <c r="CG12" s="2122"/>
      <c r="CH12" s="2122"/>
      <c r="CI12" s="2122"/>
      <c r="CJ12" s="2122"/>
      <c r="CK12" s="2122"/>
      <c r="CL12" s="2122"/>
      <c r="CM12" s="2122"/>
      <c r="CN12" s="2122"/>
      <c r="CO12" s="2122"/>
      <c r="CP12" s="2122"/>
      <c r="CQ12" s="2122"/>
      <c r="CR12" s="2122"/>
      <c r="CS12" s="2122"/>
      <c r="CT12" s="2122"/>
      <c r="CU12" s="2122"/>
      <c r="CV12" s="2122"/>
      <c r="CW12" s="2122"/>
      <c r="CX12" s="2122"/>
      <c r="CY12" s="2122"/>
      <c r="CZ12" s="2122"/>
      <c r="DA12" s="2122"/>
      <c r="DB12" s="2122"/>
      <c r="DC12" s="2122"/>
      <c r="DD12" s="2122"/>
      <c r="DE12" s="2122"/>
      <c r="DF12" s="2122"/>
      <c r="DG12" s="2122"/>
      <c r="DH12" s="2122"/>
      <c r="DI12" s="2122"/>
      <c r="DJ12" s="2122"/>
      <c r="DK12" s="2122"/>
      <c r="DL12" s="2122"/>
      <c r="DM12" s="2122"/>
      <c r="DN12" s="2122"/>
      <c r="DO12" s="2122"/>
      <c r="DP12" s="2122"/>
      <c r="DQ12" s="2122"/>
      <c r="DR12" s="2122"/>
      <c r="DS12" s="2122"/>
      <c r="DT12" s="2122"/>
      <c r="DU12" s="2122"/>
      <c r="DV12" s="2122"/>
      <c r="DW12" s="2122"/>
    </row>
    <row r="13" spans="1:127" s="2033" customFormat="1" ht="51" customHeight="1">
      <c r="A13" s="3793"/>
      <c r="B13" s="2101" t="str">
        <f t="shared" si="0"/>
        <v>2200001834</v>
      </c>
      <c r="C13" s="1851" t="s">
        <v>71</v>
      </c>
      <c r="D13" s="2097"/>
      <c r="E13" s="1851"/>
      <c r="F13" s="1872" t="s">
        <v>84</v>
      </c>
      <c r="G13" s="1851"/>
      <c r="H13" s="1460"/>
      <c r="I13" s="1851"/>
      <c r="J13" s="1872" t="s">
        <v>959</v>
      </c>
      <c r="K13" s="1548" t="s">
        <v>7189</v>
      </c>
      <c r="L13" s="2108">
        <v>1142</v>
      </c>
      <c r="M13" s="1460" t="s">
        <v>7181</v>
      </c>
      <c r="N13" s="2102"/>
      <c r="O13" s="2102"/>
      <c r="P13" s="1883"/>
      <c r="Q13" s="1883"/>
      <c r="R13" s="1883"/>
      <c r="S13" s="1883"/>
      <c r="T13" s="1883"/>
      <c r="U13" s="1883"/>
      <c r="V13" s="1883"/>
      <c r="W13" s="1883"/>
      <c r="X13" s="1883"/>
      <c r="Y13" s="1883"/>
      <c r="Z13" s="1883"/>
      <c r="AA13" s="1883"/>
      <c r="AB13" s="1883"/>
      <c r="AC13" s="1883"/>
      <c r="AD13" s="1883"/>
      <c r="AE13" s="1883"/>
      <c r="AF13" s="1883"/>
      <c r="AG13" s="1883"/>
      <c r="AH13" s="1883"/>
      <c r="AI13" s="1883"/>
      <c r="AJ13" s="1883"/>
      <c r="AK13" s="1883"/>
      <c r="AL13" s="1883"/>
      <c r="AM13" s="1883"/>
      <c r="AN13" s="1883"/>
      <c r="AO13" s="1883"/>
      <c r="AP13" s="1883"/>
      <c r="AQ13" s="1883"/>
      <c r="AR13" s="1883"/>
      <c r="AS13" s="1883"/>
      <c r="AT13" s="1883"/>
      <c r="AU13" s="1883"/>
      <c r="AV13" s="1883"/>
      <c r="AW13" s="1883"/>
      <c r="AX13" s="1883"/>
      <c r="AY13" s="1883"/>
      <c r="AZ13" s="1883"/>
      <c r="BA13" s="1883"/>
      <c r="BB13" s="1883"/>
      <c r="BC13" s="1883"/>
      <c r="BD13" s="1883"/>
      <c r="BE13" s="1883"/>
      <c r="BF13" s="1883"/>
      <c r="BG13" s="1883"/>
      <c r="BH13" s="1883"/>
      <c r="BI13" s="1883"/>
      <c r="BJ13" s="1883"/>
      <c r="BK13" s="1883"/>
      <c r="BL13" s="1883"/>
      <c r="BM13" s="1883"/>
      <c r="BN13" s="1883"/>
      <c r="BO13" s="1883"/>
      <c r="BP13" s="1883"/>
      <c r="BQ13" s="1883"/>
      <c r="BR13" s="1883"/>
      <c r="BS13" s="1883"/>
      <c r="BT13" s="1883"/>
      <c r="BU13" s="1883"/>
      <c r="BV13" s="1883"/>
      <c r="BW13" s="1883"/>
      <c r="BX13" s="1883"/>
      <c r="BY13" s="1883"/>
      <c r="BZ13" s="1883"/>
      <c r="CA13" s="1883"/>
      <c r="CB13" s="1883"/>
      <c r="CC13" s="1883"/>
      <c r="CD13" s="1883"/>
      <c r="CE13" s="1883"/>
      <c r="CF13" s="1883"/>
      <c r="CG13" s="1883"/>
      <c r="CH13" s="1883"/>
      <c r="CI13" s="1883"/>
      <c r="CJ13" s="1883"/>
      <c r="CK13" s="1883"/>
      <c r="CL13" s="1883"/>
      <c r="CM13" s="1883"/>
      <c r="CN13" s="1883"/>
      <c r="CO13" s="1883"/>
      <c r="CP13" s="1883"/>
      <c r="CQ13" s="1883"/>
      <c r="CR13" s="1883"/>
      <c r="CS13" s="1883"/>
      <c r="CT13" s="1883"/>
      <c r="CU13" s="1883"/>
      <c r="CV13" s="1883"/>
      <c r="CW13" s="1883"/>
      <c r="CX13" s="1883"/>
      <c r="CY13" s="1883"/>
      <c r="CZ13" s="1883"/>
      <c r="DA13" s="1883"/>
      <c r="DB13" s="1883"/>
      <c r="DC13" s="1883"/>
      <c r="DD13" s="1883"/>
      <c r="DE13" s="1883"/>
      <c r="DF13" s="1883"/>
      <c r="DG13" s="1883"/>
      <c r="DH13" s="1883"/>
      <c r="DI13" s="1883"/>
      <c r="DJ13" s="1883"/>
      <c r="DK13" s="1883"/>
      <c r="DL13" s="1883"/>
      <c r="DM13" s="1883"/>
      <c r="DN13" s="1883"/>
      <c r="DO13" s="1883"/>
      <c r="DP13" s="1883"/>
      <c r="DQ13" s="1883"/>
      <c r="DR13" s="1883"/>
      <c r="DS13" s="1883"/>
      <c r="DT13" s="1883"/>
      <c r="DU13" s="1883"/>
      <c r="DV13" s="1883"/>
      <c r="DW13" s="1883"/>
    </row>
    <row r="14" spans="1:127" s="2033" customFormat="1" ht="51" customHeight="1">
      <c r="A14" s="3793"/>
      <c r="B14" s="2101" t="str">
        <f t="shared" si="0"/>
        <v>2200001830</v>
      </c>
      <c r="C14" s="1851" t="s">
        <v>71</v>
      </c>
      <c r="D14" s="2097"/>
      <c r="E14" s="1851"/>
      <c r="F14" s="1872" t="s">
        <v>84</v>
      </c>
      <c r="G14" s="1851"/>
      <c r="H14" s="1460"/>
      <c r="I14" s="1851"/>
      <c r="J14" s="1872" t="s">
        <v>959</v>
      </c>
      <c r="K14" s="1548" t="s">
        <v>7186</v>
      </c>
      <c r="L14" s="2108">
        <v>1700</v>
      </c>
      <c r="M14" s="1460" t="s">
        <v>7181</v>
      </c>
      <c r="N14" s="2102"/>
      <c r="O14" s="2102"/>
      <c r="P14" s="1883"/>
      <c r="Q14" s="1883"/>
      <c r="R14" s="1883"/>
      <c r="S14" s="1883"/>
      <c r="T14" s="1883"/>
      <c r="U14" s="1883"/>
      <c r="V14" s="1883"/>
      <c r="W14" s="1883"/>
      <c r="X14" s="1883"/>
      <c r="Y14" s="1883"/>
      <c r="Z14" s="1883"/>
      <c r="AA14" s="1883"/>
      <c r="AB14" s="1883"/>
      <c r="AC14" s="1883"/>
      <c r="AD14" s="1883"/>
      <c r="AE14" s="1883"/>
      <c r="AF14" s="1883"/>
      <c r="AG14" s="1883"/>
      <c r="AH14" s="1883"/>
      <c r="AI14" s="1883"/>
      <c r="AJ14" s="1883"/>
      <c r="AK14" s="1883"/>
      <c r="AL14" s="1883"/>
      <c r="AM14" s="1883"/>
      <c r="AN14" s="1883"/>
      <c r="AO14" s="1883"/>
      <c r="AP14" s="1883"/>
      <c r="AQ14" s="1883"/>
      <c r="AR14" s="1883"/>
      <c r="AS14" s="1883"/>
      <c r="AT14" s="1883"/>
      <c r="AU14" s="1883"/>
      <c r="AV14" s="1883"/>
      <c r="AW14" s="1883"/>
      <c r="AX14" s="1883"/>
      <c r="AY14" s="1883"/>
      <c r="AZ14" s="1883"/>
      <c r="BA14" s="1883"/>
      <c r="BB14" s="1883"/>
      <c r="BC14" s="1883"/>
      <c r="BD14" s="1883"/>
      <c r="BE14" s="1883"/>
      <c r="BF14" s="1883"/>
      <c r="BG14" s="1883"/>
      <c r="BH14" s="1883"/>
      <c r="BI14" s="1883"/>
      <c r="BJ14" s="1883"/>
      <c r="BK14" s="1883"/>
      <c r="BL14" s="1883"/>
      <c r="BM14" s="1883"/>
      <c r="BN14" s="1883"/>
      <c r="BO14" s="1883"/>
      <c r="BP14" s="1883"/>
      <c r="BQ14" s="1883"/>
      <c r="BR14" s="1883"/>
      <c r="BS14" s="1883"/>
      <c r="BT14" s="1883"/>
      <c r="BU14" s="1883"/>
      <c r="BV14" s="1883"/>
      <c r="BW14" s="1883"/>
      <c r="BX14" s="1883"/>
      <c r="BY14" s="1883"/>
      <c r="BZ14" s="1883"/>
      <c r="CA14" s="1883"/>
      <c r="CB14" s="1883"/>
      <c r="CC14" s="1883"/>
      <c r="CD14" s="1883"/>
      <c r="CE14" s="1883"/>
      <c r="CF14" s="1883"/>
      <c r="CG14" s="1883"/>
      <c r="CH14" s="1883"/>
      <c r="CI14" s="1883"/>
      <c r="CJ14" s="1883"/>
      <c r="CK14" s="1883"/>
      <c r="CL14" s="1883"/>
      <c r="CM14" s="1883"/>
      <c r="CN14" s="1883"/>
      <c r="CO14" s="1883"/>
      <c r="CP14" s="1883"/>
      <c r="CQ14" s="1883"/>
      <c r="CR14" s="1883"/>
      <c r="CS14" s="1883"/>
      <c r="CT14" s="1883"/>
      <c r="CU14" s="1883"/>
      <c r="CV14" s="1883"/>
      <c r="CW14" s="1883"/>
      <c r="CX14" s="1883"/>
      <c r="CY14" s="1883"/>
      <c r="CZ14" s="1883"/>
      <c r="DA14" s="1883"/>
      <c r="DB14" s="1883"/>
      <c r="DC14" s="1883"/>
      <c r="DD14" s="1883"/>
      <c r="DE14" s="1883"/>
      <c r="DF14" s="1883"/>
      <c r="DG14" s="1883"/>
      <c r="DH14" s="1883"/>
      <c r="DI14" s="1883"/>
      <c r="DJ14" s="1883"/>
      <c r="DK14" s="1883"/>
      <c r="DL14" s="1883"/>
      <c r="DM14" s="1883"/>
      <c r="DN14" s="1883"/>
      <c r="DO14" s="1883"/>
      <c r="DP14" s="1883"/>
      <c r="DQ14" s="1883"/>
      <c r="DR14" s="1883"/>
      <c r="DS14" s="1883"/>
      <c r="DT14" s="1883"/>
      <c r="DU14" s="1883"/>
      <c r="DV14" s="1883"/>
      <c r="DW14" s="1883"/>
    </row>
    <row r="15" spans="1:127" s="2033" customFormat="1" ht="51" customHeight="1">
      <c r="A15" s="3794"/>
      <c r="B15" s="2101" t="str">
        <f t="shared" si="0"/>
        <v>2000002589</v>
      </c>
      <c r="C15" s="1851" t="s">
        <v>71</v>
      </c>
      <c r="D15" s="2097"/>
      <c r="E15" s="1851"/>
      <c r="F15" s="1872" t="s">
        <v>84</v>
      </c>
      <c r="G15" s="1851"/>
      <c r="H15" s="1460"/>
      <c r="I15" s="1851"/>
      <c r="J15" s="1872" t="s">
        <v>959</v>
      </c>
      <c r="K15" s="1496" t="s">
        <v>7190</v>
      </c>
      <c r="L15" s="2108">
        <v>385</v>
      </c>
      <c r="M15" s="1460" t="s">
        <v>7181</v>
      </c>
      <c r="N15" s="2102"/>
      <c r="O15" s="2102"/>
      <c r="P15" s="1883"/>
      <c r="Q15" s="1883"/>
      <c r="R15" s="1883"/>
      <c r="S15" s="1883"/>
      <c r="T15" s="1883"/>
      <c r="U15" s="1883"/>
      <c r="V15" s="1883"/>
      <c r="W15" s="1883"/>
      <c r="X15" s="1883"/>
      <c r="Y15" s="1883"/>
      <c r="Z15" s="1883"/>
      <c r="AA15" s="1883"/>
      <c r="AB15" s="1883"/>
      <c r="AC15" s="1883"/>
      <c r="AD15" s="1883"/>
      <c r="AE15" s="1883"/>
      <c r="AF15" s="1883"/>
      <c r="AG15" s="1883"/>
      <c r="AH15" s="1883"/>
      <c r="AI15" s="1883"/>
      <c r="AJ15" s="1883"/>
      <c r="AK15" s="1883"/>
      <c r="AL15" s="1883"/>
      <c r="AM15" s="1883"/>
      <c r="AN15" s="1883"/>
      <c r="AO15" s="1883"/>
      <c r="AP15" s="1883"/>
      <c r="AQ15" s="1883"/>
      <c r="AR15" s="1883"/>
      <c r="AS15" s="1883"/>
      <c r="AT15" s="1883"/>
      <c r="AU15" s="1883"/>
      <c r="AV15" s="1883"/>
      <c r="AW15" s="1883"/>
      <c r="AX15" s="1883"/>
      <c r="AY15" s="1883"/>
      <c r="AZ15" s="1883"/>
      <c r="BA15" s="1883"/>
      <c r="BB15" s="1883"/>
      <c r="BC15" s="1883"/>
      <c r="BD15" s="1883"/>
      <c r="BE15" s="1883"/>
      <c r="BF15" s="1883"/>
      <c r="BG15" s="1883"/>
      <c r="BH15" s="1883"/>
      <c r="BI15" s="1883"/>
      <c r="BJ15" s="1883"/>
      <c r="BK15" s="1883"/>
      <c r="BL15" s="1883"/>
      <c r="BM15" s="1883"/>
      <c r="BN15" s="1883"/>
      <c r="BO15" s="1883"/>
      <c r="BP15" s="1883"/>
      <c r="BQ15" s="1883"/>
      <c r="BR15" s="1883"/>
      <c r="BS15" s="1883"/>
      <c r="BT15" s="1883"/>
      <c r="BU15" s="1883"/>
      <c r="BV15" s="1883"/>
      <c r="BW15" s="1883"/>
      <c r="BX15" s="1883"/>
      <c r="BY15" s="1883"/>
      <c r="BZ15" s="1883"/>
      <c r="CA15" s="1883"/>
      <c r="CB15" s="1883"/>
      <c r="CC15" s="1883"/>
      <c r="CD15" s="1883"/>
      <c r="CE15" s="1883"/>
      <c r="CF15" s="1883"/>
      <c r="CG15" s="1883"/>
      <c r="CH15" s="1883"/>
      <c r="CI15" s="1883"/>
      <c r="CJ15" s="1883"/>
      <c r="CK15" s="1883"/>
      <c r="CL15" s="1883"/>
      <c r="CM15" s="1883"/>
      <c r="CN15" s="1883"/>
      <c r="CO15" s="1883"/>
      <c r="CP15" s="1883"/>
      <c r="CQ15" s="1883"/>
      <c r="CR15" s="1883"/>
      <c r="CS15" s="1883"/>
      <c r="CT15" s="1883"/>
      <c r="CU15" s="1883"/>
      <c r="CV15" s="1883"/>
      <c r="CW15" s="1883"/>
      <c r="CX15" s="1883"/>
      <c r="CY15" s="1883"/>
      <c r="CZ15" s="1883"/>
      <c r="DA15" s="1883"/>
      <c r="DB15" s="1883"/>
      <c r="DC15" s="1883"/>
      <c r="DD15" s="1883"/>
      <c r="DE15" s="1883"/>
      <c r="DF15" s="1883"/>
      <c r="DG15" s="1883"/>
      <c r="DH15" s="1883"/>
      <c r="DI15" s="1883"/>
      <c r="DJ15" s="1883"/>
      <c r="DK15" s="1883"/>
      <c r="DL15" s="1883"/>
      <c r="DM15" s="1883"/>
      <c r="DN15" s="1883"/>
      <c r="DO15" s="1883"/>
      <c r="DP15" s="1883"/>
      <c r="DQ15" s="1883"/>
      <c r="DR15" s="1883"/>
      <c r="DS15" s="1883"/>
      <c r="DT15" s="1883"/>
      <c r="DU15" s="1883"/>
      <c r="DV15" s="1883"/>
      <c r="DW15" s="1883"/>
    </row>
    <row r="16" spans="1:127" s="2033" customFormat="1" ht="66" customHeight="1">
      <c r="A16" s="3792">
        <v>6</v>
      </c>
      <c r="B16" s="2101" t="str">
        <f t="shared" si="0"/>
        <v>2200001837</v>
      </c>
      <c r="C16" s="2118" t="s">
        <v>42</v>
      </c>
      <c r="D16" s="2119">
        <v>5950</v>
      </c>
      <c r="E16" s="2118" t="s">
        <v>4775</v>
      </c>
      <c r="F16" s="2120" t="s">
        <v>3401</v>
      </c>
      <c r="G16" s="1921" t="s">
        <v>4776</v>
      </c>
      <c r="H16" s="1461" t="s">
        <v>1599</v>
      </c>
      <c r="I16" s="2118" t="s">
        <v>19</v>
      </c>
      <c r="J16" s="2120" t="s">
        <v>1138</v>
      </c>
      <c r="K16" s="2150" t="s">
        <v>7191</v>
      </c>
      <c r="L16" s="2121">
        <v>2800</v>
      </c>
      <c r="M16" s="1461" t="s">
        <v>7181</v>
      </c>
      <c r="N16" s="2117"/>
      <c r="O16" s="2117"/>
      <c r="P16" s="2122"/>
      <c r="Q16" s="2122"/>
      <c r="R16" s="2122"/>
      <c r="S16" s="2122"/>
      <c r="T16" s="2122"/>
      <c r="U16" s="2122"/>
      <c r="V16" s="2122"/>
      <c r="W16" s="2122"/>
      <c r="X16" s="2122"/>
      <c r="Y16" s="2122"/>
      <c r="Z16" s="2122"/>
      <c r="AA16" s="2122"/>
      <c r="AB16" s="2122"/>
      <c r="AC16" s="2122"/>
      <c r="AD16" s="2122"/>
      <c r="AE16" s="2122"/>
      <c r="AF16" s="2122"/>
      <c r="AG16" s="2122"/>
      <c r="AH16" s="2122"/>
      <c r="AI16" s="2122"/>
      <c r="AJ16" s="2122"/>
      <c r="AK16" s="2122"/>
      <c r="AL16" s="2122"/>
      <c r="AM16" s="2122"/>
      <c r="AN16" s="2122"/>
      <c r="AO16" s="2122"/>
      <c r="AP16" s="2122"/>
      <c r="AQ16" s="2122"/>
      <c r="AR16" s="2122"/>
      <c r="AS16" s="2122"/>
      <c r="AT16" s="2122"/>
      <c r="AU16" s="2122"/>
      <c r="AV16" s="2122"/>
      <c r="AW16" s="2122"/>
      <c r="AX16" s="2122"/>
      <c r="AY16" s="2122"/>
      <c r="AZ16" s="2122"/>
      <c r="BA16" s="2122"/>
      <c r="BB16" s="2122"/>
      <c r="BC16" s="2122"/>
      <c r="BD16" s="2122"/>
      <c r="BE16" s="2122"/>
      <c r="BF16" s="2122"/>
      <c r="BG16" s="2122"/>
      <c r="BH16" s="2122"/>
      <c r="BI16" s="2122"/>
      <c r="BJ16" s="2122"/>
      <c r="BK16" s="2122"/>
      <c r="BL16" s="2122"/>
      <c r="BM16" s="2122"/>
      <c r="BN16" s="2122"/>
      <c r="BO16" s="2122"/>
      <c r="BP16" s="2122"/>
      <c r="BQ16" s="2122"/>
      <c r="BR16" s="2122"/>
      <c r="BS16" s="2122"/>
      <c r="BT16" s="2122"/>
      <c r="BU16" s="2122"/>
      <c r="BV16" s="2122"/>
      <c r="BW16" s="2122"/>
      <c r="BX16" s="2122"/>
      <c r="BY16" s="2122"/>
      <c r="BZ16" s="2122"/>
      <c r="CA16" s="2122"/>
      <c r="CB16" s="2122"/>
      <c r="CC16" s="2122"/>
      <c r="CD16" s="2122"/>
      <c r="CE16" s="2122"/>
      <c r="CF16" s="2122"/>
      <c r="CG16" s="2122"/>
      <c r="CH16" s="2122"/>
      <c r="CI16" s="2122"/>
      <c r="CJ16" s="2122"/>
      <c r="CK16" s="2122"/>
      <c r="CL16" s="2122"/>
      <c r="CM16" s="2122"/>
      <c r="CN16" s="2122"/>
      <c r="CO16" s="2122"/>
      <c r="CP16" s="2122"/>
      <c r="CQ16" s="2122"/>
      <c r="CR16" s="2122"/>
      <c r="CS16" s="2122"/>
      <c r="CT16" s="2122"/>
      <c r="CU16" s="2122"/>
      <c r="CV16" s="2122"/>
      <c r="CW16" s="2122"/>
      <c r="CX16" s="2122"/>
      <c r="CY16" s="2122"/>
      <c r="CZ16" s="2122"/>
      <c r="DA16" s="2122"/>
      <c r="DB16" s="2122"/>
      <c r="DC16" s="2122"/>
      <c r="DD16" s="2122"/>
      <c r="DE16" s="2122"/>
      <c r="DF16" s="2122"/>
      <c r="DG16" s="2122"/>
      <c r="DH16" s="2122"/>
      <c r="DI16" s="2122"/>
      <c r="DJ16" s="2122"/>
      <c r="DK16" s="2122"/>
      <c r="DL16" s="2122"/>
      <c r="DM16" s="2122"/>
      <c r="DN16" s="2122"/>
      <c r="DO16" s="2122"/>
      <c r="DP16" s="2122"/>
      <c r="DQ16" s="2122"/>
      <c r="DR16" s="2122"/>
      <c r="DS16" s="2122"/>
      <c r="DT16" s="2122"/>
      <c r="DU16" s="2122"/>
      <c r="DV16" s="2122"/>
      <c r="DW16" s="2122"/>
    </row>
    <row r="17" spans="1:127" s="2033" customFormat="1" ht="66" customHeight="1">
      <c r="A17" s="3793"/>
      <c r="B17" s="2101" t="str">
        <f t="shared" si="0"/>
        <v>2200001838</v>
      </c>
      <c r="C17" s="1851" t="s">
        <v>42</v>
      </c>
      <c r="D17" s="2097"/>
      <c r="E17" s="1851"/>
      <c r="F17" s="1872" t="s">
        <v>3401</v>
      </c>
      <c r="G17" s="1495"/>
      <c r="H17" s="1460"/>
      <c r="I17" s="1851"/>
      <c r="J17" s="2098" t="s">
        <v>1138</v>
      </c>
      <c r="K17" s="1548" t="s">
        <v>7192</v>
      </c>
      <c r="L17" s="2108">
        <v>770</v>
      </c>
      <c r="M17" s="1460" t="s">
        <v>7181</v>
      </c>
      <c r="N17" s="2102"/>
      <c r="O17" s="2102"/>
      <c r="P17" s="1883"/>
      <c r="Q17" s="1883"/>
      <c r="R17" s="1883"/>
      <c r="S17" s="1883"/>
      <c r="T17" s="1883"/>
      <c r="U17" s="1883"/>
      <c r="V17" s="1883"/>
      <c r="W17" s="1883"/>
      <c r="X17" s="1883"/>
      <c r="Y17" s="1883"/>
      <c r="Z17" s="1883"/>
      <c r="AA17" s="1883"/>
      <c r="AB17" s="1883"/>
      <c r="AC17" s="1883"/>
      <c r="AD17" s="1883"/>
      <c r="AE17" s="1883"/>
      <c r="AF17" s="1883"/>
      <c r="AG17" s="1883"/>
      <c r="AH17" s="1883"/>
      <c r="AI17" s="1883"/>
      <c r="AJ17" s="1883"/>
      <c r="AK17" s="1883"/>
      <c r="AL17" s="1883"/>
      <c r="AM17" s="1883"/>
      <c r="AN17" s="1883"/>
      <c r="AO17" s="1883"/>
      <c r="AP17" s="1883"/>
      <c r="AQ17" s="1883"/>
      <c r="AR17" s="1883"/>
      <c r="AS17" s="1883"/>
      <c r="AT17" s="1883"/>
      <c r="AU17" s="1883"/>
      <c r="AV17" s="1883"/>
      <c r="AW17" s="1883"/>
      <c r="AX17" s="1883"/>
      <c r="AY17" s="1883"/>
      <c r="AZ17" s="1883"/>
      <c r="BA17" s="1883"/>
      <c r="BB17" s="1883"/>
      <c r="BC17" s="1883"/>
      <c r="BD17" s="1883"/>
      <c r="BE17" s="1883"/>
      <c r="BF17" s="1883"/>
      <c r="BG17" s="1883"/>
      <c r="BH17" s="1883"/>
      <c r="BI17" s="1883"/>
      <c r="BJ17" s="1883"/>
      <c r="BK17" s="1883"/>
      <c r="BL17" s="1883"/>
      <c r="BM17" s="1883"/>
      <c r="BN17" s="1883"/>
      <c r="BO17" s="1883"/>
      <c r="BP17" s="1883"/>
      <c r="BQ17" s="1883"/>
      <c r="BR17" s="1883"/>
      <c r="BS17" s="1883"/>
      <c r="BT17" s="1883"/>
      <c r="BU17" s="1883"/>
      <c r="BV17" s="1883"/>
      <c r="BW17" s="1883"/>
      <c r="BX17" s="1883"/>
      <c r="BY17" s="1883"/>
      <c r="BZ17" s="1883"/>
      <c r="CA17" s="1883"/>
      <c r="CB17" s="1883"/>
      <c r="CC17" s="1883"/>
      <c r="CD17" s="1883"/>
      <c r="CE17" s="1883"/>
      <c r="CF17" s="1883"/>
      <c r="CG17" s="1883"/>
      <c r="CH17" s="1883"/>
      <c r="CI17" s="1883"/>
      <c r="CJ17" s="1883"/>
      <c r="CK17" s="1883"/>
      <c r="CL17" s="1883"/>
      <c r="CM17" s="1883"/>
      <c r="CN17" s="1883"/>
      <c r="CO17" s="1883"/>
      <c r="CP17" s="1883"/>
      <c r="CQ17" s="1883"/>
      <c r="CR17" s="1883"/>
      <c r="CS17" s="1883"/>
      <c r="CT17" s="1883"/>
      <c r="CU17" s="1883"/>
      <c r="CV17" s="1883"/>
      <c r="CW17" s="1883"/>
      <c r="CX17" s="1883"/>
      <c r="CY17" s="1883"/>
      <c r="CZ17" s="1883"/>
      <c r="DA17" s="1883"/>
      <c r="DB17" s="1883"/>
      <c r="DC17" s="1883"/>
      <c r="DD17" s="1883"/>
      <c r="DE17" s="1883"/>
      <c r="DF17" s="1883"/>
      <c r="DG17" s="1883"/>
      <c r="DH17" s="1883"/>
      <c r="DI17" s="1883"/>
      <c r="DJ17" s="1883"/>
      <c r="DK17" s="1883"/>
      <c r="DL17" s="1883"/>
      <c r="DM17" s="1883"/>
      <c r="DN17" s="1883"/>
      <c r="DO17" s="1883"/>
      <c r="DP17" s="1883"/>
      <c r="DQ17" s="1883"/>
      <c r="DR17" s="1883"/>
      <c r="DS17" s="1883"/>
      <c r="DT17" s="1883"/>
      <c r="DU17" s="1883"/>
      <c r="DV17" s="1883"/>
      <c r="DW17" s="1883"/>
    </row>
    <row r="18" spans="1:127" s="2033" customFormat="1" ht="66" customHeight="1">
      <c r="A18" s="3793"/>
      <c r="B18" s="2101" t="str">
        <f t="shared" si="0"/>
        <v>2200001839</v>
      </c>
      <c r="C18" s="1851" t="s">
        <v>42</v>
      </c>
      <c r="D18" s="2097"/>
      <c r="E18" s="1851"/>
      <c r="F18" s="1872" t="s">
        <v>3401</v>
      </c>
      <c r="G18" s="1495"/>
      <c r="H18" s="1460"/>
      <c r="I18" s="1851"/>
      <c r="J18" s="2098" t="s">
        <v>1138</v>
      </c>
      <c r="K18" s="1548" t="s">
        <v>7193</v>
      </c>
      <c r="L18" s="2108">
        <v>2200</v>
      </c>
      <c r="M18" s="1460" t="s">
        <v>7181</v>
      </c>
      <c r="N18" s="2102"/>
      <c r="O18" s="2102"/>
      <c r="P18" s="1883"/>
      <c r="Q18" s="1883"/>
      <c r="R18" s="1883"/>
      <c r="S18" s="1883"/>
      <c r="T18" s="1883"/>
      <c r="U18" s="1883"/>
      <c r="V18" s="1883"/>
      <c r="W18" s="1883"/>
      <c r="X18" s="1883"/>
      <c r="Y18" s="1883"/>
      <c r="Z18" s="1883"/>
      <c r="AA18" s="1883"/>
      <c r="AB18" s="1883"/>
      <c r="AC18" s="1883"/>
      <c r="AD18" s="1883"/>
      <c r="AE18" s="1883"/>
      <c r="AF18" s="1883"/>
      <c r="AG18" s="1883"/>
      <c r="AH18" s="1883"/>
      <c r="AI18" s="1883"/>
      <c r="AJ18" s="1883"/>
      <c r="AK18" s="1883"/>
      <c r="AL18" s="1883"/>
      <c r="AM18" s="1883"/>
      <c r="AN18" s="1883"/>
      <c r="AO18" s="1883"/>
      <c r="AP18" s="1883"/>
      <c r="AQ18" s="1883"/>
      <c r="AR18" s="1883"/>
      <c r="AS18" s="1883"/>
      <c r="AT18" s="1883"/>
      <c r="AU18" s="1883"/>
      <c r="AV18" s="1883"/>
      <c r="AW18" s="1883"/>
      <c r="AX18" s="1883"/>
      <c r="AY18" s="1883"/>
      <c r="AZ18" s="1883"/>
      <c r="BA18" s="1883"/>
      <c r="BB18" s="1883"/>
      <c r="BC18" s="1883"/>
      <c r="BD18" s="1883"/>
      <c r="BE18" s="1883"/>
      <c r="BF18" s="1883"/>
      <c r="BG18" s="1883"/>
      <c r="BH18" s="1883"/>
      <c r="BI18" s="1883"/>
      <c r="BJ18" s="1883"/>
      <c r="BK18" s="1883"/>
      <c r="BL18" s="1883"/>
      <c r="BM18" s="1883"/>
      <c r="BN18" s="1883"/>
      <c r="BO18" s="1883"/>
      <c r="BP18" s="1883"/>
      <c r="BQ18" s="1883"/>
      <c r="BR18" s="1883"/>
      <c r="BS18" s="1883"/>
      <c r="BT18" s="1883"/>
      <c r="BU18" s="1883"/>
      <c r="BV18" s="1883"/>
      <c r="BW18" s="1883"/>
      <c r="BX18" s="1883"/>
      <c r="BY18" s="1883"/>
      <c r="BZ18" s="1883"/>
      <c r="CA18" s="1883"/>
      <c r="CB18" s="1883"/>
      <c r="CC18" s="1883"/>
      <c r="CD18" s="1883"/>
      <c r="CE18" s="1883"/>
      <c r="CF18" s="1883"/>
      <c r="CG18" s="1883"/>
      <c r="CH18" s="1883"/>
      <c r="CI18" s="1883"/>
      <c r="CJ18" s="1883"/>
      <c r="CK18" s="1883"/>
      <c r="CL18" s="1883"/>
      <c r="CM18" s="1883"/>
      <c r="CN18" s="1883"/>
      <c r="CO18" s="1883"/>
      <c r="CP18" s="1883"/>
      <c r="CQ18" s="1883"/>
      <c r="CR18" s="1883"/>
      <c r="CS18" s="1883"/>
      <c r="CT18" s="1883"/>
      <c r="CU18" s="1883"/>
      <c r="CV18" s="1883"/>
      <c r="CW18" s="1883"/>
      <c r="CX18" s="1883"/>
      <c r="CY18" s="1883"/>
      <c r="CZ18" s="1883"/>
      <c r="DA18" s="1883"/>
      <c r="DB18" s="1883"/>
      <c r="DC18" s="1883"/>
      <c r="DD18" s="1883"/>
      <c r="DE18" s="1883"/>
      <c r="DF18" s="1883"/>
      <c r="DG18" s="1883"/>
      <c r="DH18" s="1883"/>
      <c r="DI18" s="1883"/>
      <c r="DJ18" s="1883"/>
      <c r="DK18" s="1883"/>
      <c r="DL18" s="1883"/>
      <c r="DM18" s="1883"/>
      <c r="DN18" s="1883"/>
      <c r="DO18" s="1883"/>
      <c r="DP18" s="1883"/>
      <c r="DQ18" s="1883"/>
      <c r="DR18" s="1883"/>
      <c r="DS18" s="1883"/>
      <c r="DT18" s="1883"/>
      <c r="DU18" s="1883"/>
      <c r="DV18" s="1883"/>
      <c r="DW18" s="1883"/>
    </row>
    <row r="19" spans="1:127" s="2033" customFormat="1" ht="66" customHeight="1">
      <c r="A19" s="3794"/>
      <c r="B19" s="2101" t="str">
        <f t="shared" si="0"/>
        <v>2200001836</v>
      </c>
      <c r="C19" s="1851" t="s">
        <v>42</v>
      </c>
      <c r="D19" s="2097"/>
      <c r="E19" s="1851"/>
      <c r="F19" s="1872" t="s">
        <v>3401</v>
      </c>
      <c r="G19" s="1495"/>
      <c r="H19" s="1460"/>
      <c r="I19" s="1851"/>
      <c r="J19" s="2098" t="s">
        <v>1138</v>
      </c>
      <c r="K19" s="1496" t="s">
        <v>7194</v>
      </c>
      <c r="L19" s="2108">
        <v>200</v>
      </c>
      <c r="M19" s="1460" t="s">
        <v>7181</v>
      </c>
      <c r="N19" s="2102"/>
      <c r="O19" s="2102"/>
      <c r="P19" s="1883"/>
      <c r="Q19" s="1883"/>
      <c r="R19" s="1883"/>
      <c r="S19" s="1883"/>
      <c r="T19" s="1883"/>
      <c r="U19" s="1883"/>
      <c r="V19" s="1883"/>
      <c r="W19" s="1883"/>
      <c r="X19" s="1883"/>
      <c r="Y19" s="1883"/>
      <c r="Z19" s="1883"/>
      <c r="AA19" s="1883"/>
      <c r="AB19" s="1883"/>
      <c r="AC19" s="1883"/>
      <c r="AD19" s="1883"/>
      <c r="AE19" s="1883"/>
      <c r="AF19" s="1883"/>
      <c r="AG19" s="1883"/>
      <c r="AH19" s="1883"/>
      <c r="AI19" s="1883"/>
      <c r="AJ19" s="1883"/>
      <c r="AK19" s="1883"/>
      <c r="AL19" s="1883"/>
      <c r="AM19" s="1883"/>
      <c r="AN19" s="1883"/>
      <c r="AO19" s="1883"/>
      <c r="AP19" s="1883"/>
      <c r="AQ19" s="1883"/>
      <c r="AR19" s="1883"/>
      <c r="AS19" s="1883"/>
      <c r="AT19" s="1883"/>
      <c r="AU19" s="1883"/>
      <c r="AV19" s="1883"/>
      <c r="AW19" s="1883"/>
      <c r="AX19" s="1883"/>
      <c r="AY19" s="1883"/>
      <c r="AZ19" s="1883"/>
      <c r="BA19" s="1883"/>
      <c r="BB19" s="1883"/>
      <c r="BC19" s="1883"/>
      <c r="BD19" s="1883"/>
      <c r="BE19" s="1883"/>
      <c r="BF19" s="1883"/>
      <c r="BG19" s="1883"/>
      <c r="BH19" s="1883"/>
      <c r="BI19" s="1883"/>
      <c r="BJ19" s="1883"/>
      <c r="BK19" s="1883"/>
      <c r="BL19" s="1883"/>
      <c r="BM19" s="1883"/>
      <c r="BN19" s="1883"/>
      <c r="BO19" s="1883"/>
      <c r="BP19" s="1883"/>
      <c r="BQ19" s="1883"/>
      <c r="BR19" s="1883"/>
      <c r="BS19" s="1883"/>
      <c r="BT19" s="1883"/>
      <c r="BU19" s="1883"/>
      <c r="BV19" s="1883"/>
      <c r="BW19" s="1883"/>
      <c r="BX19" s="1883"/>
      <c r="BY19" s="1883"/>
      <c r="BZ19" s="1883"/>
      <c r="CA19" s="1883"/>
      <c r="CB19" s="1883"/>
      <c r="CC19" s="1883"/>
      <c r="CD19" s="1883"/>
      <c r="CE19" s="1883"/>
      <c r="CF19" s="1883"/>
      <c r="CG19" s="1883"/>
      <c r="CH19" s="1883"/>
      <c r="CI19" s="1883"/>
      <c r="CJ19" s="1883"/>
      <c r="CK19" s="1883"/>
      <c r="CL19" s="1883"/>
      <c r="CM19" s="1883"/>
      <c r="CN19" s="1883"/>
      <c r="CO19" s="1883"/>
      <c r="CP19" s="1883"/>
      <c r="CQ19" s="1883"/>
      <c r="CR19" s="1883"/>
      <c r="CS19" s="1883"/>
      <c r="CT19" s="1883"/>
      <c r="CU19" s="1883"/>
      <c r="CV19" s="1883"/>
      <c r="CW19" s="1883"/>
      <c r="CX19" s="1883"/>
      <c r="CY19" s="1883"/>
      <c r="CZ19" s="1883"/>
      <c r="DA19" s="1883"/>
      <c r="DB19" s="1883"/>
      <c r="DC19" s="1883"/>
      <c r="DD19" s="1883"/>
      <c r="DE19" s="1883"/>
      <c r="DF19" s="1883"/>
      <c r="DG19" s="1883"/>
      <c r="DH19" s="1883"/>
      <c r="DI19" s="1883"/>
      <c r="DJ19" s="1883"/>
      <c r="DK19" s="1883"/>
      <c r="DL19" s="1883"/>
      <c r="DM19" s="1883"/>
      <c r="DN19" s="1883"/>
      <c r="DO19" s="1883"/>
      <c r="DP19" s="1883"/>
      <c r="DQ19" s="1883"/>
      <c r="DR19" s="1883"/>
      <c r="DS19" s="1883"/>
      <c r="DT19" s="1883"/>
      <c r="DU19" s="1883"/>
      <c r="DV19" s="1883"/>
      <c r="DW19" s="1883"/>
    </row>
    <row r="20" spans="1:127" s="2033" customFormat="1" ht="73.5" customHeight="1">
      <c r="A20" s="3792">
        <v>7</v>
      </c>
      <c r="B20" s="2101" t="str">
        <f t="shared" si="0"/>
        <v>2000002588</v>
      </c>
      <c r="C20" s="2118" t="s">
        <v>211</v>
      </c>
      <c r="D20" s="2119">
        <v>3950</v>
      </c>
      <c r="E20" s="2118" t="s">
        <v>7195</v>
      </c>
      <c r="F20" s="2120" t="s">
        <v>61</v>
      </c>
      <c r="G20" s="1921" t="s">
        <v>7196</v>
      </c>
      <c r="H20" s="1461" t="s">
        <v>1599</v>
      </c>
      <c r="I20" s="2118" t="s">
        <v>19</v>
      </c>
      <c r="J20" s="2120" t="s">
        <v>199</v>
      </c>
      <c r="K20" s="2150" t="s">
        <v>7197</v>
      </c>
      <c r="L20" s="2151">
        <v>1400</v>
      </c>
      <c r="M20" s="2118" t="s">
        <v>7181</v>
      </c>
      <c r="N20" s="2117" t="s">
        <v>7198</v>
      </c>
      <c r="O20" s="2117"/>
      <c r="P20" s="2122"/>
      <c r="Q20" s="2122"/>
      <c r="R20" s="2122"/>
      <c r="S20" s="2122"/>
      <c r="T20" s="2122"/>
      <c r="U20" s="2122"/>
      <c r="V20" s="2122"/>
      <c r="W20" s="2122"/>
      <c r="X20" s="2122"/>
      <c r="Y20" s="2122"/>
      <c r="Z20" s="2122"/>
      <c r="AA20" s="2122"/>
      <c r="AB20" s="2122"/>
      <c r="AC20" s="2122"/>
      <c r="AD20" s="2122"/>
      <c r="AE20" s="2122"/>
      <c r="AF20" s="2122"/>
      <c r="AG20" s="2122"/>
      <c r="AH20" s="2122"/>
      <c r="AI20" s="2122"/>
      <c r="AJ20" s="2122"/>
      <c r="AK20" s="2122"/>
      <c r="AL20" s="2122"/>
      <c r="AM20" s="2122"/>
      <c r="AN20" s="2122"/>
      <c r="AO20" s="2122"/>
      <c r="AP20" s="2122"/>
      <c r="AQ20" s="2122"/>
      <c r="AR20" s="2122"/>
      <c r="AS20" s="2122"/>
      <c r="AT20" s="2122"/>
      <c r="AU20" s="2122"/>
      <c r="AV20" s="2122"/>
      <c r="AW20" s="2122"/>
      <c r="AX20" s="2122"/>
      <c r="AY20" s="2122"/>
      <c r="AZ20" s="2122"/>
      <c r="BA20" s="2122"/>
      <c r="BB20" s="2122"/>
      <c r="BC20" s="2122"/>
      <c r="BD20" s="2122"/>
      <c r="BE20" s="2122"/>
      <c r="BF20" s="2122"/>
      <c r="BG20" s="2122"/>
      <c r="BH20" s="2122"/>
      <c r="BI20" s="2122"/>
      <c r="BJ20" s="2122"/>
      <c r="BK20" s="2122"/>
      <c r="BL20" s="2122"/>
      <c r="BM20" s="2122"/>
      <c r="BN20" s="2122"/>
      <c r="BO20" s="2122"/>
      <c r="BP20" s="2122"/>
      <c r="BQ20" s="2122"/>
      <c r="BR20" s="2122"/>
      <c r="BS20" s="2122"/>
      <c r="BT20" s="2122"/>
      <c r="BU20" s="2122"/>
      <c r="BV20" s="2122"/>
      <c r="BW20" s="2122"/>
      <c r="BX20" s="2122"/>
      <c r="BY20" s="2122"/>
      <c r="BZ20" s="2122"/>
      <c r="CA20" s="2122"/>
      <c r="CB20" s="2122"/>
      <c r="CC20" s="2122"/>
      <c r="CD20" s="2122"/>
      <c r="CE20" s="2122"/>
      <c r="CF20" s="2122"/>
      <c r="CG20" s="2122"/>
      <c r="CH20" s="2122"/>
      <c r="CI20" s="2122"/>
      <c r="CJ20" s="2122"/>
      <c r="CK20" s="2122"/>
      <c r="CL20" s="2122"/>
      <c r="CM20" s="2122"/>
      <c r="CN20" s="2122"/>
      <c r="CO20" s="2122"/>
      <c r="CP20" s="2122"/>
      <c r="CQ20" s="2122"/>
      <c r="CR20" s="2122"/>
      <c r="CS20" s="2122"/>
      <c r="CT20" s="2122"/>
      <c r="CU20" s="2122"/>
      <c r="CV20" s="2122"/>
      <c r="CW20" s="2122"/>
      <c r="CX20" s="2122"/>
      <c r="CY20" s="2122"/>
      <c r="CZ20" s="2122"/>
      <c r="DA20" s="2122"/>
      <c r="DB20" s="2122"/>
      <c r="DC20" s="2122"/>
      <c r="DD20" s="2122"/>
      <c r="DE20" s="2122"/>
      <c r="DF20" s="2122"/>
      <c r="DG20" s="2122"/>
      <c r="DH20" s="2122"/>
      <c r="DI20" s="2122"/>
      <c r="DJ20" s="2122"/>
      <c r="DK20" s="2122"/>
      <c r="DL20" s="2122"/>
      <c r="DM20" s="2122"/>
      <c r="DN20" s="2122"/>
      <c r="DO20" s="2122"/>
      <c r="DP20" s="2122"/>
      <c r="DQ20" s="2122"/>
      <c r="DR20" s="2122"/>
      <c r="DS20" s="2122"/>
      <c r="DT20" s="2122"/>
      <c r="DU20" s="2122"/>
      <c r="DV20" s="2122"/>
      <c r="DW20" s="2122"/>
    </row>
    <row r="21" spans="1:127" s="2033" customFormat="1" ht="73.5" customHeight="1">
      <c r="A21" s="3794"/>
      <c r="B21" s="2101" t="str">
        <f t="shared" si="0"/>
        <v>2200001840</v>
      </c>
      <c r="C21" s="1851" t="s">
        <v>211</v>
      </c>
      <c r="D21" s="2097"/>
      <c r="E21" s="1851"/>
      <c r="F21" s="1872" t="s">
        <v>61</v>
      </c>
      <c r="G21" s="1495"/>
      <c r="H21" s="1947"/>
      <c r="I21" s="1851"/>
      <c r="J21" s="1872" t="s">
        <v>101</v>
      </c>
      <c r="K21" s="1548" t="s">
        <v>7199</v>
      </c>
      <c r="L21" s="2108">
        <v>2500</v>
      </c>
      <c r="M21" s="1851" t="s">
        <v>7181</v>
      </c>
      <c r="N21" s="2102"/>
      <c r="O21" s="2102"/>
      <c r="P21" s="1883"/>
      <c r="Q21" s="1883"/>
      <c r="R21" s="1883"/>
      <c r="S21" s="1883"/>
      <c r="T21" s="1883"/>
      <c r="U21" s="1883"/>
      <c r="V21" s="1883"/>
      <c r="W21" s="1883"/>
      <c r="X21" s="1883"/>
      <c r="Y21" s="1883"/>
      <c r="Z21" s="1883"/>
      <c r="AA21" s="1883"/>
      <c r="AB21" s="1883"/>
      <c r="AC21" s="1883"/>
      <c r="AD21" s="1883"/>
      <c r="AE21" s="1883"/>
      <c r="AF21" s="1883"/>
      <c r="AG21" s="1883"/>
      <c r="AH21" s="1883"/>
      <c r="AI21" s="1883"/>
      <c r="AJ21" s="1883"/>
      <c r="AK21" s="1883"/>
      <c r="AL21" s="1883"/>
      <c r="AM21" s="1883"/>
      <c r="AN21" s="1883"/>
      <c r="AO21" s="1883"/>
      <c r="AP21" s="1883"/>
      <c r="AQ21" s="1883"/>
      <c r="AR21" s="1883"/>
      <c r="AS21" s="1883"/>
      <c r="AT21" s="1883"/>
      <c r="AU21" s="1883"/>
      <c r="AV21" s="1883"/>
      <c r="AW21" s="1883"/>
      <c r="AX21" s="1883"/>
      <c r="AY21" s="1883"/>
      <c r="AZ21" s="1883"/>
      <c r="BA21" s="1883"/>
      <c r="BB21" s="1883"/>
      <c r="BC21" s="1883"/>
      <c r="BD21" s="1883"/>
      <c r="BE21" s="1883"/>
      <c r="BF21" s="1883"/>
      <c r="BG21" s="1883"/>
      <c r="BH21" s="1883"/>
      <c r="BI21" s="1883"/>
      <c r="BJ21" s="1883"/>
      <c r="BK21" s="1883"/>
      <c r="BL21" s="1883"/>
      <c r="BM21" s="1883"/>
      <c r="BN21" s="1883"/>
      <c r="BO21" s="1883"/>
      <c r="BP21" s="1883"/>
      <c r="BQ21" s="1883"/>
      <c r="BR21" s="1883"/>
      <c r="BS21" s="1883"/>
      <c r="BT21" s="1883"/>
      <c r="BU21" s="1883"/>
      <c r="BV21" s="1883"/>
      <c r="BW21" s="1883"/>
      <c r="BX21" s="1883"/>
      <c r="BY21" s="1883"/>
      <c r="BZ21" s="1883"/>
      <c r="CA21" s="1883"/>
      <c r="CB21" s="1883"/>
      <c r="CC21" s="1883"/>
      <c r="CD21" s="1883"/>
      <c r="CE21" s="1883"/>
      <c r="CF21" s="1883"/>
      <c r="CG21" s="1883"/>
      <c r="CH21" s="1883"/>
      <c r="CI21" s="1883"/>
      <c r="CJ21" s="1883"/>
      <c r="CK21" s="1883"/>
      <c r="CL21" s="1883"/>
      <c r="CM21" s="1883"/>
      <c r="CN21" s="1883"/>
      <c r="CO21" s="1883"/>
      <c r="CP21" s="1883"/>
      <c r="CQ21" s="1883"/>
      <c r="CR21" s="1883"/>
      <c r="CS21" s="1883"/>
      <c r="CT21" s="1883"/>
      <c r="CU21" s="1883"/>
      <c r="CV21" s="1883"/>
      <c r="CW21" s="1883"/>
      <c r="CX21" s="1883"/>
      <c r="CY21" s="1883"/>
      <c r="CZ21" s="1883"/>
      <c r="DA21" s="1883"/>
      <c r="DB21" s="1883"/>
      <c r="DC21" s="1883"/>
      <c r="DD21" s="1883"/>
      <c r="DE21" s="1883"/>
      <c r="DF21" s="1883"/>
      <c r="DG21" s="1883"/>
      <c r="DH21" s="1883"/>
      <c r="DI21" s="1883"/>
      <c r="DJ21" s="1883"/>
      <c r="DK21" s="1883"/>
      <c r="DL21" s="1883"/>
      <c r="DM21" s="1883"/>
      <c r="DN21" s="1883"/>
      <c r="DO21" s="1883"/>
      <c r="DP21" s="1883"/>
      <c r="DQ21" s="1883"/>
      <c r="DR21" s="1883"/>
      <c r="DS21" s="1883"/>
      <c r="DT21" s="1883"/>
      <c r="DU21" s="1883"/>
      <c r="DV21" s="1883"/>
      <c r="DW21" s="1883"/>
    </row>
    <row r="22" spans="1:127" s="2033" customFormat="1" ht="51.75" customHeight="1">
      <c r="A22" s="3792">
        <v>8</v>
      </c>
      <c r="B22" s="2101" t="str">
        <f t="shared" si="0"/>
        <v>2200001840</v>
      </c>
      <c r="C22" s="2118" t="s">
        <v>3464</v>
      </c>
      <c r="D22" s="2119">
        <v>2355</v>
      </c>
      <c r="E22" s="2118" t="s">
        <v>7200</v>
      </c>
      <c r="F22" s="2120" t="s">
        <v>84</v>
      </c>
      <c r="G22" s="1921" t="s">
        <v>7201</v>
      </c>
      <c r="H22" s="2159" t="s">
        <v>353</v>
      </c>
      <c r="I22" s="2118" t="s">
        <v>19</v>
      </c>
      <c r="J22" s="2120" t="s">
        <v>101</v>
      </c>
      <c r="K22" s="2150" t="s">
        <v>7199</v>
      </c>
      <c r="L22" s="2121">
        <v>800</v>
      </c>
      <c r="M22" s="2118" t="s">
        <v>7181</v>
      </c>
      <c r="N22" s="2117" t="s">
        <v>7202</v>
      </c>
      <c r="O22" s="2117"/>
      <c r="P22" s="2122"/>
      <c r="Q22" s="2122"/>
      <c r="R22" s="2122"/>
      <c r="S22" s="2122"/>
      <c r="T22" s="2122"/>
      <c r="U22" s="2122"/>
      <c r="V22" s="2122"/>
      <c r="W22" s="2122"/>
      <c r="X22" s="2122"/>
      <c r="Y22" s="2122"/>
      <c r="Z22" s="2122"/>
      <c r="AA22" s="2122"/>
      <c r="AB22" s="2122"/>
      <c r="AC22" s="2122"/>
      <c r="AD22" s="2122"/>
      <c r="AE22" s="2122"/>
      <c r="AF22" s="2122"/>
      <c r="AG22" s="2122"/>
      <c r="AH22" s="2122"/>
      <c r="AI22" s="2122"/>
      <c r="AJ22" s="2122"/>
      <c r="AK22" s="2122"/>
      <c r="AL22" s="2122"/>
      <c r="AM22" s="2122"/>
      <c r="AN22" s="2122"/>
      <c r="AO22" s="2122"/>
      <c r="AP22" s="2122"/>
      <c r="AQ22" s="2122"/>
      <c r="AR22" s="2122"/>
      <c r="AS22" s="2122"/>
      <c r="AT22" s="2122"/>
      <c r="AU22" s="2122"/>
      <c r="AV22" s="2122"/>
      <c r="AW22" s="2122"/>
      <c r="AX22" s="2122"/>
      <c r="AY22" s="2122"/>
      <c r="AZ22" s="2122"/>
      <c r="BA22" s="2122"/>
      <c r="BB22" s="2122"/>
      <c r="BC22" s="2122"/>
      <c r="BD22" s="2122"/>
      <c r="BE22" s="2122"/>
      <c r="BF22" s="2122"/>
      <c r="BG22" s="2122"/>
      <c r="BH22" s="2122"/>
      <c r="BI22" s="2122"/>
      <c r="BJ22" s="2122"/>
      <c r="BK22" s="2122"/>
      <c r="BL22" s="2122"/>
      <c r="BM22" s="2122"/>
      <c r="BN22" s="2122"/>
      <c r="BO22" s="2122"/>
      <c r="BP22" s="2122"/>
      <c r="BQ22" s="2122"/>
      <c r="BR22" s="2122"/>
      <c r="BS22" s="2122"/>
      <c r="BT22" s="2122"/>
      <c r="BU22" s="2122"/>
      <c r="BV22" s="2122"/>
      <c r="BW22" s="2122"/>
      <c r="BX22" s="2122"/>
      <c r="BY22" s="2122"/>
      <c r="BZ22" s="2122"/>
      <c r="CA22" s="2122"/>
      <c r="CB22" s="2122"/>
      <c r="CC22" s="2122"/>
      <c r="CD22" s="2122"/>
      <c r="CE22" s="2122"/>
      <c r="CF22" s="2122"/>
      <c r="CG22" s="2122"/>
      <c r="CH22" s="2122"/>
      <c r="CI22" s="2122"/>
      <c r="CJ22" s="2122"/>
      <c r="CK22" s="2122"/>
      <c r="CL22" s="2122"/>
      <c r="CM22" s="2122"/>
      <c r="CN22" s="2122"/>
      <c r="CO22" s="2122"/>
      <c r="CP22" s="2122"/>
      <c r="CQ22" s="2122"/>
      <c r="CR22" s="2122"/>
      <c r="CS22" s="2122"/>
      <c r="CT22" s="2122"/>
      <c r="CU22" s="2122"/>
      <c r="CV22" s="2122"/>
      <c r="CW22" s="2122"/>
      <c r="CX22" s="2122"/>
      <c r="CY22" s="2122"/>
      <c r="CZ22" s="2122"/>
      <c r="DA22" s="2122"/>
      <c r="DB22" s="2122"/>
      <c r="DC22" s="2122"/>
      <c r="DD22" s="2122"/>
      <c r="DE22" s="2122"/>
      <c r="DF22" s="2122"/>
      <c r="DG22" s="2122"/>
      <c r="DH22" s="2122"/>
      <c r="DI22" s="2122"/>
      <c r="DJ22" s="2122"/>
      <c r="DK22" s="2122"/>
      <c r="DL22" s="2122"/>
      <c r="DM22" s="2122"/>
      <c r="DN22" s="2122"/>
      <c r="DO22" s="2122"/>
      <c r="DP22" s="2122"/>
      <c r="DQ22" s="2122"/>
      <c r="DR22" s="2122"/>
      <c r="DS22" s="2122"/>
      <c r="DT22" s="2122"/>
      <c r="DU22" s="2122"/>
      <c r="DV22" s="2122"/>
      <c r="DW22" s="2122"/>
    </row>
    <row r="23" spans="1:127" s="2033" customFormat="1" ht="51.75" customHeight="1">
      <c r="A23" s="3793"/>
      <c r="B23" s="2101" t="str">
        <f t="shared" si="0"/>
        <v>2200001835</v>
      </c>
      <c r="C23" s="1851" t="s">
        <v>3464</v>
      </c>
      <c r="D23" s="2097"/>
      <c r="E23" s="1851"/>
      <c r="F23" s="1872" t="s">
        <v>84</v>
      </c>
      <c r="G23" s="1495"/>
      <c r="H23" s="1947"/>
      <c r="I23" s="1851"/>
      <c r="J23" s="1872" t="s">
        <v>123</v>
      </c>
      <c r="K23" s="1548" t="s">
        <v>7203</v>
      </c>
      <c r="L23" s="2108">
        <v>500</v>
      </c>
      <c r="M23" s="1851" t="s">
        <v>7181</v>
      </c>
      <c r="N23" s="2102"/>
      <c r="O23" s="2102"/>
      <c r="P23" s="1883"/>
      <c r="Q23" s="1883"/>
      <c r="R23" s="1883"/>
      <c r="S23" s="1883"/>
      <c r="T23" s="1883"/>
      <c r="U23" s="1883"/>
      <c r="V23" s="1883"/>
      <c r="W23" s="1883"/>
      <c r="X23" s="1883"/>
      <c r="Y23" s="1883"/>
      <c r="Z23" s="1883"/>
      <c r="AA23" s="1883"/>
      <c r="AB23" s="1883"/>
      <c r="AC23" s="1883"/>
      <c r="AD23" s="1883"/>
      <c r="AE23" s="1883"/>
      <c r="AF23" s="1883"/>
      <c r="AG23" s="1883"/>
      <c r="AH23" s="1883"/>
      <c r="AI23" s="1883"/>
      <c r="AJ23" s="1883"/>
      <c r="AK23" s="1883"/>
      <c r="AL23" s="1883"/>
      <c r="AM23" s="1883"/>
      <c r="AN23" s="1883"/>
      <c r="AO23" s="1883"/>
      <c r="AP23" s="1883"/>
      <c r="AQ23" s="1883"/>
      <c r="AR23" s="1883"/>
      <c r="AS23" s="1883"/>
      <c r="AT23" s="1883"/>
      <c r="AU23" s="1883"/>
      <c r="AV23" s="1883"/>
      <c r="AW23" s="1883"/>
      <c r="AX23" s="1883"/>
      <c r="AY23" s="1883"/>
      <c r="AZ23" s="1883"/>
      <c r="BA23" s="1883"/>
      <c r="BB23" s="1883"/>
      <c r="BC23" s="1883"/>
      <c r="BD23" s="1883"/>
      <c r="BE23" s="1883"/>
      <c r="BF23" s="1883"/>
      <c r="BG23" s="1883"/>
      <c r="BH23" s="1883"/>
      <c r="BI23" s="1883"/>
      <c r="BJ23" s="1883"/>
      <c r="BK23" s="1883"/>
      <c r="BL23" s="1883"/>
      <c r="BM23" s="1883"/>
      <c r="BN23" s="1883"/>
      <c r="BO23" s="1883"/>
      <c r="BP23" s="1883"/>
      <c r="BQ23" s="1883"/>
      <c r="BR23" s="1883"/>
      <c r="BS23" s="1883"/>
      <c r="BT23" s="1883"/>
      <c r="BU23" s="1883"/>
      <c r="BV23" s="1883"/>
      <c r="BW23" s="1883"/>
      <c r="BX23" s="1883"/>
      <c r="BY23" s="1883"/>
      <c r="BZ23" s="1883"/>
      <c r="CA23" s="1883"/>
      <c r="CB23" s="1883"/>
      <c r="CC23" s="1883"/>
      <c r="CD23" s="1883"/>
      <c r="CE23" s="1883"/>
      <c r="CF23" s="1883"/>
      <c r="CG23" s="1883"/>
      <c r="CH23" s="1883"/>
      <c r="CI23" s="1883"/>
      <c r="CJ23" s="1883"/>
      <c r="CK23" s="1883"/>
      <c r="CL23" s="1883"/>
      <c r="CM23" s="1883"/>
      <c r="CN23" s="1883"/>
      <c r="CO23" s="1883"/>
      <c r="CP23" s="1883"/>
      <c r="CQ23" s="1883"/>
      <c r="CR23" s="1883"/>
      <c r="CS23" s="1883"/>
      <c r="CT23" s="1883"/>
      <c r="CU23" s="1883"/>
      <c r="CV23" s="1883"/>
      <c r="CW23" s="1883"/>
      <c r="CX23" s="1883"/>
      <c r="CY23" s="1883"/>
      <c r="CZ23" s="1883"/>
      <c r="DA23" s="1883"/>
      <c r="DB23" s="1883"/>
      <c r="DC23" s="1883"/>
      <c r="DD23" s="1883"/>
      <c r="DE23" s="1883"/>
      <c r="DF23" s="1883"/>
      <c r="DG23" s="1883"/>
      <c r="DH23" s="1883"/>
      <c r="DI23" s="1883"/>
      <c r="DJ23" s="1883"/>
      <c r="DK23" s="1883"/>
      <c r="DL23" s="1883"/>
      <c r="DM23" s="1883"/>
      <c r="DN23" s="1883"/>
      <c r="DO23" s="1883"/>
      <c r="DP23" s="1883"/>
      <c r="DQ23" s="1883"/>
      <c r="DR23" s="1883"/>
      <c r="DS23" s="1883"/>
      <c r="DT23" s="1883"/>
      <c r="DU23" s="1883"/>
      <c r="DV23" s="1883"/>
      <c r="DW23" s="1883"/>
    </row>
    <row r="24" spans="1:127" s="2033" customFormat="1" ht="51.75" customHeight="1">
      <c r="A24" s="3793"/>
      <c r="B24" s="2101" t="str">
        <f t="shared" si="0"/>
        <v>2000002601</v>
      </c>
      <c r="C24" s="1851" t="s">
        <v>3464</v>
      </c>
      <c r="D24" s="2097"/>
      <c r="E24" s="1851"/>
      <c r="F24" s="1872" t="s">
        <v>84</v>
      </c>
      <c r="G24" s="1495"/>
      <c r="H24" s="1947"/>
      <c r="I24" s="1851"/>
      <c r="J24" s="1872" t="s">
        <v>123</v>
      </c>
      <c r="K24" s="1546" t="s">
        <v>7204</v>
      </c>
      <c r="L24" s="2108">
        <v>1000</v>
      </c>
      <c r="M24" s="1851" t="s">
        <v>7181</v>
      </c>
      <c r="N24" s="2102" t="s">
        <v>7205</v>
      </c>
      <c r="O24" s="2102"/>
      <c r="P24" s="1883"/>
      <c r="Q24" s="1883"/>
      <c r="R24" s="1883"/>
      <c r="S24" s="1883"/>
      <c r="T24" s="1883"/>
      <c r="U24" s="1883"/>
      <c r="V24" s="1883"/>
      <c r="W24" s="1883"/>
      <c r="X24" s="1883"/>
      <c r="Y24" s="1883"/>
      <c r="Z24" s="1883"/>
      <c r="AA24" s="1883"/>
      <c r="AB24" s="1883"/>
      <c r="AC24" s="1883"/>
      <c r="AD24" s="1883"/>
      <c r="AE24" s="1883"/>
      <c r="AF24" s="1883"/>
      <c r="AG24" s="1883"/>
      <c r="AH24" s="1883"/>
      <c r="AI24" s="1883"/>
      <c r="AJ24" s="1883"/>
      <c r="AK24" s="1883"/>
      <c r="AL24" s="1883"/>
      <c r="AM24" s="1883"/>
      <c r="AN24" s="1883"/>
      <c r="AO24" s="1883"/>
      <c r="AP24" s="1883"/>
      <c r="AQ24" s="1883"/>
      <c r="AR24" s="1883"/>
      <c r="AS24" s="1883"/>
      <c r="AT24" s="1883"/>
      <c r="AU24" s="1883"/>
      <c r="AV24" s="1883"/>
      <c r="AW24" s="1883"/>
      <c r="AX24" s="1883"/>
      <c r="AY24" s="1883"/>
      <c r="AZ24" s="1883"/>
      <c r="BA24" s="1883"/>
      <c r="BB24" s="1883"/>
      <c r="BC24" s="1883"/>
      <c r="BD24" s="1883"/>
      <c r="BE24" s="1883"/>
      <c r="BF24" s="1883"/>
      <c r="BG24" s="1883"/>
      <c r="BH24" s="1883"/>
      <c r="BI24" s="1883"/>
      <c r="BJ24" s="1883"/>
      <c r="BK24" s="1883"/>
      <c r="BL24" s="1883"/>
      <c r="BM24" s="1883"/>
      <c r="BN24" s="1883"/>
      <c r="BO24" s="1883"/>
      <c r="BP24" s="1883"/>
      <c r="BQ24" s="1883"/>
      <c r="BR24" s="1883"/>
      <c r="BS24" s="1883"/>
      <c r="BT24" s="1883"/>
      <c r="BU24" s="1883"/>
      <c r="BV24" s="1883"/>
      <c r="BW24" s="1883"/>
      <c r="BX24" s="1883"/>
      <c r="BY24" s="1883"/>
      <c r="BZ24" s="1883"/>
      <c r="CA24" s="1883"/>
      <c r="CB24" s="1883"/>
      <c r="CC24" s="1883"/>
      <c r="CD24" s="1883"/>
      <c r="CE24" s="1883"/>
      <c r="CF24" s="1883"/>
      <c r="CG24" s="1883"/>
      <c r="CH24" s="1883"/>
      <c r="CI24" s="1883"/>
      <c r="CJ24" s="1883"/>
      <c r="CK24" s="1883"/>
      <c r="CL24" s="1883"/>
      <c r="CM24" s="1883"/>
      <c r="CN24" s="1883"/>
      <c r="CO24" s="1883"/>
      <c r="CP24" s="1883"/>
      <c r="CQ24" s="1883"/>
      <c r="CR24" s="1883"/>
      <c r="CS24" s="1883"/>
      <c r="CT24" s="1883"/>
      <c r="CU24" s="1883"/>
      <c r="CV24" s="1883"/>
      <c r="CW24" s="1883"/>
      <c r="CX24" s="1883"/>
      <c r="CY24" s="1883"/>
      <c r="CZ24" s="1883"/>
      <c r="DA24" s="1883"/>
      <c r="DB24" s="1883"/>
      <c r="DC24" s="1883"/>
      <c r="DD24" s="1883"/>
      <c r="DE24" s="1883"/>
      <c r="DF24" s="1883"/>
      <c r="DG24" s="1883"/>
      <c r="DH24" s="1883"/>
      <c r="DI24" s="1883"/>
      <c r="DJ24" s="1883"/>
      <c r="DK24" s="1883"/>
      <c r="DL24" s="1883"/>
      <c r="DM24" s="1883"/>
      <c r="DN24" s="1883"/>
      <c r="DO24" s="1883"/>
      <c r="DP24" s="1883"/>
      <c r="DQ24" s="1883"/>
      <c r="DR24" s="1883"/>
      <c r="DS24" s="1883"/>
      <c r="DT24" s="1883"/>
      <c r="DU24" s="1883"/>
      <c r="DV24" s="1883"/>
      <c r="DW24" s="1883"/>
    </row>
    <row r="25" spans="1:127" s="2033" customFormat="1" ht="51.75" customHeight="1">
      <c r="A25" s="3794"/>
      <c r="B25" s="2101" t="str">
        <f t="shared" si="0"/>
        <v>2000002550</v>
      </c>
      <c r="C25" s="1851" t="s">
        <v>3464</v>
      </c>
      <c r="D25" s="2097"/>
      <c r="E25" s="1851"/>
      <c r="F25" s="1872" t="s">
        <v>84</v>
      </c>
      <c r="G25" s="1495"/>
      <c r="H25" s="1947"/>
      <c r="I25" s="1851"/>
      <c r="J25" s="1872" t="s">
        <v>123</v>
      </c>
      <c r="K25" s="1548" t="s">
        <v>7206</v>
      </c>
      <c r="L25" s="2108">
        <v>200</v>
      </c>
      <c r="M25" s="1851" t="s">
        <v>7181</v>
      </c>
      <c r="N25" s="2102"/>
      <c r="O25" s="2102"/>
      <c r="P25" s="1883"/>
      <c r="Q25" s="1883"/>
      <c r="R25" s="1883"/>
      <c r="S25" s="1883"/>
      <c r="T25" s="1883"/>
      <c r="U25" s="1883"/>
      <c r="V25" s="1883"/>
      <c r="W25" s="1883"/>
      <c r="X25" s="1883"/>
      <c r="Y25" s="1883"/>
      <c r="Z25" s="1883"/>
      <c r="AA25" s="1883"/>
      <c r="AB25" s="1883"/>
      <c r="AC25" s="1883"/>
      <c r="AD25" s="1883"/>
      <c r="AE25" s="1883"/>
      <c r="AF25" s="1883"/>
      <c r="AG25" s="1883"/>
      <c r="AH25" s="1883"/>
      <c r="AI25" s="1883"/>
      <c r="AJ25" s="1883"/>
      <c r="AK25" s="1883"/>
      <c r="AL25" s="1883"/>
      <c r="AM25" s="1883"/>
      <c r="AN25" s="1883"/>
      <c r="AO25" s="1883"/>
      <c r="AP25" s="1883"/>
      <c r="AQ25" s="1883"/>
      <c r="AR25" s="1883"/>
      <c r="AS25" s="1883"/>
      <c r="AT25" s="1883"/>
      <c r="AU25" s="1883"/>
      <c r="AV25" s="1883"/>
      <c r="AW25" s="1883"/>
      <c r="AX25" s="1883"/>
      <c r="AY25" s="1883"/>
      <c r="AZ25" s="1883"/>
      <c r="BA25" s="1883"/>
      <c r="BB25" s="1883"/>
      <c r="BC25" s="1883"/>
      <c r="BD25" s="1883"/>
      <c r="BE25" s="1883"/>
      <c r="BF25" s="1883"/>
      <c r="BG25" s="1883"/>
      <c r="BH25" s="1883"/>
      <c r="BI25" s="1883"/>
      <c r="BJ25" s="1883"/>
      <c r="BK25" s="1883"/>
      <c r="BL25" s="1883"/>
      <c r="BM25" s="1883"/>
      <c r="BN25" s="1883"/>
      <c r="BO25" s="1883"/>
      <c r="BP25" s="1883"/>
      <c r="BQ25" s="1883"/>
      <c r="BR25" s="1883"/>
      <c r="BS25" s="1883"/>
      <c r="BT25" s="1883"/>
      <c r="BU25" s="1883"/>
      <c r="BV25" s="1883"/>
      <c r="BW25" s="1883"/>
      <c r="BX25" s="1883"/>
      <c r="BY25" s="1883"/>
      <c r="BZ25" s="1883"/>
      <c r="CA25" s="1883"/>
      <c r="CB25" s="1883"/>
      <c r="CC25" s="1883"/>
      <c r="CD25" s="1883"/>
      <c r="CE25" s="1883"/>
      <c r="CF25" s="1883"/>
      <c r="CG25" s="1883"/>
      <c r="CH25" s="1883"/>
      <c r="CI25" s="1883"/>
      <c r="CJ25" s="1883"/>
      <c r="CK25" s="1883"/>
      <c r="CL25" s="1883"/>
      <c r="CM25" s="1883"/>
      <c r="CN25" s="1883"/>
      <c r="CO25" s="1883"/>
      <c r="CP25" s="1883"/>
      <c r="CQ25" s="1883"/>
      <c r="CR25" s="1883"/>
      <c r="CS25" s="1883"/>
      <c r="CT25" s="1883"/>
      <c r="CU25" s="1883"/>
      <c r="CV25" s="1883"/>
      <c r="CW25" s="1883"/>
      <c r="CX25" s="1883"/>
      <c r="CY25" s="1883"/>
      <c r="CZ25" s="1883"/>
      <c r="DA25" s="1883"/>
      <c r="DB25" s="1883"/>
      <c r="DC25" s="1883"/>
      <c r="DD25" s="1883"/>
      <c r="DE25" s="1883"/>
      <c r="DF25" s="1883"/>
      <c r="DG25" s="1883"/>
      <c r="DH25" s="1883"/>
      <c r="DI25" s="1883"/>
      <c r="DJ25" s="1883"/>
      <c r="DK25" s="1883"/>
      <c r="DL25" s="1883"/>
      <c r="DM25" s="1883"/>
      <c r="DN25" s="1883"/>
      <c r="DO25" s="1883"/>
      <c r="DP25" s="1883"/>
      <c r="DQ25" s="1883"/>
      <c r="DR25" s="1883"/>
      <c r="DS25" s="1883"/>
      <c r="DT25" s="1883"/>
      <c r="DU25" s="1883"/>
      <c r="DV25" s="1883"/>
      <c r="DW25" s="1883"/>
    </row>
    <row r="26" spans="1:127" s="2033" customFormat="1" ht="97.5" customHeight="1">
      <c r="A26" s="2096">
        <v>9</v>
      </c>
      <c r="B26" s="2101" t="str">
        <f t="shared" si="0"/>
        <v>2000002621</v>
      </c>
      <c r="C26" s="1851" t="s">
        <v>4786</v>
      </c>
      <c r="D26" s="2097">
        <v>5800</v>
      </c>
      <c r="E26" s="1851" t="s">
        <v>7207</v>
      </c>
      <c r="F26" s="1872" t="s">
        <v>16</v>
      </c>
      <c r="G26" s="1495" t="s">
        <v>7208</v>
      </c>
      <c r="H26" s="1947" t="s">
        <v>1599</v>
      </c>
      <c r="I26" s="1851" t="s">
        <v>19</v>
      </c>
      <c r="J26" s="1872" t="s">
        <v>6555</v>
      </c>
      <c r="K26" s="1883" t="s">
        <v>7209</v>
      </c>
      <c r="L26" s="2108">
        <v>5800</v>
      </c>
      <c r="M26" s="1851" t="s">
        <v>7181</v>
      </c>
      <c r="N26" s="2131" t="s">
        <v>7210</v>
      </c>
      <c r="O26" s="2102"/>
      <c r="P26" s="1883"/>
      <c r="Q26" s="1883"/>
      <c r="R26" s="1883"/>
      <c r="S26" s="1883"/>
      <c r="T26" s="1883"/>
      <c r="U26" s="1883"/>
      <c r="V26" s="1883"/>
      <c r="W26" s="1883"/>
      <c r="X26" s="1883"/>
      <c r="Y26" s="1883"/>
      <c r="Z26" s="1883"/>
      <c r="AA26" s="1883"/>
      <c r="AB26" s="1883"/>
      <c r="AC26" s="1883"/>
      <c r="AD26" s="1883"/>
      <c r="AE26" s="1883"/>
      <c r="AF26" s="1883"/>
      <c r="AG26" s="1883"/>
      <c r="AH26" s="1883"/>
      <c r="AI26" s="1883"/>
      <c r="AJ26" s="1883"/>
      <c r="AK26" s="1883"/>
      <c r="AL26" s="1883"/>
      <c r="AM26" s="1883"/>
      <c r="AN26" s="1883"/>
      <c r="AO26" s="1883"/>
      <c r="AP26" s="1883"/>
      <c r="AQ26" s="1883"/>
      <c r="AR26" s="1883"/>
      <c r="AS26" s="1883"/>
      <c r="AT26" s="1883"/>
      <c r="AU26" s="1883"/>
      <c r="AV26" s="1883"/>
      <c r="AW26" s="1883"/>
      <c r="AX26" s="1883"/>
      <c r="AY26" s="1883"/>
      <c r="AZ26" s="1883"/>
      <c r="BA26" s="1883"/>
      <c r="BB26" s="1883"/>
      <c r="BC26" s="1883"/>
      <c r="BD26" s="1883"/>
      <c r="BE26" s="1883"/>
      <c r="BF26" s="1883"/>
      <c r="BG26" s="1883"/>
      <c r="BH26" s="1883"/>
      <c r="BI26" s="1883"/>
      <c r="BJ26" s="1883"/>
      <c r="BK26" s="1883"/>
      <c r="BL26" s="1883"/>
      <c r="BM26" s="1883"/>
      <c r="BN26" s="1883"/>
      <c r="BO26" s="1883"/>
      <c r="BP26" s="1883"/>
      <c r="BQ26" s="1883"/>
      <c r="BR26" s="1883"/>
      <c r="BS26" s="1883"/>
      <c r="BT26" s="1883"/>
      <c r="BU26" s="1883"/>
      <c r="BV26" s="1883"/>
      <c r="BW26" s="1883"/>
      <c r="BX26" s="1883"/>
      <c r="BY26" s="1883"/>
      <c r="BZ26" s="1883"/>
      <c r="CA26" s="1883"/>
      <c r="CB26" s="1883"/>
      <c r="CC26" s="1883"/>
      <c r="CD26" s="1883"/>
      <c r="CE26" s="1883"/>
      <c r="CF26" s="1883"/>
      <c r="CG26" s="1883"/>
      <c r="CH26" s="1883"/>
      <c r="CI26" s="1883"/>
      <c r="CJ26" s="1883"/>
      <c r="CK26" s="1883"/>
      <c r="CL26" s="1883"/>
      <c r="CM26" s="1883"/>
      <c r="CN26" s="1883"/>
      <c r="CO26" s="1883"/>
      <c r="CP26" s="1883"/>
      <c r="CQ26" s="1883"/>
      <c r="CR26" s="1883"/>
      <c r="CS26" s="1883"/>
      <c r="CT26" s="1883"/>
      <c r="CU26" s="1883"/>
      <c r="CV26" s="1883"/>
      <c r="CW26" s="1883"/>
      <c r="CX26" s="1883"/>
      <c r="CY26" s="1883"/>
      <c r="CZ26" s="1883"/>
      <c r="DA26" s="1883"/>
      <c r="DB26" s="1883"/>
      <c r="DC26" s="1883"/>
      <c r="DD26" s="1883"/>
      <c r="DE26" s="1883"/>
      <c r="DF26" s="1883"/>
      <c r="DG26" s="1883"/>
      <c r="DH26" s="1883"/>
      <c r="DI26" s="1883"/>
      <c r="DJ26" s="1883"/>
      <c r="DK26" s="1883"/>
      <c r="DL26" s="1883"/>
      <c r="DM26" s="1883"/>
      <c r="DN26" s="1883"/>
      <c r="DO26" s="1883"/>
      <c r="DP26" s="1883"/>
      <c r="DQ26" s="1883"/>
      <c r="DR26" s="1883"/>
      <c r="DS26" s="1883"/>
      <c r="DT26" s="1883"/>
      <c r="DU26" s="1883"/>
      <c r="DV26" s="1883"/>
      <c r="DW26" s="1883"/>
    </row>
    <row r="27" spans="1:127" s="2033" customFormat="1" ht="53.25" customHeight="1">
      <c r="A27" s="3792">
        <v>10</v>
      </c>
      <c r="B27" s="2101" t="str">
        <f t="shared" si="0"/>
        <v>2200001841</v>
      </c>
      <c r="C27" s="2118" t="s">
        <v>3733</v>
      </c>
      <c r="D27" s="2119">
        <v>8700</v>
      </c>
      <c r="E27" s="2118" t="s">
        <v>7211</v>
      </c>
      <c r="F27" s="2120" t="s">
        <v>3401</v>
      </c>
      <c r="G27" s="1921" t="s">
        <v>7212</v>
      </c>
      <c r="H27" s="1947" t="s">
        <v>1599</v>
      </c>
      <c r="I27" s="2118" t="s">
        <v>19</v>
      </c>
      <c r="J27" s="2120" t="s">
        <v>1138</v>
      </c>
      <c r="K27" s="2150" t="s">
        <v>7213</v>
      </c>
      <c r="L27" s="2151">
        <v>1600</v>
      </c>
      <c r="M27" s="2118" t="s">
        <v>7214</v>
      </c>
      <c r="N27" s="2130" t="s">
        <v>7215</v>
      </c>
      <c r="O27" s="2117"/>
      <c r="P27" s="2122"/>
      <c r="Q27" s="2122"/>
      <c r="R27" s="2122"/>
      <c r="S27" s="2122"/>
      <c r="T27" s="2122"/>
      <c r="U27" s="2122"/>
      <c r="V27" s="2122"/>
      <c r="W27" s="2122"/>
      <c r="X27" s="2122"/>
      <c r="Y27" s="2122"/>
      <c r="Z27" s="2122"/>
      <c r="AA27" s="2122"/>
      <c r="AB27" s="2122"/>
      <c r="AC27" s="2122"/>
      <c r="AD27" s="2122"/>
      <c r="AE27" s="2122"/>
      <c r="AF27" s="2122"/>
      <c r="AG27" s="2122"/>
      <c r="AH27" s="2122"/>
      <c r="AI27" s="2122"/>
      <c r="AJ27" s="2122"/>
      <c r="AK27" s="2122"/>
      <c r="AL27" s="2122"/>
      <c r="AM27" s="2122"/>
      <c r="AN27" s="2122"/>
      <c r="AO27" s="2122"/>
      <c r="AP27" s="2122"/>
      <c r="AQ27" s="2122"/>
      <c r="AR27" s="2122"/>
      <c r="AS27" s="2122"/>
      <c r="AT27" s="2122"/>
      <c r="AU27" s="2122"/>
      <c r="AV27" s="2122"/>
      <c r="AW27" s="2122"/>
      <c r="AX27" s="2122"/>
      <c r="AY27" s="2122"/>
      <c r="AZ27" s="2122"/>
      <c r="BA27" s="2122"/>
      <c r="BB27" s="2122"/>
      <c r="BC27" s="2122"/>
      <c r="BD27" s="2122"/>
      <c r="BE27" s="2122"/>
      <c r="BF27" s="2122"/>
      <c r="BG27" s="2122"/>
      <c r="BH27" s="2122"/>
      <c r="BI27" s="2122"/>
      <c r="BJ27" s="2122"/>
      <c r="BK27" s="2122"/>
      <c r="BL27" s="2122"/>
      <c r="BM27" s="2122"/>
      <c r="BN27" s="2122"/>
      <c r="BO27" s="2122"/>
      <c r="BP27" s="2122"/>
      <c r="BQ27" s="2122"/>
      <c r="BR27" s="2122"/>
      <c r="BS27" s="2122"/>
      <c r="BT27" s="2122"/>
      <c r="BU27" s="2122"/>
      <c r="BV27" s="2122"/>
      <c r="BW27" s="2122"/>
      <c r="BX27" s="2122"/>
      <c r="BY27" s="2122"/>
      <c r="BZ27" s="2122"/>
      <c r="CA27" s="2122"/>
      <c r="CB27" s="2122"/>
      <c r="CC27" s="2122"/>
      <c r="CD27" s="2122"/>
      <c r="CE27" s="2122"/>
      <c r="CF27" s="2122"/>
      <c r="CG27" s="2122"/>
      <c r="CH27" s="2122"/>
      <c r="CI27" s="2122"/>
      <c r="CJ27" s="2122"/>
      <c r="CK27" s="2122"/>
      <c r="CL27" s="2122"/>
      <c r="CM27" s="2122"/>
      <c r="CN27" s="2122"/>
      <c r="CO27" s="2122"/>
      <c r="CP27" s="2122"/>
      <c r="CQ27" s="2122"/>
      <c r="CR27" s="2122"/>
      <c r="CS27" s="2122"/>
      <c r="CT27" s="2122"/>
      <c r="CU27" s="2122"/>
      <c r="CV27" s="2122"/>
      <c r="CW27" s="2122"/>
      <c r="CX27" s="2122"/>
      <c r="CY27" s="2122"/>
      <c r="CZ27" s="2122"/>
      <c r="DA27" s="2122"/>
      <c r="DB27" s="2122"/>
      <c r="DC27" s="2122"/>
      <c r="DD27" s="2122"/>
      <c r="DE27" s="2122"/>
      <c r="DF27" s="2122"/>
      <c r="DG27" s="2122"/>
      <c r="DH27" s="2122"/>
      <c r="DI27" s="2122"/>
      <c r="DJ27" s="2122"/>
      <c r="DK27" s="2122"/>
      <c r="DL27" s="2122"/>
      <c r="DM27" s="2122"/>
      <c r="DN27" s="2122"/>
      <c r="DO27" s="2122"/>
      <c r="DP27" s="2122"/>
      <c r="DQ27" s="2122"/>
      <c r="DR27" s="2122"/>
      <c r="DS27" s="2122"/>
      <c r="DT27" s="2122"/>
      <c r="DU27" s="2122"/>
      <c r="DV27" s="2122"/>
      <c r="DW27" s="2122"/>
    </row>
    <row r="28" spans="1:127" s="2033" customFormat="1" ht="53.25" customHeight="1">
      <c r="A28" s="3793"/>
      <c r="B28" s="2101" t="str">
        <f t="shared" si="0"/>
        <v>2200001842</v>
      </c>
      <c r="C28" s="1851" t="s">
        <v>3733</v>
      </c>
      <c r="D28" s="2097"/>
      <c r="E28" s="1851"/>
      <c r="F28" s="1872" t="s">
        <v>3401</v>
      </c>
      <c r="G28" s="1495"/>
      <c r="H28" s="1947"/>
      <c r="I28" s="1851"/>
      <c r="J28" s="2098" t="s">
        <v>1138</v>
      </c>
      <c r="K28" s="1548" t="s">
        <v>7216</v>
      </c>
      <c r="L28" s="2108">
        <v>1100</v>
      </c>
      <c r="M28" s="1851" t="s">
        <v>7214</v>
      </c>
      <c r="N28" s="2131" t="s">
        <v>7215</v>
      </c>
      <c r="O28" s="2102"/>
      <c r="P28" s="1883"/>
      <c r="Q28" s="1883"/>
      <c r="R28" s="1883"/>
      <c r="S28" s="1883"/>
      <c r="T28" s="1883"/>
      <c r="U28" s="1883"/>
      <c r="V28" s="1883"/>
      <c r="W28" s="1883"/>
      <c r="X28" s="1883"/>
      <c r="Y28" s="1883"/>
      <c r="Z28" s="1883"/>
      <c r="AA28" s="1883"/>
      <c r="AB28" s="1883"/>
      <c r="AC28" s="1883"/>
      <c r="AD28" s="1883"/>
      <c r="AE28" s="1883"/>
      <c r="AF28" s="1883"/>
      <c r="AG28" s="1883"/>
      <c r="AH28" s="1883"/>
      <c r="AI28" s="1883"/>
      <c r="AJ28" s="1883"/>
      <c r="AK28" s="1883"/>
      <c r="AL28" s="1883"/>
      <c r="AM28" s="1883"/>
      <c r="AN28" s="1883"/>
      <c r="AO28" s="1883"/>
      <c r="AP28" s="1883"/>
      <c r="AQ28" s="1883"/>
      <c r="AR28" s="1883"/>
      <c r="AS28" s="1883"/>
      <c r="AT28" s="1883"/>
      <c r="AU28" s="1883"/>
      <c r="AV28" s="1883"/>
      <c r="AW28" s="1883"/>
      <c r="AX28" s="1883"/>
      <c r="AY28" s="1883"/>
      <c r="AZ28" s="1883"/>
      <c r="BA28" s="1883"/>
      <c r="BB28" s="1883"/>
      <c r="BC28" s="1883"/>
      <c r="BD28" s="1883"/>
      <c r="BE28" s="1883"/>
      <c r="BF28" s="1883"/>
      <c r="BG28" s="1883"/>
      <c r="BH28" s="1883"/>
      <c r="BI28" s="1883"/>
      <c r="BJ28" s="1883"/>
      <c r="BK28" s="1883"/>
      <c r="BL28" s="1883"/>
      <c r="BM28" s="1883"/>
      <c r="BN28" s="1883"/>
      <c r="BO28" s="1883"/>
      <c r="BP28" s="1883"/>
      <c r="BQ28" s="1883"/>
      <c r="BR28" s="1883"/>
      <c r="BS28" s="1883"/>
      <c r="BT28" s="1883"/>
      <c r="BU28" s="1883"/>
      <c r="BV28" s="1883"/>
      <c r="BW28" s="1883"/>
      <c r="BX28" s="1883"/>
      <c r="BY28" s="1883"/>
      <c r="BZ28" s="1883"/>
      <c r="CA28" s="1883"/>
      <c r="CB28" s="1883"/>
      <c r="CC28" s="1883"/>
      <c r="CD28" s="1883"/>
      <c r="CE28" s="1883"/>
      <c r="CF28" s="1883"/>
      <c r="CG28" s="1883"/>
      <c r="CH28" s="1883"/>
      <c r="CI28" s="1883"/>
      <c r="CJ28" s="1883"/>
      <c r="CK28" s="1883"/>
      <c r="CL28" s="1883"/>
      <c r="CM28" s="1883"/>
      <c r="CN28" s="1883"/>
      <c r="CO28" s="1883"/>
      <c r="CP28" s="1883"/>
      <c r="CQ28" s="1883"/>
      <c r="CR28" s="1883"/>
      <c r="CS28" s="1883"/>
      <c r="CT28" s="1883"/>
      <c r="CU28" s="1883"/>
      <c r="CV28" s="1883"/>
      <c r="CW28" s="1883"/>
      <c r="CX28" s="1883"/>
      <c r="CY28" s="1883"/>
      <c r="CZ28" s="1883"/>
      <c r="DA28" s="1883"/>
      <c r="DB28" s="1883"/>
      <c r="DC28" s="1883"/>
      <c r="DD28" s="1883"/>
      <c r="DE28" s="1883"/>
      <c r="DF28" s="1883"/>
      <c r="DG28" s="1883"/>
      <c r="DH28" s="1883"/>
      <c r="DI28" s="1883"/>
      <c r="DJ28" s="1883"/>
      <c r="DK28" s="1883"/>
      <c r="DL28" s="1883"/>
      <c r="DM28" s="1883"/>
      <c r="DN28" s="1883"/>
      <c r="DO28" s="1883"/>
      <c r="DP28" s="1883"/>
      <c r="DQ28" s="1883"/>
      <c r="DR28" s="1883"/>
      <c r="DS28" s="1883"/>
      <c r="DT28" s="1883"/>
      <c r="DU28" s="1883"/>
      <c r="DV28" s="1883"/>
      <c r="DW28" s="1883"/>
    </row>
    <row r="29" spans="1:127" s="2033" customFormat="1" ht="53.25" customHeight="1">
      <c r="A29" s="3793"/>
      <c r="B29" s="2101" t="str">
        <f t="shared" si="0"/>
        <v>2200001843</v>
      </c>
      <c r="C29" s="1851" t="s">
        <v>3733</v>
      </c>
      <c r="D29" s="2097"/>
      <c r="E29" s="1851"/>
      <c r="F29" s="1872" t="s">
        <v>3401</v>
      </c>
      <c r="G29" s="1495"/>
      <c r="H29" s="1947"/>
      <c r="I29" s="1851"/>
      <c r="J29" s="2098" t="s">
        <v>1138</v>
      </c>
      <c r="K29" s="1548" t="s">
        <v>7217</v>
      </c>
      <c r="L29" s="2108">
        <v>3200</v>
      </c>
      <c r="M29" s="1851" t="s">
        <v>7214</v>
      </c>
      <c r="N29" s="2131" t="s">
        <v>7215</v>
      </c>
      <c r="O29" s="2102"/>
      <c r="P29" s="1883"/>
      <c r="Q29" s="1883"/>
      <c r="R29" s="1883"/>
      <c r="S29" s="1883"/>
      <c r="T29" s="1883"/>
      <c r="U29" s="1883"/>
      <c r="V29" s="1883"/>
      <c r="W29" s="1883"/>
      <c r="X29" s="1883"/>
      <c r="Y29" s="1883"/>
      <c r="Z29" s="1883"/>
      <c r="AA29" s="1883"/>
      <c r="AB29" s="1883"/>
      <c r="AC29" s="1883"/>
      <c r="AD29" s="1883"/>
      <c r="AE29" s="1883"/>
      <c r="AF29" s="1883"/>
      <c r="AG29" s="1883"/>
      <c r="AH29" s="1883"/>
      <c r="AI29" s="1883"/>
      <c r="AJ29" s="1883"/>
      <c r="AK29" s="1883"/>
      <c r="AL29" s="1883"/>
      <c r="AM29" s="1883"/>
      <c r="AN29" s="1883"/>
      <c r="AO29" s="1883"/>
      <c r="AP29" s="1883"/>
      <c r="AQ29" s="1883"/>
      <c r="AR29" s="1883"/>
      <c r="AS29" s="1883"/>
      <c r="AT29" s="1883"/>
      <c r="AU29" s="1883"/>
      <c r="AV29" s="1883"/>
      <c r="AW29" s="1883"/>
      <c r="AX29" s="1883"/>
      <c r="AY29" s="1883"/>
      <c r="AZ29" s="1883"/>
      <c r="BA29" s="1883"/>
      <c r="BB29" s="1883"/>
      <c r="BC29" s="1883"/>
      <c r="BD29" s="1883"/>
      <c r="BE29" s="1883"/>
      <c r="BF29" s="1883"/>
      <c r="BG29" s="1883"/>
      <c r="BH29" s="1883"/>
      <c r="BI29" s="1883"/>
      <c r="BJ29" s="1883"/>
      <c r="BK29" s="1883"/>
      <c r="BL29" s="1883"/>
      <c r="BM29" s="1883"/>
      <c r="BN29" s="1883"/>
      <c r="BO29" s="1883"/>
      <c r="BP29" s="1883"/>
      <c r="BQ29" s="1883"/>
      <c r="BR29" s="1883"/>
      <c r="BS29" s="1883"/>
      <c r="BT29" s="1883"/>
      <c r="BU29" s="1883"/>
      <c r="BV29" s="1883"/>
      <c r="BW29" s="1883"/>
      <c r="BX29" s="1883"/>
      <c r="BY29" s="1883"/>
      <c r="BZ29" s="1883"/>
      <c r="CA29" s="1883"/>
      <c r="CB29" s="1883"/>
      <c r="CC29" s="1883"/>
      <c r="CD29" s="1883"/>
      <c r="CE29" s="1883"/>
      <c r="CF29" s="1883"/>
      <c r="CG29" s="1883"/>
      <c r="CH29" s="1883"/>
      <c r="CI29" s="1883"/>
      <c r="CJ29" s="1883"/>
      <c r="CK29" s="1883"/>
      <c r="CL29" s="1883"/>
      <c r="CM29" s="1883"/>
      <c r="CN29" s="1883"/>
      <c r="CO29" s="1883"/>
      <c r="CP29" s="1883"/>
      <c r="CQ29" s="1883"/>
      <c r="CR29" s="1883"/>
      <c r="CS29" s="1883"/>
      <c r="CT29" s="1883"/>
      <c r="CU29" s="1883"/>
      <c r="CV29" s="1883"/>
      <c r="CW29" s="1883"/>
      <c r="CX29" s="1883"/>
      <c r="CY29" s="1883"/>
      <c r="CZ29" s="1883"/>
      <c r="DA29" s="1883"/>
      <c r="DB29" s="1883"/>
      <c r="DC29" s="1883"/>
      <c r="DD29" s="1883"/>
      <c r="DE29" s="1883"/>
      <c r="DF29" s="1883"/>
      <c r="DG29" s="1883"/>
      <c r="DH29" s="1883"/>
      <c r="DI29" s="1883"/>
      <c r="DJ29" s="1883"/>
      <c r="DK29" s="1883"/>
      <c r="DL29" s="1883"/>
      <c r="DM29" s="1883"/>
      <c r="DN29" s="1883"/>
      <c r="DO29" s="1883"/>
      <c r="DP29" s="1883"/>
      <c r="DQ29" s="1883"/>
      <c r="DR29" s="1883"/>
      <c r="DS29" s="1883"/>
      <c r="DT29" s="1883"/>
      <c r="DU29" s="1883"/>
      <c r="DV29" s="1883"/>
      <c r="DW29" s="1883"/>
    </row>
    <row r="30" spans="1:127" s="2033" customFormat="1" ht="53.25" customHeight="1">
      <c r="A30" s="3793"/>
      <c r="B30" s="2101" t="str">
        <f t="shared" si="0"/>
        <v>2200001844</v>
      </c>
      <c r="C30" s="1851" t="s">
        <v>3733</v>
      </c>
      <c r="D30" s="2097"/>
      <c r="E30" s="1851"/>
      <c r="F30" s="1872" t="s">
        <v>3401</v>
      </c>
      <c r="G30" s="1495"/>
      <c r="H30" s="1947"/>
      <c r="I30" s="1851"/>
      <c r="J30" s="2098" t="s">
        <v>1138</v>
      </c>
      <c r="K30" s="1548" t="s">
        <v>7218</v>
      </c>
      <c r="L30" s="2108">
        <v>1300</v>
      </c>
      <c r="M30" s="1851" t="s">
        <v>7214</v>
      </c>
      <c r="N30" s="2131" t="s">
        <v>7215</v>
      </c>
      <c r="O30" s="2102"/>
      <c r="P30" s="1883"/>
      <c r="Q30" s="1883"/>
      <c r="R30" s="1883"/>
      <c r="S30" s="1883"/>
      <c r="T30" s="1883"/>
      <c r="U30" s="1883"/>
      <c r="V30" s="1883"/>
      <c r="W30" s="1883"/>
      <c r="X30" s="1883"/>
      <c r="Y30" s="1883"/>
      <c r="Z30" s="1883"/>
      <c r="AA30" s="1883"/>
      <c r="AB30" s="1883"/>
      <c r="AC30" s="1883"/>
      <c r="AD30" s="1883"/>
      <c r="AE30" s="1883"/>
      <c r="AF30" s="1883"/>
      <c r="AG30" s="1883"/>
      <c r="AH30" s="1883"/>
      <c r="AI30" s="1883"/>
      <c r="AJ30" s="1883"/>
      <c r="AK30" s="1883"/>
      <c r="AL30" s="1883"/>
      <c r="AM30" s="1883"/>
      <c r="AN30" s="1883"/>
      <c r="AO30" s="1883"/>
      <c r="AP30" s="1883"/>
      <c r="AQ30" s="1883"/>
      <c r="AR30" s="1883"/>
      <c r="AS30" s="1883"/>
      <c r="AT30" s="1883"/>
      <c r="AU30" s="1883"/>
      <c r="AV30" s="1883"/>
      <c r="AW30" s="1883"/>
      <c r="AX30" s="1883"/>
      <c r="AY30" s="1883"/>
      <c r="AZ30" s="1883"/>
      <c r="BA30" s="1883"/>
      <c r="BB30" s="1883"/>
      <c r="BC30" s="1883"/>
      <c r="BD30" s="1883"/>
      <c r="BE30" s="1883"/>
      <c r="BF30" s="1883"/>
      <c r="BG30" s="1883"/>
      <c r="BH30" s="1883"/>
      <c r="BI30" s="1883"/>
      <c r="BJ30" s="1883"/>
      <c r="BK30" s="1883"/>
      <c r="BL30" s="1883"/>
      <c r="BM30" s="1883"/>
      <c r="BN30" s="1883"/>
      <c r="BO30" s="1883"/>
      <c r="BP30" s="1883"/>
      <c r="BQ30" s="1883"/>
      <c r="BR30" s="1883"/>
      <c r="BS30" s="1883"/>
      <c r="BT30" s="1883"/>
      <c r="BU30" s="1883"/>
      <c r="BV30" s="1883"/>
      <c r="BW30" s="1883"/>
      <c r="BX30" s="1883"/>
      <c r="BY30" s="1883"/>
      <c r="BZ30" s="1883"/>
      <c r="CA30" s="1883"/>
      <c r="CB30" s="1883"/>
      <c r="CC30" s="1883"/>
      <c r="CD30" s="1883"/>
      <c r="CE30" s="1883"/>
      <c r="CF30" s="1883"/>
      <c r="CG30" s="1883"/>
      <c r="CH30" s="1883"/>
      <c r="CI30" s="1883"/>
      <c r="CJ30" s="1883"/>
      <c r="CK30" s="1883"/>
      <c r="CL30" s="1883"/>
      <c r="CM30" s="1883"/>
      <c r="CN30" s="1883"/>
      <c r="CO30" s="1883"/>
      <c r="CP30" s="1883"/>
      <c r="CQ30" s="1883"/>
      <c r="CR30" s="1883"/>
      <c r="CS30" s="1883"/>
      <c r="CT30" s="1883"/>
      <c r="CU30" s="1883"/>
      <c r="CV30" s="1883"/>
      <c r="CW30" s="1883"/>
      <c r="CX30" s="1883"/>
      <c r="CY30" s="1883"/>
      <c r="CZ30" s="1883"/>
      <c r="DA30" s="1883"/>
      <c r="DB30" s="1883"/>
      <c r="DC30" s="1883"/>
      <c r="DD30" s="1883"/>
      <c r="DE30" s="1883"/>
      <c r="DF30" s="1883"/>
      <c r="DG30" s="1883"/>
      <c r="DH30" s="1883"/>
      <c r="DI30" s="1883"/>
      <c r="DJ30" s="1883"/>
      <c r="DK30" s="1883"/>
      <c r="DL30" s="1883"/>
      <c r="DM30" s="1883"/>
      <c r="DN30" s="1883"/>
      <c r="DO30" s="1883"/>
      <c r="DP30" s="1883"/>
      <c r="DQ30" s="1883"/>
      <c r="DR30" s="1883"/>
      <c r="DS30" s="1883"/>
      <c r="DT30" s="1883"/>
      <c r="DU30" s="1883"/>
      <c r="DV30" s="1883"/>
      <c r="DW30" s="1883"/>
    </row>
    <row r="31" spans="1:127" s="2033" customFormat="1" ht="53.25" customHeight="1">
      <c r="A31" s="3794"/>
      <c r="B31" s="2101" t="str">
        <f t="shared" si="0"/>
        <v>2200001836</v>
      </c>
      <c r="C31" s="1851" t="s">
        <v>3733</v>
      </c>
      <c r="D31" s="2097"/>
      <c r="E31" s="1851"/>
      <c r="F31" s="1872" t="s">
        <v>3401</v>
      </c>
      <c r="G31" s="1495"/>
      <c r="H31" s="1947"/>
      <c r="I31" s="1851"/>
      <c r="J31" s="2098" t="s">
        <v>1138</v>
      </c>
      <c r="K31" s="1559" t="s">
        <v>7194</v>
      </c>
      <c r="L31" s="2108">
        <v>1500</v>
      </c>
      <c r="M31" s="1851" t="s">
        <v>7181</v>
      </c>
      <c r="N31" s="2131" t="s">
        <v>7219</v>
      </c>
      <c r="O31" s="2102"/>
      <c r="P31" s="1883"/>
      <c r="Q31" s="1883"/>
      <c r="R31" s="1883"/>
      <c r="S31" s="1883"/>
      <c r="T31" s="1883"/>
      <c r="U31" s="1883"/>
      <c r="V31" s="1883"/>
      <c r="W31" s="1883"/>
      <c r="X31" s="1883"/>
      <c r="Y31" s="1883"/>
      <c r="Z31" s="1883"/>
      <c r="AA31" s="1883"/>
      <c r="AB31" s="1883"/>
      <c r="AC31" s="1883"/>
      <c r="AD31" s="1883"/>
      <c r="AE31" s="1883"/>
      <c r="AF31" s="1883"/>
      <c r="AG31" s="1883"/>
      <c r="AH31" s="1883"/>
      <c r="AI31" s="1883"/>
      <c r="AJ31" s="1883"/>
      <c r="AK31" s="1883"/>
      <c r="AL31" s="1883"/>
      <c r="AM31" s="1883"/>
      <c r="AN31" s="1883"/>
      <c r="AO31" s="1883"/>
      <c r="AP31" s="1883"/>
      <c r="AQ31" s="1883"/>
      <c r="AR31" s="1883"/>
      <c r="AS31" s="1883"/>
      <c r="AT31" s="1883"/>
      <c r="AU31" s="1883"/>
      <c r="AV31" s="1883"/>
      <c r="AW31" s="1883"/>
      <c r="AX31" s="1883"/>
      <c r="AY31" s="1883"/>
      <c r="AZ31" s="1883"/>
      <c r="BA31" s="1883"/>
      <c r="BB31" s="1883"/>
      <c r="BC31" s="1883"/>
      <c r="BD31" s="1883"/>
      <c r="BE31" s="1883"/>
      <c r="BF31" s="1883"/>
      <c r="BG31" s="1883"/>
      <c r="BH31" s="1883"/>
      <c r="BI31" s="1883"/>
      <c r="BJ31" s="1883"/>
      <c r="BK31" s="1883"/>
      <c r="BL31" s="1883"/>
      <c r="BM31" s="1883"/>
      <c r="BN31" s="1883"/>
      <c r="BO31" s="1883"/>
      <c r="BP31" s="1883"/>
      <c r="BQ31" s="1883"/>
      <c r="BR31" s="1883"/>
      <c r="BS31" s="1883"/>
      <c r="BT31" s="1883"/>
      <c r="BU31" s="1883"/>
      <c r="BV31" s="1883"/>
      <c r="BW31" s="1883"/>
      <c r="BX31" s="1883"/>
      <c r="BY31" s="1883"/>
      <c r="BZ31" s="1883"/>
      <c r="CA31" s="1883"/>
      <c r="CB31" s="1883"/>
      <c r="CC31" s="1883"/>
      <c r="CD31" s="1883"/>
      <c r="CE31" s="1883"/>
      <c r="CF31" s="1883"/>
      <c r="CG31" s="1883"/>
      <c r="CH31" s="1883"/>
      <c r="CI31" s="1883"/>
      <c r="CJ31" s="1883"/>
      <c r="CK31" s="1883"/>
      <c r="CL31" s="1883"/>
      <c r="CM31" s="1883"/>
      <c r="CN31" s="1883"/>
      <c r="CO31" s="1883"/>
      <c r="CP31" s="1883"/>
      <c r="CQ31" s="1883"/>
      <c r="CR31" s="1883"/>
      <c r="CS31" s="1883"/>
      <c r="CT31" s="1883"/>
      <c r="CU31" s="1883"/>
      <c r="CV31" s="1883"/>
      <c r="CW31" s="1883"/>
      <c r="CX31" s="1883"/>
      <c r="CY31" s="1883"/>
      <c r="CZ31" s="1883"/>
      <c r="DA31" s="1883"/>
      <c r="DB31" s="1883"/>
      <c r="DC31" s="1883"/>
      <c r="DD31" s="1883"/>
      <c r="DE31" s="1883"/>
      <c r="DF31" s="1883"/>
      <c r="DG31" s="1883"/>
      <c r="DH31" s="1883"/>
      <c r="DI31" s="1883"/>
      <c r="DJ31" s="1883"/>
      <c r="DK31" s="1883"/>
      <c r="DL31" s="1883"/>
      <c r="DM31" s="1883"/>
      <c r="DN31" s="1883"/>
      <c r="DO31" s="1883"/>
      <c r="DP31" s="1883"/>
      <c r="DQ31" s="1883"/>
      <c r="DR31" s="1883"/>
      <c r="DS31" s="1883"/>
      <c r="DT31" s="1883"/>
      <c r="DU31" s="1883"/>
      <c r="DV31" s="1883"/>
      <c r="DW31" s="1883"/>
    </row>
    <row r="32" spans="1:127" s="2033" customFormat="1" ht="64.5" customHeight="1">
      <c r="A32" s="3792">
        <v>11</v>
      </c>
      <c r="B32" s="2101" t="str">
        <f t="shared" si="0"/>
        <v>2000002587</v>
      </c>
      <c r="C32" s="2118" t="s">
        <v>3460</v>
      </c>
      <c r="D32" s="2119">
        <v>3500</v>
      </c>
      <c r="E32" s="2118" t="s">
        <v>7220</v>
      </c>
      <c r="F32" s="2120" t="s">
        <v>61</v>
      </c>
      <c r="G32" s="1921" t="s">
        <v>7221</v>
      </c>
      <c r="H32" s="1947" t="s">
        <v>1599</v>
      </c>
      <c r="I32" s="2118" t="s">
        <v>19</v>
      </c>
      <c r="J32" s="2120" t="s">
        <v>63</v>
      </c>
      <c r="K32" s="2162" t="s">
        <v>7222</v>
      </c>
      <c r="L32" s="2151">
        <v>500</v>
      </c>
      <c r="M32" s="2160" t="s">
        <v>7181</v>
      </c>
      <c r="N32" s="2117" t="s">
        <v>7223</v>
      </c>
      <c r="O32" s="2117"/>
      <c r="P32" s="2122"/>
      <c r="Q32" s="2122"/>
      <c r="R32" s="2122"/>
      <c r="S32" s="2122"/>
      <c r="T32" s="2122"/>
      <c r="U32" s="2122"/>
      <c r="V32" s="2122"/>
      <c r="W32" s="2122"/>
      <c r="X32" s="2122"/>
      <c r="Y32" s="2122"/>
      <c r="Z32" s="2122"/>
      <c r="AA32" s="2122"/>
      <c r="AB32" s="2122"/>
      <c r="AC32" s="2122"/>
      <c r="AD32" s="2122"/>
      <c r="AE32" s="2122"/>
      <c r="AF32" s="2122"/>
      <c r="AG32" s="2122"/>
      <c r="AH32" s="2122"/>
      <c r="AI32" s="2122"/>
      <c r="AJ32" s="2122"/>
      <c r="AK32" s="2122"/>
      <c r="AL32" s="2122"/>
      <c r="AM32" s="2122"/>
      <c r="AN32" s="2122"/>
      <c r="AO32" s="2122"/>
      <c r="AP32" s="2122"/>
      <c r="AQ32" s="2122"/>
      <c r="AR32" s="2122"/>
      <c r="AS32" s="2122"/>
      <c r="AT32" s="2122"/>
      <c r="AU32" s="2122"/>
      <c r="AV32" s="2122"/>
      <c r="AW32" s="2122"/>
      <c r="AX32" s="2122"/>
      <c r="AY32" s="2122"/>
      <c r="AZ32" s="2122"/>
      <c r="BA32" s="2122"/>
      <c r="BB32" s="2122"/>
      <c r="BC32" s="2122"/>
      <c r="BD32" s="2122"/>
      <c r="BE32" s="2122"/>
      <c r="BF32" s="2122"/>
      <c r="BG32" s="2122"/>
      <c r="BH32" s="2122"/>
      <c r="BI32" s="2122"/>
      <c r="BJ32" s="2122"/>
      <c r="BK32" s="2122"/>
      <c r="BL32" s="2122"/>
      <c r="BM32" s="2122"/>
      <c r="BN32" s="2122"/>
      <c r="BO32" s="2122"/>
      <c r="BP32" s="2122"/>
      <c r="BQ32" s="2122"/>
      <c r="BR32" s="2122"/>
      <c r="BS32" s="2122"/>
      <c r="BT32" s="2122"/>
      <c r="BU32" s="2122"/>
      <c r="BV32" s="2122"/>
      <c r="BW32" s="2122"/>
      <c r="BX32" s="2122"/>
      <c r="BY32" s="2122"/>
      <c r="BZ32" s="2122"/>
      <c r="CA32" s="2122"/>
      <c r="CB32" s="2122"/>
      <c r="CC32" s="2122"/>
      <c r="CD32" s="2122"/>
      <c r="CE32" s="2122"/>
      <c r="CF32" s="2122"/>
      <c r="CG32" s="2122"/>
      <c r="CH32" s="2122"/>
      <c r="CI32" s="2122"/>
      <c r="CJ32" s="2122"/>
      <c r="CK32" s="2122"/>
      <c r="CL32" s="2122"/>
      <c r="CM32" s="2122"/>
      <c r="CN32" s="2122"/>
      <c r="CO32" s="2122"/>
      <c r="CP32" s="2122"/>
      <c r="CQ32" s="2122"/>
      <c r="CR32" s="2122"/>
      <c r="CS32" s="2122"/>
      <c r="CT32" s="2122"/>
      <c r="CU32" s="2122"/>
      <c r="CV32" s="2122"/>
      <c r="CW32" s="2122"/>
      <c r="CX32" s="2122"/>
      <c r="CY32" s="2122"/>
      <c r="CZ32" s="2122"/>
      <c r="DA32" s="2122"/>
      <c r="DB32" s="2122"/>
      <c r="DC32" s="2122"/>
      <c r="DD32" s="2122"/>
      <c r="DE32" s="2122"/>
      <c r="DF32" s="2122"/>
      <c r="DG32" s="2122"/>
      <c r="DH32" s="2122"/>
      <c r="DI32" s="2122"/>
      <c r="DJ32" s="2122"/>
      <c r="DK32" s="2122"/>
      <c r="DL32" s="2122"/>
      <c r="DM32" s="2122"/>
      <c r="DN32" s="2122"/>
      <c r="DO32" s="2122"/>
      <c r="DP32" s="2122"/>
      <c r="DQ32" s="2122"/>
      <c r="DR32" s="2122"/>
      <c r="DS32" s="2122"/>
      <c r="DT32" s="2122"/>
      <c r="DU32" s="2122"/>
      <c r="DV32" s="2122"/>
      <c r="DW32" s="2122"/>
    </row>
    <row r="33" spans="1:127" s="2033" customFormat="1" ht="64.5" customHeight="1">
      <c r="A33" s="3793"/>
      <c r="B33" s="2101" t="str">
        <f t="shared" si="0"/>
        <v>2000002590</v>
      </c>
      <c r="C33" s="1851" t="s">
        <v>3460</v>
      </c>
      <c r="D33" s="2097"/>
      <c r="E33" s="1851"/>
      <c r="F33" s="1872" t="s">
        <v>61</v>
      </c>
      <c r="G33" s="1495"/>
      <c r="H33" s="1947"/>
      <c r="I33" s="1851"/>
      <c r="J33" s="1872" t="s">
        <v>63</v>
      </c>
      <c r="K33" s="1994" t="s">
        <v>7224</v>
      </c>
      <c r="L33" s="2108">
        <v>2500</v>
      </c>
      <c r="M33" s="2160" t="s">
        <v>7181</v>
      </c>
      <c r="N33" s="2102"/>
      <c r="O33" s="2102"/>
      <c r="P33" s="1883"/>
      <c r="Q33" s="1883"/>
      <c r="R33" s="1883"/>
      <c r="S33" s="1883"/>
      <c r="T33" s="1883"/>
      <c r="U33" s="1883"/>
      <c r="V33" s="1883"/>
      <c r="W33" s="1883"/>
      <c r="X33" s="1883"/>
      <c r="Y33" s="1883"/>
      <c r="Z33" s="1883"/>
      <c r="AA33" s="1883"/>
      <c r="AB33" s="1883"/>
      <c r="AC33" s="1883"/>
      <c r="AD33" s="1883"/>
      <c r="AE33" s="1883"/>
      <c r="AF33" s="1883"/>
      <c r="AG33" s="1883"/>
      <c r="AH33" s="1883"/>
      <c r="AI33" s="1883"/>
      <c r="AJ33" s="1883"/>
      <c r="AK33" s="1883"/>
      <c r="AL33" s="1883"/>
      <c r="AM33" s="1883"/>
      <c r="AN33" s="1883"/>
      <c r="AO33" s="1883"/>
      <c r="AP33" s="1883"/>
      <c r="AQ33" s="1883"/>
      <c r="AR33" s="1883"/>
      <c r="AS33" s="1883"/>
      <c r="AT33" s="1883"/>
      <c r="AU33" s="1883"/>
      <c r="AV33" s="1883"/>
      <c r="AW33" s="1883"/>
      <c r="AX33" s="1883"/>
      <c r="AY33" s="1883"/>
      <c r="AZ33" s="1883"/>
      <c r="BA33" s="1883"/>
      <c r="BB33" s="1883"/>
      <c r="BC33" s="1883"/>
      <c r="BD33" s="1883"/>
      <c r="BE33" s="1883"/>
      <c r="BF33" s="1883"/>
      <c r="BG33" s="1883"/>
      <c r="BH33" s="1883"/>
      <c r="BI33" s="1883"/>
      <c r="BJ33" s="1883"/>
      <c r="BK33" s="1883"/>
      <c r="BL33" s="1883"/>
      <c r="BM33" s="1883"/>
      <c r="BN33" s="1883"/>
      <c r="BO33" s="1883"/>
      <c r="BP33" s="1883"/>
      <c r="BQ33" s="1883"/>
      <c r="BR33" s="1883"/>
      <c r="BS33" s="1883"/>
      <c r="BT33" s="1883"/>
      <c r="BU33" s="1883"/>
      <c r="BV33" s="1883"/>
      <c r="BW33" s="1883"/>
      <c r="BX33" s="1883"/>
      <c r="BY33" s="1883"/>
      <c r="BZ33" s="1883"/>
      <c r="CA33" s="1883"/>
      <c r="CB33" s="1883"/>
      <c r="CC33" s="1883"/>
      <c r="CD33" s="1883"/>
      <c r="CE33" s="1883"/>
      <c r="CF33" s="1883"/>
      <c r="CG33" s="1883"/>
      <c r="CH33" s="1883"/>
      <c r="CI33" s="1883"/>
      <c r="CJ33" s="1883"/>
      <c r="CK33" s="1883"/>
      <c r="CL33" s="1883"/>
      <c r="CM33" s="1883"/>
      <c r="CN33" s="1883"/>
      <c r="CO33" s="1883"/>
      <c r="CP33" s="1883"/>
      <c r="CQ33" s="1883"/>
      <c r="CR33" s="1883"/>
      <c r="CS33" s="1883"/>
      <c r="CT33" s="1883"/>
      <c r="CU33" s="1883"/>
      <c r="CV33" s="1883"/>
      <c r="CW33" s="1883"/>
      <c r="CX33" s="1883"/>
      <c r="CY33" s="1883"/>
      <c r="CZ33" s="1883"/>
      <c r="DA33" s="1883"/>
      <c r="DB33" s="1883"/>
      <c r="DC33" s="1883"/>
      <c r="DD33" s="1883"/>
      <c r="DE33" s="1883"/>
      <c r="DF33" s="1883"/>
      <c r="DG33" s="1883"/>
      <c r="DH33" s="1883"/>
      <c r="DI33" s="1883"/>
      <c r="DJ33" s="1883"/>
      <c r="DK33" s="1883"/>
      <c r="DL33" s="1883"/>
      <c r="DM33" s="1883"/>
      <c r="DN33" s="1883"/>
      <c r="DO33" s="1883"/>
      <c r="DP33" s="1883"/>
      <c r="DQ33" s="1883"/>
      <c r="DR33" s="1883"/>
      <c r="DS33" s="1883"/>
      <c r="DT33" s="1883"/>
      <c r="DU33" s="1883"/>
      <c r="DV33" s="1883"/>
      <c r="DW33" s="1883"/>
    </row>
    <row r="34" spans="1:127" s="2033" customFormat="1" ht="64.5" customHeight="1">
      <c r="A34" s="3794"/>
      <c r="B34" s="2101" t="str">
        <f t="shared" si="0"/>
        <v>2200001848</v>
      </c>
      <c r="C34" s="1851" t="s">
        <v>3460</v>
      </c>
      <c r="D34" s="2097"/>
      <c r="E34" s="1851"/>
      <c r="F34" s="1872" t="s">
        <v>61</v>
      </c>
      <c r="G34" s="1495"/>
      <c r="H34" s="1947"/>
      <c r="I34" s="1851"/>
      <c r="J34" s="1872" t="s">
        <v>101</v>
      </c>
      <c r="K34" s="2197" t="s">
        <v>7225</v>
      </c>
      <c r="L34" s="2108">
        <v>550</v>
      </c>
      <c r="M34" s="2160" t="s">
        <v>7181</v>
      </c>
      <c r="N34" s="2102"/>
      <c r="O34" s="2102"/>
      <c r="P34" s="1883"/>
      <c r="Q34" s="1883"/>
      <c r="R34" s="1883"/>
      <c r="S34" s="1883"/>
      <c r="T34" s="1883"/>
      <c r="U34" s="1883"/>
      <c r="V34" s="1883"/>
      <c r="W34" s="1883"/>
      <c r="X34" s="1883"/>
      <c r="Y34" s="1883"/>
      <c r="Z34" s="1883"/>
      <c r="AA34" s="1883"/>
      <c r="AB34" s="1883"/>
      <c r="AC34" s="1883"/>
      <c r="AD34" s="1883"/>
      <c r="AE34" s="1883"/>
      <c r="AF34" s="1883"/>
      <c r="AG34" s="1883"/>
      <c r="AH34" s="1883"/>
      <c r="AI34" s="1883"/>
      <c r="AJ34" s="1883"/>
      <c r="AK34" s="1883"/>
      <c r="AL34" s="1883"/>
      <c r="AM34" s="1883"/>
      <c r="AN34" s="1883"/>
      <c r="AO34" s="1883"/>
      <c r="AP34" s="1883"/>
      <c r="AQ34" s="1883"/>
      <c r="AR34" s="1883"/>
      <c r="AS34" s="1883"/>
      <c r="AT34" s="1883"/>
      <c r="AU34" s="1883"/>
      <c r="AV34" s="1883"/>
      <c r="AW34" s="1883"/>
      <c r="AX34" s="1883"/>
      <c r="AY34" s="1883"/>
      <c r="AZ34" s="1883"/>
      <c r="BA34" s="1883"/>
      <c r="BB34" s="1883"/>
      <c r="BC34" s="1883"/>
      <c r="BD34" s="1883"/>
      <c r="BE34" s="1883"/>
      <c r="BF34" s="1883"/>
      <c r="BG34" s="1883"/>
      <c r="BH34" s="1883"/>
      <c r="BI34" s="1883"/>
      <c r="BJ34" s="1883"/>
      <c r="BK34" s="1883"/>
      <c r="BL34" s="1883"/>
      <c r="BM34" s="1883"/>
      <c r="BN34" s="1883"/>
      <c r="BO34" s="1883"/>
      <c r="BP34" s="1883"/>
      <c r="BQ34" s="1883"/>
      <c r="BR34" s="1883"/>
      <c r="BS34" s="1883"/>
      <c r="BT34" s="1883"/>
      <c r="BU34" s="1883"/>
      <c r="BV34" s="1883"/>
      <c r="BW34" s="1883"/>
      <c r="BX34" s="1883"/>
      <c r="BY34" s="1883"/>
      <c r="BZ34" s="1883"/>
      <c r="CA34" s="1883"/>
      <c r="CB34" s="1883"/>
      <c r="CC34" s="1883"/>
      <c r="CD34" s="1883"/>
      <c r="CE34" s="1883"/>
      <c r="CF34" s="1883"/>
      <c r="CG34" s="1883"/>
      <c r="CH34" s="1883"/>
      <c r="CI34" s="1883"/>
      <c r="CJ34" s="1883"/>
      <c r="CK34" s="1883"/>
      <c r="CL34" s="1883"/>
      <c r="CM34" s="1883"/>
      <c r="CN34" s="1883"/>
      <c r="CO34" s="1883"/>
      <c r="CP34" s="1883"/>
      <c r="CQ34" s="1883"/>
      <c r="CR34" s="1883"/>
      <c r="CS34" s="1883"/>
      <c r="CT34" s="1883"/>
      <c r="CU34" s="1883"/>
      <c r="CV34" s="1883"/>
      <c r="CW34" s="1883"/>
      <c r="CX34" s="1883"/>
      <c r="CY34" s="1883"/>
      <c r="CZ34" s="1883"/>
      <c r="DA34" s="1883"/>
      <c r="DB34" s="1883"/>
      <c r="DC34" s="1883"/>
      <c r="DD34" s="1883"/>
      <c r="DE34" s="1883"/>
      <c r="DF34" s="1883"/>
      <c r="DG34" s="1883"/>
      <c r="DH34" s="1883"/>
      <c r="DI34" s="1883"/>
      <c r="DJ34" s="1883"/>
      <c r="DK34" s="1883"/>
      <c r="DL34" s="1883"/>
      <c r="DM34" s="1883"/>
      <c r="DN34" s="1883"/>
      <c r="DO34" s="1883"/>
      <c r="DP34" s="1883"/>
      <c r="DQ34" s="1883"/>
      <c r="DR34" s="1883"/>
      <c r="DS34" s="1883"/>
      <c r="DT34" s="1883"/>
      <c r="DU34" s="1883"/>
      <c r="DV34" s="1883"/>
      <c r="DW34" s="1883"/>
    </row>
    <row r="35" spans="1:127" s="2033" customFormat="1" ht="64.5" customHeight="1">
      <c r="A35" s="3792">
        <v>12</v>
      </c>
      <c r="B35" s="2101" t="str">
        <f t="shared" si="0"/>
        <v>2200001846</v>
      </c>
      <c r="C35" s="2118" t="s">
        <v>2906</v>
      </c>
      <c r="D35" s="2119">
        <v>3500</v>
      </c>
      <c r="E35" s="2118" t="s">
        <v>7226</v>
      </c>
      <c r="F35" s="2120" t="s">
        <v>84</v>
      </c>
      <c r="G35" s="1921" t="s">
        <v>7227</v>
      </c>
      <c r="H35" s="1947" t="s">
        <v>1599</v>
      </c>
      <c r="I35" s="2118" t="s">
        <v>19</v>
      </c>
      <c r="J35" s="2120" t="s">
        <v>1138</v>
      </c>
      <c r="K35" s="1916" t="s">
        <v>7228</v>
      </c>
      <c r="L35" s="2151">
        <v>2883</v>
      </c>
      <c r="M35" s="2160" t="s">
        <v>7181</v>
      </c>
      <c r="N35" s="2130" t="s">
        <v>7229</v>
      </c>
      <c r="O35" s="3808" t="s">
        <v>7230</v>
      </c>
      <c r="P35" s="2122"/>
      <c r="Q35" s="2122"/>
      <c r="R35" s="2122"/>
      <c r="S35" s="2122"/>
      <c r="T35" s="2122"/>
      <c r="U35" s="2122"/>
      <c r="V35" s="2122"/>
      <c r="W35" s="2122"/>
      <c r="X35" s="2122"/>
      <c r="Y35" s="2122"/>
      <c r="Z35" s="2122"/>
      <c r="AA35" s="2122"/>
      <c r="AB35" s="2122"/>
      <c r="AC35" s="2122"/>
      <c r="AD35" s="2122"/>
      <c r="AE35" s="2122"/>
      <c r="AF35" s="2122"/>
      <c r="AG35" s="2122"/>
      <c r="AH35" s="2122"/>
      <c r="AI35" s="2122"/>
      <c r="AJ35" s="2122"/>
      <c r="AK35" s="2122"/>
      <c r="AL35" s="2122"/>
      <c r="AM35" s="2122"/>
      <c r="AN35" s="2122"/>
      <c r="AO35" s="2122"/>
      <c r="AP35" s="2122"/>
      <c r="AQ35" s="2122"/>
      <c r="AR35" s="2122"/>
      <c r="AS35" s="2122"/>
      <c r="AT35" s="2122"/>
      <c r="AU35" s="2122"/>
      <c r="AV35" s="2122"/>
      <c r="AW35" s="2122"/>
      <c r="AX35" s="2122"/>
      <c r="AY35" s="2122"/>
      <c r="AZ35" s="2122"/>
      <c r="BA35" s="2122"/>
      <c r="BB35" s="2122"/>
      <c r="BC35" s="2122"/>
      <c r="BD35" s="2122"/>
      <c r="BE35" s="2122"/>
      <c r="BF35" s="2122"/>
      <c r="BG35" s="2122"/>
      <c r="BH35" s="2122"/>
      <c r="BI35" s="2122"/>
      <c r="BJ35" s="2122"/>
      <c r="BK35" s="2122"/>
      <c r="BL35" s="2122"/>
      <c r="BM35" s="2122"/>
      <c r="BN35" s="2122"/>
      <c r="BO35" s="2122"/>
      <c r="BP35" s="2122"/>
      <c r="BQ35" s="2122"/>
      <c r="BR35" s="2122"/>
      <c r="BS35" s="2122"/>
      <c r="BT35" s="2122"/>
      <c r="BU35" s="2122"/>
      <c r="BV35" s="2122"/>
      <c r="BW35" s="2122"/>
      <c r="BX35" s="2122"/>
      <c r="BY35" s="2122"/>
      <c r="BZ35" s="2122"/>
      <c r="CA35" s="2122"/>
      <c r="CB35" s="2122"/>
      <c r="CC35" s="2122"/>
      <c r="CD35" s="2122"/>
      <c r="CE35" s="2122"/>
      <c r="CF35" s="2122"/>
      <c r="CG35" s="2122"/>
      <c r="CH35" s="2122"/>
      <c r="CI35" s="2122"/>
      <c r="CJ35" s="2122"/>
      <c r="CK35" s="2122"/>
      <c r="CL35" s="2122"/>
      <c r="CM35" s="2122"/>
      <c r="CN35" s="2122"/>
      <c r="CO35" s="2122"/>
      <c r="CP35" s="2122"/>
      <c r="CQ35" s="2122"/>
      <c r="CR35" s="2122"/>
      <c r="CS35" s="2122"/>
      <c r="CT35" s="2122"/>
      <c r="CU35" s="2122"/>
      <c r="CV35" s="2122"/>
      <c r="CW35" s="2122"/>
      <c r="CX35" s="2122"/>
      <c r="CY35" s="2122"/>
      <c r="CZ35" s="2122"/>
      <c r="DA35" s="2122"/>
      <c r="DB35" s="2122"/>
      <c r="DC35" s="2122"/>
      <c r="DD35" s="2122"/>
      <c r="DE35" s="2122"/>
      <c r="DF35" s="2122"/>
      <c r="DG35" s="2122"/>
      <c r="DH35" s="2122"/>
      <c r="DI35" s="2122"/>
      <c r="DJ35" s="2122"/>
      <c r="DK35" s="2122"/>
      <c r="DL35" s="2122"/>
      <c r="DM35" s="2122"/>
      <c r="DN35" s="2122"/>
      <c r="DO35" s="2122"/>
      <c r="DP35" s="2122"/>
      <c r="DQ35" s="2122"/>
      <c r="DR35" s="2122"/>
      <c r="DS35" s="2122"/>
      <c r="DT35" s="2122"/>
      <c r="DU35" s="2122"/>
      <c r="DV35" s="2122"/>
      <c r="DW35" s="2122"/>
    </row>
    <row r="36" spans="1:127" s="2033" customFormat="1" ht="64.5" customHeight="1">
      <c r="A36" s="3794"/>
      <c r="B36" s="2101" t="str">
        <f t="shared" si="0"/>
        <v>2200001847</v>
      </c>
      <c r="C36" s="1851" t="s">
        <v>2906</v>
      </c>
      <c r="D36" s="2097"/>
      <c r="E36" s="1851"/>
      <c r="F36" s="1872" t="s">
        <v>84</v>
      </c>
      <c r="G36" s="1495"/>
      <c r="H36" s="1947"/>
      <c r="I36" s="1851"/>
      <c r="J36" s="1872" t="s">
        <v>1138</v>
      </c>
      <c r="K36" s="1994" t="s">
        <v>7231</v>
      </c>
      <c r="L36" s="2108">
        <v>1654</v>
      </c>
      <c r="M36" s="2160" t="s">
        <v>7181</v>
      </c>
      <c r="N36" s="2102"/>
      <c r="O36" s="3809"/>
      <c r="P36" s="1883"/>
      <c r="Q36" s="1883"/>
      <c r="R36" s="1883"/>
      <c r="S36" s="1883"/>
      <c r="T36" s="1883"/>
      <c r="U36" s="1883"/>
      <c r="V36" s="1883"/>
      <c r="W36" s="1883"/>
      <c r="X36" s="1883"/>
      <c r="Y36" s="1883"/>
      <c r="Z36" s="1883"/>
      <c r="AA36" s="1883"/>
      <c r="AB36" s="1883"/>
      <c r="AC36" s="1883"/>
      <c r="AD36" s="1883"/>
      <c r="AE36" s="1883"/>
      <c r="AF36" s="1883"/>
      <c r="AG36" s="1883"/>
      <c r="AH36" s="1883"/>
      <c r="AI36" s="1883"/>
      <c r="AJ36" s="1883"/>
      <c r="AK36" s="1883"/>
      <c r="AL36" s="1883"/>
      <c r="AM36" s="1883"/>
      <c r="AN36" s="1883"/>
      <c r="AO36" s="1883"/>
      <c r="AP36" s="1883"/>
      <c r="AQ36" s="1883"/>
      <c r="AR36" s="1883"/>
      <c r="AS36" s="1883"/>
      <c r="AT36" s="1883"/>
      <c r="AU36" s="1883"/>
      <c r="AV36" s="1883"/>
      <c r="AW36" s="1883"/>
      <c r="AX36" s="1883"/>
      <c r="AY36" s="1883"/>
      <c r="AZ36" s="1883"/>
      <c r="BA36" s="1883"/>
      <c r="BB36" s="1883"/>
      <c r="BC36" s="1883"/>
      <c r="BD36" s="1883"/>
      <c r="BE36" s="1883"/>
      <c r="BF36" s="1883"/>
      <c r="BG36" s="1883"/>
      <c r="BH36" s="1883"/>
      <c r="BI36" s="1883"/>
      <c r="BJ36" s="1883"/>
      <c r="BK36" s="1883"/>
      <c r="BL36" s="1883"/>
      <c r="BM36" s="1883"/>
      <c r="BN36" s="1883"/>
      <c r="BO36" s="1883"/>
      <c r="BP36" s="1883"/>
      <c r="BQ36" s="1883"/>
      <c r="BR36" s="1883"/>
      <c r="BS36" s="1883"/>
      <c r="BT36" s="1883"/>
      <c r="BU36" s="1883"/>
      <c r="BV36" s="1883"/>
      <c r="BW36" s="1883"/>
      <c r="BX36" s="1883"/>
      <c r="BY36" s="1883"/>
      <c r="BZ36" s="1883"/>
      <c r="CA36" s="1883"/>
      <c r="CB36" s="1883"/>
      <c r="CC36" s="1883"/>
      <c r="CD36" s="1883"/>
      <c r="CE36" s="1883"/>
      <c r="CF36" s="1883"/>
      <c r="CG36" s="1883"/>
      <c r="CH36" s="1883"/>
      <c r="CI36" s="1883"/>
      <c r="CJ36" s="1883"/>
      <c r="CK36" s="1883"/>
      <c r="CL36" s="1883"/>
      <c r="CM36" s="1883"/>
      <c r="CN36" s="1883"/>
      <c r="CO36" s="1883"/>
      <c r="CP36" s="1883"/>
      <c r="CQ36" s="1883"/>
      <c r="CR36" s="1883"/>
      <c r="CS36" s="1883"/>
      <c r="CT36" s="1883"/>
      <c r="CU36" s="1883"/>
      <c r="CV36" s="1883"/>
      <c r="CW36" s="1883"/>
      <c r="CX36" s="1883"/>
      <c r="CY36" s="1883"/>
      <c r="CZ36" s="1883"/>
      <c r="DA36" s="1883"/>
      <c r="DB36" s="1883"/>
      <c r="DC36" s="1883"/>
      <c r="DD36" s="1883"/>
      <c r="DE36" s="1883"/>
      <c r="DF36" s="1883"/>
      <c r="DG36" s="1883"/>
      <c r="DH36" s="1883"/>
      <c r="DI36" s="1883"/>
      <c r="DJ36" s="1883"/>
      <c r="DK36" s="1883"/>
      <c r="DL36" s="1883"/>
      <c r="DM36" s="1883"/>
      <c r="DN36" s="1883"/>
      <c r="DO36" s="1883"/>
      <c r="DP36" s="1883"/>
      <c r="DQ36" s="1883"/>
      <c r="DR36" s="1883"/>
      <c r="DS36" s="1883"/>
      <c r="DT36" s="1883"/>
      <c r="DU36" s="1883"/>
      <c r="DV36" s="1883"/>
      <c r="DW36" s="1883"/>
    </row>
    <row r="37" spans="1:127" s="2033" customFormat="1" ht="64.5" customHeight="1">
      <c r="A37" s="3792">
        <v>13</v>
      </c>
      <c r="B37" s="2101" t="str">
        <f t="shared" ref="B37:B68" si="1">TEXT(LEFT(K37,10),"0000000000")</f>
        <v>2000002602</v>
      </c>
      <c r="C37" s="2118" t="s">
        <v>7232</v>
      </c>
      <c r="D37" s="2119">
        <v>4150</v>
      </c>
      <c r="E37" s="2118" t="s">
        <v>7226</v>
      </c>
      <c r="F37" s="2120" t="s">
        <v>16</v>
      </c>
      <c r="G37" s="1921" t="s">
        <v>7233</v>
      </c>
      <c r="H37" s="1947" t="s">
        <v>1599</v>
      </c>
      <c r="I37" s="2118" t="s">
        <v>19</v>
      </c>
      <c r="J37" s="2120" t="s">
        <v>123</v>
      </c>
      <c r="K37" s="1547" t="s">
        <v>7234</v>
      </c>
      <c r="L37" s="2151">
        <v>3000</v>
      </c>
      <c r="M37" s="2160" t="s">
        <v>7181</v>
      </c>
      <c r="N37" s="2117"/>
      <c r="O37" s="2117"/>
      <c r="P37" s="2122"/>
      <c r="Q37" s="2122"/>
      <c r="R37" s="2122"/>
      <c r="S37" s="2122"/>
      <c r="T37" s="2122"/>
      <c r="U37" s="2122"/>
      <c r="V37" s="2122"/>
      <c r="W37" s="2122"/>
      <c r="X37" s="2122"/>
      <c r="Y37" s="2122"/>
      <c r="Z37" s="2122"/>
      <c r="AA37" s="2122"/>
      <c r="AB37" s="2122"/>
      <c r="AC37" s="2122"/>
      <c r="AD37" s="2122"/>
      <c r="AE37" s="2122"/>
      <c r="AF37" s="2122"/>
      <c r="AG37" s="2122"/>
      <c r="AH37" s="2122"/>
      <c r="AI37" s="2122"/>
      <c r="AJ37" s="2122"/>
      <c r="AK37" s="2122"/>
      <c r="AL37" s="2122"/>
      <c r="AM37" s="2122"/>
      <c r="AN37" s="2122"/>
      <c r="AO37" s="2122"/>
      <c r="AP37" s="2122"/>
      <c r="AQ37" s="2122"/>
      <c r="AR37" s="2122"/>
      <c r="AS37" s="2122"/>
      <c r="AT37" s="2122"/>
      <c r="AU37" s="2122"/>
      <c r="AV37" s="2122"/>
      <c r="AW37" s="2122"/>
      <c r="AX37" s="2122"/>
      <c r="AY37" s="2122"/>
      <c r="AZ37" s="2122"/>
      <c r="BA37" s="2122"/>
      <c r="BB37" s="2122"/>
      <c r="BC37" s="2122"/>
      <c r="BD37" s="2122"/>
      <c r="BE37" s="2122"/>
      <c r="BF37" s="2122"/>
      <c r="BG37" s="2122"/>
      <c r="BH37" s="2122"/>
      <c r="BI37" s="2122"/>
      <c r="BJ37" s="2122"/>
      <c r="BK37" s="2122"/>
      <c r="BL37" s="2122"/>
      <c r="BM37" s="2122"/>
      <c r="BN37" s="2122"/>
      <c r="BO37" s="2122"/>
      <c r="BP37" s="2122"/>
      <c r="BQ37" s="2122"/>
      <c r="BR37" s="2122"/>
      <c r="BS37" s="2122"/>
      <c r="BT37" s="2122"/>
      <c r="BU37" s="2122"/>
      <c r="BV37" s="2122"/>
      <c r="BW37" s="2122"/>
      <c r="BX37" s="2122"/>
      <c r="BY37" s="2122"/>
      <c r="BZ37" s="2122"/>
      <c r="CA37" s="2122"/>
      <c r="CB37" s="2122"/>
      <c r="CC37" s="2122"/>
      <c r="CD37" s="2122"/>
      <c r="CE37" s="2122"/>
      <c r="CF37" s="2122"/>
      <c r="CG37" s="2122"/>
      <c r="CH37" s="2122"/>
      <c r="CI37" s="2122"/>
      <c r="CJ37" s="2122"/>
      <c r="CK37" s="2122"/>
      <c r="CL37" s="2122"/>
      <c r="CM37" s="2122"/>
      <c r="CN37" s="2122"/>
      <c r="CO37" s="2122"/>
      <c r="CP37" s="2122"/>
      <c r="CQ37" s="2122"/>
      <c r="CR37" s="2122"/>
      <c r="CS37" s="2122"/>
      <c r="CT37" s="2122"/>
      <c r="CU37" s="2122"/>
      <c r="CV37" s="2122"/>
      <c r="CW37" s="2122"/>
      <c r="CX37" s="2122"/>
      <c r="CY37" s="2122"/>
      <c r="CZ37" s="2122"/>
      <c r="DA37" s="2122"/>
      <c r="DB37" s="2122"/>
      <c r="DC37" s="2122"/>
      <c r="DD37" s="2122"/>
      <c r="DE37" s="2122"/>
      <c r="DF37" s="2122"/>
      <c r="DG37" s="2122"/>
      <c r="DH37" s="2122"/>
      <c r="DI37" s="2122"/>
      <c r="DJ37" s="2122"/>
      <c r="DK37" s="2122"/>
      <c r="DL37" s="2122"/>
      <c r="DM37" s="2122"/>
      <c r="DN37" s="2122"/>
      <c r="DO37" s="2122"/>
      <c r="DP37" s="2122"/>
      <c r="DQ37" s="2122"/>
      <c r="DR37" s="2122"/>
      <c r="DS37" s="2122"/>
      <c r="DT37" s="2122"/>
      <c r="DU37" s="2122"/>
      <c r="DV37" s="2122"/>
      <c r="DW37" s="2122"/>
    </row>
    <row r="38" spans="1:127" s="2033" customFormat="1" ht="64.5" customHeight="1">
      <c r="A38" s="3794"/>
      <c r="B38" s="2101" t="str">
        <f t="shared" si="1"/>
        <v>2000002603</v>
      </c>
      <c r="C38" s="1851" t="s">
        <v>7232</v>
      </c>
      <c r="D38" s="2097"/>
      <c r="E38" s="1851"/>
      <c r="F38" s="1872" t="s">
        <v>16</v>
      </c>
      <c r="G38" s="1495"/>
      <c r="H38" s="1947"/>
      <c r="I38" s="1851"/>
      <c r="J38" s="1872" t="s">
        <v>123</v>
      </c>
      <c r="K38" s="1628" t="s">
        <v>7235</v>
      </c>
      <c r="L38" s="2108">
        <v>1150</v>
      </c>
      <c r="M38" s="2160" t="s">
        <v>7181</v>
      </c>
      <c r="N38" s="2102"/>
      <c r="O38" s="2117"/>
      <c r="P38" s="1883"/>
      <c r="Q38" s="1883"/>
      <c r="R38" s="1883"/>
      <c r="S38" s="1883"/>
      <c r="T38" s="1883"/>
      <c r="U38" s="1883"/>
      <c r="V38" s="1883"/>
      <c r="W38" s="1883"/>
      <c r="X38" s="1883"/>
      <c r="Y38" s="1883"/>
      <c r="Z38" s="1883"/>
      <c r="AA38" s="1883"/>
      <c r="AB38" s="1883"/>
      <c r="AC38" s="1883"/>
      <c r="AD38" s="1883"/>
      <c r="AE38" s="1883"/>
      <c r="AF38" s="1883"/>
      <c r="AG38" s="1883"/>
      <c r="AH38" s="1883"/>
      <c r="AI38" s="1883"/>
      <c r="AJ38" s="1883"/>
      <c r="AK38" s="1883"/>
      <c r="AL38" s="1883"/>
      <c r="AM38" s="1883"/>
      <c r="AN38" s="1883"/>
      <c r="AO38" s="1883"/>
      <c r="AP38" s="1883"/>
      <c r="AQ38" s="1883"/>
      <c r="AR38" s="1883"/>
      <c r="AS38" s="1883"/>
      <c r="AT38" s="1883"/>
      <c r="AU38" s="1883"/>
      <c r="AV38" s="1883"/>
      <c r="AW38" s="1883"/>
      <c r="AX38" s="1883"/>
      <c r="AY38" s="1883"/>
      <c r="AZ38" s="1883"/>
      <c r="BA38" s="1883"/>
      <c r="BB38" s="1883"/>
      <c r="BC38" s="1883"/>
      <c r="BD38" s="1883"/>
      <c r="BE38" s="1883"/>
      <c r="BF38" s="1883"/>
      <c r="BG38" s="1883"/>
      <c r="BH38" s="1883"/>
      <c r="BI38" s="1883"/>
      <c r="BJ38" s="1883"/>
      <c r="BK38" s="1883"/>
      <c r="BL38" s="1883"/>
      <c r="BM38" s="1883"/>
      <c r="BN38" s="1883"/>
      <c r="BO38" s="1883"/>
      <c r="BP38" s="1883"/>
      <c r="BQ38" s="1883"/>
      <c r="BR38" s="1883"/>
      <c r="BS38" s="1883"/>
      <c r="BT38" s="1883"/>
      <c r="BU38" s="1883"/>
      <c r="BV38" s="1883"/>
      <c r="BW38" s="1883"/>
      <c r="BX38" s="1883"/>
      <c r="BY38" s="1883"/>
      <c r="BZ38" s="1883"/>
      <c r="CA38" s="1883"/>
      <c r="CB38" s="1883"/>
      <c r="CC38" s="1883"/>
      <c r="CD38" s="1883"/>
      <c r="CE38" s="1883"/>
      <c r="CF38" s="1883"/>
      <c r="CG38" s="1883"/>
      <c r="CH38" s="1883"/>
      <c r="CI38" s="1883"/>
      <c r="CJ38" s="1883"/>
      <c r="CK38" s="1883"/>
      <c r="CL38" s="1883"/>
      <c r="CM38" s="1883"/>
      <c r="CN38" s="1883"/>
      <c r="CO38" s="1883"/>
      <c r="CP38" s="1883"/>
      <c r="CQ38" s="1883"/>
      <c r="CR38" s="1883"/>
      <c r="CS38" s="1883"/>
      <c r="CT38" s="1883"/>
      <c r="CU38" s="1883"/>
      <c r="CV38" s="1883"/>
      <c r="CW38" s="1883"/>
      <c r="CX38" s="1883"/>
      <c r="CY38" s="1883"/>
      <c r="CZ38" s="1883"/>
      <c r="DA38" s="1883"/>
      <c r="DB38" s="1883"/>
      <c r="DC38" s="1883"/>
      <c r="DD38" s="1883"/>
      <c r="DE38" s="1883"/>
      <c r="DF38" s="1883"/>
      <c r="DG38" s="1883"/>
      <c r="DH38" s="1883"/>
      <c r="DI38" s="1883"/>
      <c r="DJ38" s="1883"/>
      <c r="DK38" s="1883"/>
      <c r="DL38" s="1883"/>
      <c r="DM38" s="1883"/>
      <c r="DN38" s="1883"/>
      <c r="DO38" s="1883"/>
      <c r="DP38" s="1883"/>
      <c r="DQ38" s="1883"/>
      <c r="DR38" s="1883"/>
      <c r="DS38" s="1883"/>
      <c r="DT38" s="1883"/>
      <c r="DU38" s="1883"/>
      <c r="DV38" s="1883"/>
      <c r="DW38" s="1883"/>
    </row>
    <row r="39" spans="1:127" s="2033" customFormat="1" ht="64.5" customHeight="1">
      <c r="A39" s="3792">
        <v>14</v>
      </c>
      <c r="B39" s="2101" t="str">
        <f t="shared" si="1"/>
        <v>2200001836</v>
      </c>
      <c r="C39" s="2118" t="s">
        <v>3391</v>
      </c>
      <c r="D39" s="2119">
        <v>3100</v>
      </c>
      <c r="E39" s="2118" t="s">
        <v>7226</v>
      </c>
      <c r="F39" s="2120" t="s">
        <v>89</v>
      </c>
      <c r="G39" s="1921" t="s">
        <v>7236</v>
      </c>
      <c r="H39" s="1947" t="s">
        <v>1599</v>
      </c>
      <c r="I39" s="2118" t="s">
        <v>19</v>
      </c>
      <c r="J39" s="2120" t="s">
        <v>959</v>
      </c>
      <c r="K39" s="2161" t="s">
        <v>7237</v>
      </c>
      <c r="L39" s="2151">
        <v>1800</v>
      </c>
      <c r="M39" s="2160" t="s">
        <v>7181</v>
      </c>
      <c r="N39" s="2117"/>
      <c r="O39" s="2117"/>
      <c r="P39" s="2122"/>
      <c r="Q39" s="2122"/>
      <c r="R39" s="2122"/>
      <c r="S39" s="2122"/>
      <c r="T39" s="2122"/>
      <c r="U39" s="2122"/>
      <c r="V39" s="2122"/>
      <c r="W39" s="2122"/>
      <c r="X39" s="2122"/>
      <c r="Y39" s="2122"/>
      <c r="Z39" s="2122"/>
      <c r="AA39" s="2122"/>
      <c r="AB39" s="2122"/>
      <c r="AC39" s="2122"/>
      <c r="AD39" s="2122"/>
      <c r="AE39" s="2122"/>
      <c r="AF39" s="2122"/>
      <c r="AG39" s="2122"/>
      <c r="AH39" s="2122"/>
      <c r="AI39" s="2122"/>
      <c r="AJ39" s="2122"/>
      <c r="AK39" s="2122"/>
      <c r="AL39" s="2122"/>
      <c r="AM39" s="2122"/>
      <c r="AN39" s="2122"/>
      <c r="AO39" s="2122"/>
      <c r="AP39" s="2122"/>
      <c r="AQ39" s="2122"/>
      <c r="AR39" s="2122"/>
      <c r="AS39" s="2122"/>
      <c r="AT39" s="2122"/>
      <c r="AU39" s="2122"/>
      <c r="AV39" s="2122"/>
      <c r="AW39" s="2122"/>
      <c r="AX39" s="2122"/>
      <c r="AY39" s="2122"/>
      <c r="AZ39" s="2122"/>
      <c r="BA39" s="2122"/>
      <c r="BB39" s="2122"/>
      <c r="BC39" s="2122"/>
      <c r="BD39" s="2122"/>
      <c r="BE39" s="2122"/>
      <c r="BF39" s="2122"/>
      <c r="BG39" s="2122"/>
      <c r="BH39" s="2122"/>
      <c r="BI39" s="2122"/>
      <c r="BJ39" s="2122"/>
      <c r="BK39" s="2122"/>
      <c r="BL39" s="2122"/>
      <c r="BM39" s="2122"/>
      <c r="BN39" s="2122"/>
      <c r="BO39" s="2122"/>
      <c r="BP39" s="2122"/>
      <c r="BQ39" s="2122"/>
      <c r="BR39" s="2122"/>
      <c r="BS39" s="2122"/>
      <c r="BT39" s="2122"/>
      <c r="BU39" s="2122"/>
      <c r="BV39" s="2122"/>
      <c r="BW39" s="2122"/>
      <c r="BX39" s="2122"/>
      <c r="BY39" s="2122"/>
      <c r="BZ39" s="2122"/>
      <c r="CA39" s="2122"/>
      <c r="CB39" s="2122"/>
      <c r="CC39" s="2122"/>
      <c r="CD39" s="2122"/>
      <c r="CE39" s="2122"/>
      <c r="CF39" s="2122"/>
      <c r="CG39" s="2122"/>
      <c r="CH39" s="2122"/>
      <c r="CI39" s="2122"/>
      <c r="CJ39" s="2122"/>
      <c r="CK39" s="2122"/>
      <c r="CL39" s="2122"/>
      <c r="CM39" s="2122"/>
      <c r="CN39" s="2122"/>
      <c r="CO39" s="2122"/>
      <c r="CP39" s="2122"/>
      <c r="CQ39" s="2122"/>
      <c r="CR39" s="2122"/>
      <c r="CS39" s="2122"/>
      <c r="CT39" s="2122"/>
      <c r="CU39" s="2122"/>
      <c r="CV39" s="2122"/>
      <c r="CW39" s="2122"/>
      <c r="CX39" s="2122"/>
      <c r="CY39" s="2122"/>
      <c r="CZ39" s="2122"/>
      <c r="DA39" s="2122"/>
      <c r="DB39" s="2122"/>
      <c r="DC39" s="2122"/>
      <c r="DD39" s="2122"/>
      <c r="DE39" s="2122"/>
      <c r="DF39" s="2122"/>
      <c r="DG39" s="2122"/>
      <c r="DH39" s="2122"/>
      <c r="DI39" s="2122"/>
      <c r="DJ39" s="2122"/>
      <c r="DK39" s="2122"/>
      <c r="DL39" s="2122"/>
      <c r="DM39" s="2122"/>
      <c r="DN39" s="2122"/>
      <c r="DO39" s="2122"/>
      <c r="DP39" s="2122"/>
      <c r="DQ39" s="2122"/>
      <c r="DR39" s="2122"/>
      <c r="DS39" s="2122"/>
      <c r="DT39" s="2122"/>
      <c r="DU39" s="2122"/>
      <c r="DV39" s="2122"/>
      <c r="DW39" s="2122"/>
    </row>
    <row r="40" spans="1:127" s="2033" customFormat="1" ht="64.5" customHeight="1">
      <c r="A40" s="3793"/>
      <c r="B40" s="2101" t="str">
        <f t="shared" si="1"/>
        <v>2200001846</v>
      </c>
      <c r="C40" s="1851" t="s">
        <v>3391</v>
      </c>
      <c r="D40" s="2097"/>
      <c r="E40" s="1851"/>
      <c r="F40" s="1872" t="s">
        <v>89</v>
      </c>
      <c r="G40" s="1495"/>
      <c r="H40" s="1947"/>
      <c r="I40" s="1851"/>
      <c r="J40" s="1872" t="s">
        <v>959</v>
      </c>
      <c r="K40" s="1628" t="s">
        <v>7238</v>
      </c>
      <c r="L40" s="2108">
        <v>1000</v>
      </c>
      <c r="M40" s="2160" t="s">
        <v>7181</v>
      </c>
      <c r="N40" s="2102"/>
      <c r="O40" s="2117"/>
      <c r="P40" s="1883"/>
      <c r="Q40" s="1883"/>
      <c r="R40" s="1883"/>
      <c r="S40" s="1883"/>
      <c r="T40" s="1883"/>
      <c r="U40" s="1883"/>
      <c r="V40" s="1883"/>
      <c r="W40" s="1883"/>
      <c r="X40" s="1883"/>
      <c r="Y40" s="1883"/>
      <c r="Z40" s="1883"/>
      <c r="AA40" s="1883"/>
      <c r="AB40" s="1883"/>
      <c r="AC40" s="1883"/>
      <c r="AD40" s="1883"/>
      <c r="AE40" s="1883"/>
      <c r="AF40" s="1883"/>
      <c r="AG40" s="1883"/>
      <c r="AH40" s="1883"/>
      <c r="AI40" s="1883"/>
      <c r="AJ40" s="1883"/>
      <c r="AK40" s="1883"/>
      <c r="AL40" s="1883"/>
      <c r="AM40" s="1883"/>
      <c r="AN40" s="1883"/>
      <c r="AO40" s="1883"/>
      <c r="AP40" s="1883"/>
      <c r="AQ40" s="1883"/>
      <c r="AR40" s="1883"/>
      <c r="AS40" s="1883"/>
      <c r="AT40" s="1883"/>
      <c r="AU40" s="1883"/>
      <c r="AV40" s="1883"/>
      <c r="AW40" s="1883"/>
      <c r="AX40" s="1883"/>
      <c r="AY40" s="1883"/>
      <c r="AZ40" s="1883"/>
      <c r="BA40" s="1883"/>
      <c r="BB40" s="1883"/>
      <c r="BC40" s="1883"/>
      <c r="BD40" s="1883"/>
      <c r="BE40" s="1883"/>
      <c r="BF40" s="1883"/>
      <c r="BG40" s="1883"/>
      <c r="BH40" s="1883"/>
      <c r="BI40" s="1883"/>
      <c r="BJ40" s="1883"/>
      <c r="BK40" s="1883"/>
      <c r="BL40" s="1883"/>
      <c r="BM40" s="1883"/>
      <c r="BN40" s="1883"/>
      <c r="BO40" s="1883"/>
      <c r="BP40" s="1883"/>
      <c r="BQ40" s="1883"/>
      <c r="BR40" s="1883"/>
      <c r="BS40" s="1883"/>
      <c r="BT40" s="1883"/>
      <c r="BU40" s="1883"/>
      <c r="BV40" s="1883"/>
      <c r="BW40" s="1883"/>
      <c r="BX40" s="1883"/>
      <c r="BY40" s="1883"/>
      <c r="BZ40" s="1883"/>
      <c r="CA40" s="1883"/>
      <c r="CB40" s="1883"/>
      <c r="CC40" s="1883"/>
      <c r="CD40" s="1883"/>
      <c r="CE40" s="1883"/>
      <c r="CF40" s="1883"/>
      <c r="CG40" s="1883"/>
      <c r="CH40" s="1883"/>
      <c r="CI40" s="1883"/>
      <c r="CJ40" s="1883"/>
      <c r="CK40" s="1883"/>
      <c r="CL40" s="1883"/>
      <c r="CM40" s="1883"/>
      <c r="CN40" s="1883"/>
      <c r="CO40" s="1883"/>
      <c r="CP40" s="1883"/>
      <c r="CQ40" s="1883"/>
      <c r="CR40" s="1883"/>
      <c r="CS40" s="1883"/>
      <c r="CT40" s="1883"/>
      <c r="CU40" s="1883"/>
      <c r="CV40" s="1883"/>
      <c r="CW40" s="1883"/>
      <c r="CX40" s="1883"/>
      <c r="CY40" s="1883"/>
      <c r="CZ40" s="1883"/>
      <c r="DA40" s="1883"/>
      <c r="DB40" s="1883"/>
      <c r="DC40" s="1883"/>
      <c r="DD40" s="1883"/>
      <c r="DE40" s="1883"/>
      <c r="DF40" s="1883"/>
      <c r="DG40" s="1883"/>
      <c r="DH40" s="1883"/>
      <c r="DI40" s="1883"/>
      <c r="DJ40" s="1883"/>
      <c r="DK40" s="1883"/>
      <c r="DL40" s="1883"/>
      <c r="DM40" s="1883"/>
      <c r="DN40" s="1883"/>
      <c r="DO40" s="1883"/>
      <c r="DP40" s="1883"/>
      <c r="DQ40" s="1883"/>
      <c r="DR40" s="1883"/>
      <c r="DS40" s="1883"/>
      <c r="DT40" s="1883"/>
      <c r="DU40" s="1883"/>
      <c r="DV40" s="1883"/>
      <c r="DW40" s="1883"/>
    </row>
    <row r="41" spans="1:127" s="2033" customFormat="1" ht="64.5" customHeight="1">
      <c r="A41" s="3794"/>
      <c r="B41" s="2101" t="str">
        <f t="shared" si="1"/>
        <v>2200001850</v>
      </c>
      <c r="C41" s="1851" t="s">
        <v>3391</v>
      </c>
      <c r="D41" s="2097"/>
      <c r="E41" s="1851"/>
      <c r="F41" s="1872" t="s">
        <v>89</v>
      </c>
      <c r="G41" s="1495"/>
      <c r="H41" s="1947"/>
      <c r="I41" s="1851"/>
      <c r="J41" s="1872" t="s">
        <v>959</v>
      </c>
      <c r="K41" s="1628" t="s">
        <v>7239</v>
      </c>
      <c r="L41" s="2108">
        <v>330</v>
      </c>
      <c r="M41" s="2160" t="s">
        <v>7181</v>
      </c>
      <c r="N41" s="2102"/>
      <c r="O41" s="2117"/>
      <c r="P41" s="1883"/>
      <c r="Q41" s="1883"/>
      <c r="R41" s="1883"/>
      <c r="S41" s="1883"/>
      <c r="T41" s="1883"/>
      <c r="U41" s="1883"/>
      <c r="V41" s="1883"/>
      <c r="W41" s="1883"/>
      <c r="X41" s="1883"/>
      <c r="Y41" s="1883"/>
      <c r="Z41" s="1883"/>
      <c r="AA41" s="1883"/>
      <c r="AB41" s="1883"/>
      <c r="AC41" s="1883"/>
      <c r="AD41" s="1883"/>
      <c r="AE41" s="1883"/>
      <c r="AF41" s="1883"/>
      <c r="AG41" s="1883"/>
      <c r="AH41" s="1883"/>
      <c r="AI41" s="1883"/>
      <c r="AJ41" s="1883"/>
      <c r="AK41" s="1883"/>
      <c r="AL41" s="1883"/>
      <c r="AM41" s="1883"/>
      <c r="AN41" s="1883"/>
      <c r="AO41" s="1883"/>
      <c r="AP41" s="1883"/>
      <c r="AQ41" s="1883"/>
      <c r="AR41" s="1883"/>
      <c r="AS41" s="1883"/>
      <c r="AT41" s="1883"/>
      <c r="AU41" s="1883"/>
      <c r="AV41" s="1883"/>
      <c r="AW41" s="1883"/>
      <c r="AX41" s="1883"/>
      <c r="AY41" s="1883"/>
      <c r="AZ41" s="1883"/>
      <c r="BA41" s="1883"/>
      <c r="BB41" s="1883"/>
      <c r="BC41" s="1883"/>
      <c r="BD41" s="1883"/>
      <c r="BE41" s="1883"/>
      <c r="BF41" s="1883"/>
      <c r="BG41" s="1883"/>
      <c r="BH41" s="1883"/>
      <c r="BI41" s="1883"/>
      <c r="BJ41" s="1883"/>
      <c r="BK41" s="1883"/>
      <c r="BL41" s="1883"/>
      <c r="BM41" s="1883"/>
      <c r="BN41" s="1883"/>
      <c r="BO41" s="1883"/>
      <c r="BP41" s="1883"/>
      <c r="BQ41" s="1883"/>
      <c r="BR41" s="1883"/>
      <c r="BS41" s="1883"/>
      <c r="BT41" s="1883"/>
      <c r="BU41" s="1883"/>
      <c r="BV41" s="1883"/>
      <c r="BW41" s="1883"/>
      <c r="BX41" s="1883"/>
      <c r="BY41" s="1883"/>
      <c r="BZ41" s="1883"/>
      <c r="CA41" s="1883"/>
      <c r="CB41" s="1883"/>
      <c r="CC41" s="1883"/>
      <c r="CD41" s="1883"/>
      <c r="CE41" s="1883"/>
      <c r="CF41" s="1883"/>
      <c r="CG41" s="1883"/>
      <c r="CH41" s="1883"/>
      <c r="CI41" s="1883"/>
      <c r="CJ41" s="1883"/>
      <c r="CK41" s="1883"/>
      <c r="CL41" s="1883"/>
      <c r="CM41" s="1883"/>
      <c r="CN41" s="1883"/>
      <c r="CO41" s="1883"/>
      <c r="CP41" s="1883"/>
      <c r="CQ41" s="1883"/>
      <c r="CR41" s="1883"/>
      <c r="CS41" s="1883"/>
      <c r="CT41" s="1883"/>
      <c r="CU41" s="1883"/>
      <c r="CV41" s="1883"/>
      <c r="CW41" s="1883"/>
      <c r="CX41" s="1883"/>
      <c r="CY41" s="1883"/>
      <c r="CZ41" s="1883"/>
      <c r="DA41" s="1883"/>
      <c r="DB41" s="1883"/>
      <c r="DC41" s="1883"/>
      <c r="DD41" s="1883"/>
      <c r="DE41" s="1883"/>
      <c r="DF41" s="1883"/>
      <c r="DG41" s="1883"/>
      <c r="DH41" s="1883"/>
      <c r="DI41" s="1883"/>
      <c r="DJ41" s="1883"/>
      <c r="DK41" s="1883"/>
      <c r="DL41" s="1883"/>
      <c r="DM41" s="1883"/>
      <c r="DN41" s="1883"/>
      <c r="DO41" s="1883"/>
      <c r="DP41" s="1883"/>
      <c r="DQ41" s="1883"/>
      <c r="DR41" s="1883"/>
      <c r="DS41" s="1883"/>
      <c r="DT41" s="1883"/>
      <c r="DU41" s="1883"/>
      <c r="DV41" s="1883"/>
      <c r="DW41" s="1883"/>
    </row>
    <row r="42" spans="1:127" s="2033" customFormat="1" ht="64.5" customHeight="1">
      <c r="A42" s="2165">
        <v>15</v>
      </c>
      <c r="B42" s="2101" t="str">
        <f t="shared" si="1"/>
        <v>2200001851</v>
      </c>
      <c r="C42" s="2118" t="s">
        <v>219</v>
      </c>
      <c r="D42" s="2119">
        <v>3750</v>
      </c>
      <c r="E42" s="2118" t="s">
        <v>7240</v>
      </c>
      <c r="F42" s="2120" t="s">
        <v>61</v>
      </c>
      <c r="G42" s="1921" t="s">
        <v>7241</v>
      </c>
      <c r="H42" s="1947" t="s">
        <v>1599</v>
      </c>
      <c r="I42" s="2118" t="s">
        <v>19</v>
      </c>
      <c r="J42" s="2120" t="s">
        <v>1138</v>
      </c>
      <c r="K42" s="2161" t="s">
        <v>7242</v>
      </c>
      <c r="L42" s="2151">
        <v>3750</v>
      </c>
      <c r="M42" s="2160" t="s">
        <v>5391</v>
      </c>
      <c r="N42" s="2117"/>
      <c r="O42" s="2117"/>
      <c r="P42" s="2122"/>
      <c r="Q42" s="2122"/>
      <c r="R42" s="2122"/>
      <c r="S42" s="2122"/>
      <c r="T42" s="2122"/>
      <c r="U42" s="2122"/>
      <c r="V42" s="2122"/>
      <c r="W42" s="2122"/>
      <c r="X42" s="2122"/>
      <c r="Y42" s="2122"/>
      <c r="Z42" s="2122"/>
      <c r="AA42" s="2122"/>
      <c r="AB42" s="2122"/>
      <c r="AC42" s="2122"/>
      <c r="AD42" s="2122"/>
      <c r="AE42" s="2122"/>
      <c r="AF42" s="2122"/>
      <c r="AG42" s="2122"/>
      <c r="AH42" s="2122"/>
      <c r="AI42" s="2122"/>
      <c r="AJ42" s="2122"/>
      <c r="AK42" s="2122"/>
      <c r="AL42" s="2122"/>
      <c r="AM42" s="2122"/>
      <c r="AN42" s="2122"/>
      <c r="AO42" s="2122"/>
      <c r="AP42" s="2122"/>
      <c r="AQ42" s="2122"/>
      <c r="AR42" s="2122"/>
      <c r="AS42" s="2122"/>
      <c r="AT42" s="2122"/>
      <c r="AU42" s="2122"/>
      <c r="AV42" s="2122"/>
      <c r="AW42" s="2122"/>
      <c r="AX42" s="2122"/>
      <c r="AY42" s="2122"/>
      <c r="AZ42" s="2122"/>
      <c r="BA42" s="2122"/>
      <c r="BB42" s="2122"/>
      <c r="BC42" s="2122"/>
      <c r="BD42" s="2122"/>
      <c r="BE42" s="2122"/>
      <c r="BF42" s="2122"/>
      <c r="BG42" s="2122"/>
      <c r="BH42" s="2122"/>
      <c r="BI42" s="2122"/>
      <c r="BJ42" s="2122"/>
      <c r="BK42" s="2122"/>
      <c r="BL42" s="2122"/>
      <c r="BM42" s="2122"/>
      <c r="BN42" s="2122"/>
      <c r="BO42" s="2122"/>
      <c r="BP42" s="2122"/>
      <c r="BQ42" s="2122"/>
      <c r="BR42" s="2122"/>
      <c r="BS42" s="2122"/>
      <c r="BT42" s="2122"/>
      <c r="BU42" s="2122"/>
      <c r="BV42" s="2122"/>
      <c r="BW42" s="2122"/>
      <c r="BX42" s="2122"/>
      <c r="BY42" s="2122"/>
      <c r="BZ42" s="2122"/>
      <c r="CA42" s="2122"/>
      <c r="CB42" s="2122"/>
      <c r="CC42" s="2122"/>
      <c r="CD42" s="2122"/>
      <c r="CE42" s="2122"/>
      <c r="CF42" s="2122"/>
      <c r="CG42" s="2122"/>
      <c r="CH42" s="2122"/>
      <c r="CI42" s="2122"/>
      <c r="CJ42" s="2122"/>
      <c r="CK42" s="2122"/>
      <c r="CL42" s="2122"/>
      <c r="CM42" s="2122"/>
      <c r="CN42" s="2122"/>
      <c r="CO42" s="2122"/>
      <c r="CP42" s="2122"/>
      <c r="CQ42" s="2122"/>
      <c r="CR42" s="2122"/>
      <c r="CS42" s="2122"/>
      <c r="CT42" s="2122"/>
      <c r="CU42" s="2122"/>
      <c r="CV42" s="2122"/>
      <c r="CW42" s="2122"/>
      <c r="CX42" s="2122"/>
      <c r="CY42" s="2122"/>
      <c r="CZ42" s="2122"/>
      <c r="DA42" s="2122"/>
      <c r="DB42" s="2122"/>
      <c r="DC42" s="2122"/>
      <c r="DD42" s="2122"/>
      <c r="DE42" s="2122"/>
      <c r="DF42" s="2122"/>
      <c r="DG42" s="2122"/>
      <c r="DH42" s="2122"/>
      <c r="DI42" s="2122"/>
      <c r="DJ42" s="2122"/>
      <c r="DK42" s="2122"/>
      <c r="DL42" s="2122"/>
      <c r="DM42" s="2122"/>
      <c r="DN42" s="2122"/>
      <c r="DO42" s="2122"/>
      <c r="DP42" s="2122"/>
      <c r="DQ42" s="2122"/>
      <c r="DR42" s="2122"/>
      <c r="DS42" s="2122"/>
      <c r="DT42" s="2122"/>
      <c r="DU42" s="2122"/>
      <c r="DV42" s="2122"/>
      <c r="DW42" s="2122"/>
    </row>
    <row r="43" spans="1:127" s="2033" customFormat="1" ht="64.5" customHeight="1">
      <c r="A43" s="3807">
        <v>16</v>
      </c>
      <c r="B43" s="2101" t="str">
        <f t="shared" si="1"/>
        <v>2000002603</v>
      </c>
      <c r="C43" s="2118" t="s">
        <v>42</v>
      </c>
      <c r="D43" s="2119">
        <v>5950</v>
      </c>
      <c r="E43" s="2118" t="s">
        <v>4809</v>
      </c>
      <c r="F43" s="2120" t="s">
        <v>3401</v>
      </c>
      <c r="G43" s="1921" t="s">
        <v>153</v>
      </c>
      <c r="H43" s="1947" t="s">
        <v>1599</v>
      </c>
      <c r="I43" s="2118" t="s">
        <v>19</v>
      </c>
      <c r="J43" s="2120" t="s">
        <v>123</v>
      </c>
      <c r="K43" s="1547" t="s">
        <v>7243</v>
      </c>
      <c r="L43" s="2121">
        <v>1850</v>
      </c>
      <c r="M43" s="2160" t="s">
        <v>6705</v>
      </c>
      <c r="N43" s="2117" t="s">
        <v>7244</v>
      </c>
      <c r="O43" s="2117"/>
      <c r="P43" s="2122"/>
      <c r="Q43" s="2122"/>
      <c r="R43" s="2122"/>
      <c r="S43" s="2122"/>
      <c r="T43" s="2122"/>
      <c r="U43" s="2122"/>
      <c r="V43" s="2122"/>
      <c r="W43" s="2122"/>
      <c r="X43" s="2122"/>
      <c r="Y43" s="2122"/>
      <c r="Z43" s="2122"/>
      <c r="AA43" s="2122"/>
      <c r="AB43" s="2122"/>
      <c r="AC43" s="2122"/>
      <c r="AD43" s="2122"/>
      <c r="AE43" s="2122"/>
      <c r="AF43" s="2122"/>
      <c r="AG43" s="2122"/>
      <c r="AH43" s="2122"/>
      <c r="AI43" s="2122"/>
      <c r="AJ43" s="2122"/>
      <c r="AK43" s="2122"/>
      <c r="AL43" s="2122"/>
      <c r="AM43" s="2122"/>
      <c r="AN43" s="2122"/>
      <c r="AO43" s="2122"/>
      <c r="AP43" s="2122"/>
      <c r="AQ43" s="2122"/>
      <c r="AR43" s="2122"/>
      <c r="AS43" s="2122"/>
      <c r="AT43" s="2122"/>
      <c r="AU43" s="2122"/>
      <c r="AV43" s="2122"/>
      <c r="AW43" s="2122"/>
      <c r="AX43" s="2122"/>
      <c r="AY43" s="2122"/>
      <c r="AZ43" s="2122"/>
      <c r="BA43" s="2122"/>
      <c r="BB43" s="2122"/>
      <c r="BC43" s="2122"/>
      <c r="BD43" s="2122"/>
      <c r="BE43" s="2122"/>
      <c r="BF43" s="2122"/>
      <c r="BG43" s="2122"/>
      <c r="BH43" s="2122"/>
      <c r="BI43" s="2122"/>
      <c r="BJ43" s="2122"/>
      <c r="BK43" s="2122"/>
      <c r="BL43" s="2122"/>
      <c r="BM43" s="2122"/>
      <c r="BN43" s="2122"/>
      <c r="BO43" s="2122"/>
      <c r="BP43" s="2122"/>
      <c r="BQ43" s="2122"/>
      <c r="BR43" s="2122"/>
      <c r="BS43" s="2122"/>
      <c r="BT43" s="2122"/>
      <c r="BU43" s="2122"/>
      <c r="BV43" s="2122"/>
      <c r="BW43" s="2122"/>
      <c r="BX43" s="2122"/>
      <c r="BY43" s="2122"/>
      <c r="BZ43" s="2122"/>
      <c r="CA43" s="2122"/>
      <c r="CB43" s="2122"/>
      <c r="CC43" s="2122"/>
      <c r="CD43" s="2122"/>
      <c r="CE43" s="2122"/>
      <c r="CF43" s="2122"/>
      <c r="CG43" s="2122"/>
      <c r="CH43" s="2122"/>
      <c r="CI43" s="2122"/>
      <c r="CJ43" s="2122"/>
      <c r="CK43" s="2122"/>
      <c r="CL43" s="2122"/>
      <c r="CM43" s="2122"/>
      <c r="CN43" s="2122"/>
      <c r="CO43" s="2122"/>
      <c r="CP43" s="2122"/>
      <c r="CQ43" s="2122"/>
      <c r="CR43" s="2122"/>
      <c r="CS43" s="2122"/>
      <c r="CT43" s="2122"/>
      <c r="CU43" s="2122"/>
      <c r="CV43" s="2122"/>
      <c r="CW43" s="2122"/>
      <c r="CX43" s="2122"/>
      <c r="CY43" s="2122"/>
      <c r="CZ43" s="2122"/>
      <c r="DA43" s="2122"/>
      <c r="DB43" s="2122"/>
      <c r="DC43" s="2122"/>
      <c r="DD43" s="2122"/>
      <c r="DE43" s="2122"/>
      <c r="DF43" s="2122"/>
      <c r="DG43" s="2122"/>
      <c r="DH43" s="2122"/>
      <c r="DI43" s="2122"/>
      <c r="DJ43" s="2122"/>
      <c r="DK43" s="2122"/>
      <c r="DL43" s="2122"/>
      <c r="DM43" s="2122"/>
      <c r="DN43" s="2122"/>
      <c r="DO43" s="2122"/>
      <c r="DP43" s="2122"/>
      <c r="DQ43" s="2122"/>
      <c r="DR43" s="2122"/>
      <c r="DS43" s="2122"/>
      <c r="DT43" s="2122"/>
      <c r="DU43" s="2122"/>
      <c r="DV43" s="2122"/>
      <c r="DW43" s="2122"/>
    </row>
    <row r="44" spans="1:127" s="2033" customFormat="1" ht="64.5" customHeight="1">
      <c r="A44" s="3807"/>
      <c r="B44" s="2101" t="str">
        <f t="shared" si="1"/>
        <v>2000002628</v>
      </c>
      <c r="C44" s="1851" t="s">
        <v>42</v>
      </c>
      <c r="D44" s="2119"/>
      <c r="E44" s="2118"/>
      <c r="F44" s="1872" t="s">
        <v>3401</v>
      </c>
      <c r="G44" s="1921"/>
      <c r="H44" s="2159"/>
      <c r="I44" s="2118"/>
      <c r="J44" s="1872" t="s">
        <v>123</v>
      </c>
      <c r="K44" s="1881" t="s">
        <v>7245</v>
      </c>
      <c r="L44" s="2107">
        <v>474</v>
      </c>
      <c r="M44" s="2160" t="s">
        <v>6705</v>
      </c>
      <c r="N44" s="2117" t="s">
        <v>7246</v>
      </c>
      <c r="O44" s="2117"/>
      <c r="P44" s="2122"/>
      <c r="Q44" s="2122"/>
      <c r="R44" s="2122"/>
      <c r="S44" s="2122"/>
      <c r="T44" s="2122"/>
      <c r="U44" s="2122"/>
      <c r="V44" s="2122"/>
      <c r="W44" s="2122"/>
      <c r="X44" s="2122"/>
      <c r="Y44" s="2122"/>
      <c r="Z44" s="2122"/>
      <c r="AA44" s="2122"/>
      <c r="AB44" s="2122"/>
      <c r="AC44" s="2122"/>
      <c r="AD44" s="2122"/>
      <c r="AE44" s="2122"/>
      <c r="AF44" s="2122"/>
      <c r="AG44" s="2122"/>
      <c r="AH44" s="2122"/>
      <c r="AI44" s="2122"/>
      <c r="AJ44" s="2122"/>
      <c r="AK44" s="2122"/>
      <c r="AL44" s="2122"/>
      <c r="AM44" s="2122"/>
      <c r="AN44" s="2122"/>
      <c r="AO44" s="2122"/>
      <c r="AP44" s="2122"/>
      <c r="AQ44" s="2122"/>
      <c r="AR44" s="2122"/>
      <c r="AS44" s="2122"/>
      <c r="AT44" s="2122"/>
      <c r="AU44" s="2122"/>
      <c r="AV44" s="2122"/>
      <c r="AW44" s="2122"/>
      <c r="AX44" s="2122"/>
      <c r="AY44" s="2122"/>
      <c r="AZ44" s="2122"/>
      <c r="BA44" s="2122"/>
      <c r="BB44" s="2122"/>
      <c r="BC44" s="2122"/>
      <c r="BD44" s="2122"/>
      <c r="BE44" s="2122"/>
      <c r="BF44" s="2122"/>
      <c r="BG44" s="2122"/>
      <c r="BH44" s="2122"/>
      <c r="BI44" s="2122"/>
      <c r="BJ44" s="2122"/>
      <c r="BK44" s="2122"/>
      <c r="BL44" s="2122"/>
      <c r="BM44" s="2122"/>
      <c r="BN44" s="2122"/>
      <c r="BO44" s="2122"/>
      <c r="BP44" s="2122"/>
      <c r="BQ44" s="2122"/>
      <c r="BR44" s="2122"/>
      <c r="BS44" s="2122"/>
      <c r="BT44" s="2122"/>
      <c r="BU44" s="2122"/>
      <c r="BV44" s="2122"/>
      <c r="BW44" s="2122"/>
      <c r="BX44" s="2122"/>
      <c r="BY44" s="2122"/>
      <c r="BZ44" s="2122"/>
      <c r="CA44" s="2122"/>
      <c r="CB44" s="2122"/>
      <c r="CC44" s="2122"/>
      <c r="CD44" s="2122"/>
      <c r="CE44" s="2122"/>
      <c r="CF44" s="2122"/>
      <c r="CG44" s="2122"/>
      <c r="CH44" s="2122"/>
      <c r="CI44" s="2122"/>
      <c r="CJ44" s="2122"/>
      <c r="CK44" s="2122"/>
      <c r="CL44" s="2122"/>
      <c r="CM44" s="2122"/>
      <c r="CN44" s="2122"/>
      <c r="CO44" s="2122"/>
      <c r="CP44" s="2122"/>
      <c r="CQ44" s="2122"/>
      <c r="CR44" s="2122"/>
      <c r="CS44" s="2122"/>
      <c r="CT44" s="2122"/>
      <c r="CU44" s="2122"/>
      <c r="CV44" s="2122"/>
      <c r="CW44" s="2122"/>
      <c r="CX44" s="2122"/>
      <c r="CY44" s="2122"/>
      <c r="CZ44" s="2122"/>
      <c r="DA44" s="2122"/>
      <c r="DB44" s="2122"/>
      <c r="DC44" s="2122"/>
      <c r="DD44" s="2122"/>
      <c r="DE44" s="2122"/>
      <c r="DF44" s="2122"/>
      <c r="DG44" s="2122"/>
      <c r="DH44" s="2122"/>
      <c r="DI44" s="2122"/>
      <c r="DJ44" s="2122"/>
      <c r="DK44" s="2122"/>
      <c r="DL44" s="2122"/>
      <c r="DM44" s="2122"/>
      <c r="DN44" s="2122"/>
      <c r="DO44" s="2122"/>
      <c r="DP44" s="2122"/>
      <c r="DQ44" s="2122"/>
      <c r="DR44" s="2122"/>
      <c r="DS44" s="2122"/>
      <c r="DT44" s="2122"/>
      <c r="DU44" s="2122"/>
      <c r="DV44" s="2122"/>
      <c r="DW44" s="2122"/>
    </row>
    <row r="45" spans="1:127" s="2033" customFormat="1" ht="64.5" customHeight="1">
      <c r="A45" s="3807"/>
      <c r="B45" s="2101" t="str">
        <f t="shared" si="1"/>
        <v>2000002627</v>
      </c>
      <c r="C45" s="1851" t="s">
        <v>42</v>
      </c>
      <c r="D45" s="2097"/>
      <c r="E45" s="1851"/>
      <c r="F45" s="1872" t="s">
        <v>3401</v>
      </c>
      <c r="G45" s="1495"/>
      <c r="H45" s="1947" t="s">
        <v>222</v>
      </c>
      <c r="I45" s="1851"/>
      <c r="J45" s="1872" t="s">
        <v>4348</v>
      </c>
      <c r="K45" s="1628" t="s">
        <v>7247</v>
      </c>
      <c r="L45" s="2107">
        <v>3760</v>
      </c>
      <c r="M45" s="2160" t="s">
        <v>6705</v>
      </c>
      <c r="N45" s="2117" t="s">
        <v>7246</v>
      </c>
      <c r="O45" s="2102"/>
      <c r="P45" s="1883"/>
      <c r="Q45" s="1883"/>
      <c r="R45" s="1883"/>
      <c r="S45" s="1883"/>
      <c r="T45" s="1883"/>
      <c r="U45" s="1883"/>
      <c r="V45" s="1883"/>
      <c r="W45" s="1883"/>
      <c r="X45" s="1883"/>
      <c r="Y45" s="1883"/>
      <c r="Z45" s="1883"/>
      <c r="AA45" s="1883"/>
      <c r="AB45" s="1883"/>
      <c r="AC45" s="1883"/>
      <c r="AD45" s="1883"/>
      <c r="AE45" s="1883"/>
      <c r="AF45" s="1883"/>
      <c r="AG45" s="1883"/>
      <c r="AH45" s="1883"/>
      <c r="AI45" s="1883"/>
      <c r="AJ45" s="1883"/>
      <c r="AK45" s="1883"/>
      <c r="AL45" s="1883"/>
      <c r="AM45" s="1883"/>
      <c r="AN45" s="1883"/>
      <c r="AO45" s="1883"/>
      <c r="AP45" s="1883"/>
      <c r="AQ45" s="1883"/>
      <c r="AR45" s="1883"/>
      <c r="AS45" s="1883"/>
      <c r="AT45" s="1883"/>
      <c r="AU45" s="1883"/>
      <c r="AV45" s="1883"/>
      <c r="AW45" s="1883"/>
      <c r="AX45" s="1883"/>
      <c r="AY45" s="1883"/>
      <c r="AZ45" s="1883"/>
      <c r="BA45" s="1883"/>
      <c r="BB45" s="1883"/>
      <c r="BC45" s="1883"/>
      <c r="BD45" s="1883"/>
      <c r="BE45" s="1883"/>
      <c r="BF45" s="1883"/>
      <c r="BG45" s="1883"/>
      <c r="BH45" s="1883"/>
      <c r="BI45" s="1883"/>
      <c r="BJ45" s="1883"/>
      <c r="BK45" s="1883"/>
      <c r="BL45" s="1883"/>
      <c r="BM45" s="1883"/>
      <c r="BN45" s="1883"/>
      <c r="BO45" s="1883"/>
      <c r="BP45" s="1883"/>
      <c r="BQ45" s="1883"/>
      <c r="BR45" s="1883"/>
      <c r="BS45" s="1883"/>
      <c r="BT45" s="1883"/>
      <c r="BU45" s="1883"/>
      <c r="BV45" s="1883"/>
      <c r="BW45" s="1883"/>
      <c r="BX45" s="1883"/>
      <c r="BY45" s="1883"/>
      <c r="BZ45" s="1883"/>
      <c r="CA45" s="1883"/>
      <c r="CB45" s="1883"/>
      <c r="CC45" s="1883"/>
      <c r="CD45" s="1883"/>
      <c r="CE45" s="1883"/>
      <c r="CF45" s="1883"/>
      <c r="CG45" s="1883"/>
      <c r="CH45" s="1883"/>
      <c r="CI45" s="1883"/>
      <c r="CJ45" s="1883"/>
      <c r="CK45" s="1883"/>
      <c r="CL45" s="1883"/>
      <c r="CM45" s="1883"/>
      <c r="CN45" s="1883"/>
      <c r="CO45" s="1883"/>
      <c r="CP45" s="1883"/>
      <c r="CQ45" s="1883"/>
      <c r="CR45" s="1883"/>
      <c r="CS45" s="1883"/>
      <c r="CT45" s="1883"/>
      <c r="CU45" s="1883"/>
      <c r="CV45" s="1883"/>
      <c r="CW45" s="1883"/>
      <c r="CX45" s="1883"/>
      <c r="CY45" s="1883"/>
      <c r="CZ45" s="1883"/>
      <c r="DA45" s="1883"/>
      <c r="DB45" s="1883"/>
      <c r="DC45" s="1883"/>
      <c r="DD45" s="1883"/>
      <c r="DE45" s="1883"/>
      <c r="DF45" s="1883"/>
      <c r="DG45" s="1883"/>
      <c r="DH45" s="1883"/>
      <c r="DI45" s="1883"/>
      <c r="DJ45" s="1883"/>
      <c r="DK45" s="1883"/>
      <c r="DL45" s="1883"/>
      <c r="DM45" s="1883"/>
      <c r="DN45" s="1883"/>
      <c r="DO45" s="1883"/>
      <c r="DP45" s="1883"/>
      <c r="DQ45" s="1883"/>
      <c r="DR45" s="1883"/>
      <c r="DS45" s="1883"/>
      <c r="DT45" s="1883"/>
      <c r="DU45" s="1883"/>
      <c r="DV45" s="1883"/>
      <c r="DW45" s="1883"/>
    </row>
    <row r="46" spans="1:127" s="2033" customFormat="1" ht="64.5" customHeight="1">
      <c r="A46" s="3773">
        <v>17</v>
      </c>
      <c r="B46" s="2101" t="str">
        <f t="shared" si="1"/>
        <v>2000002636</v>
      </c>
      <c r="C46" s="2118" t="s">
        <v>3563</v>
      </c>
      <c r="D46" s="2178">
        <v>3490</v>
      </c>
      <c r="E46" s="2118" t="s">
        <v>7248</v>
      </c>
      <c r="F46" s="2118" t="s">
        <v>61</v>
      </c>
      <c r="G46" s="1921" t="s">
        <v>7249</v>
      </c>
      <c r="H46" s="1947" t="s">
        <v>1599</v>
      </c>
      <c r="I46" s="2118" t="s">
        <v>19</v>
      </c>
      <c r="J46" s="1921" t="s">
        <v>74</v>
      </c>
      <c r="K46" s="1845" t="s">
        <v>7250</v>
      </c>
      <c r="L46" s="2179">
        <v>2300</v>
      </c>
      <c r="M46" s="2160" t="s">
        <v>6705</v>
      </c>
      <c r="N46" s="1748" t="s">
        <v>5615</v>
      </c>
      <c r="O46" s="2180"/>
      <c r="P46" s="2181"/>
      <c r="Q46" s="2150"/>
      <c r="R46" s="2150"/>
      <c r="S46" s="2150"/>
      <c r="T46" s="2150"/>
      <c r="U46" s="2150"/>
      <c r="V46" s="2150"/>
      <c r="W46" s="2150"/>
      <c r="X46" s="2150"/>
      <c r="Y46" s="2150"/>
      <c r="Z46" s="2150"/>
      <c r="AA46" s="2150"/>
      <c r="AB46" s="2150"/>
      <c r="AC46" s="2150"/>
      <c r="AD46" s="2150"/>
      <c r="AE46" s="2150"/>
      <c r="AF46" s="2150"/>
      <c r="AG46" s="2150"/>
      <c r="AH46" s="2150"/>
      <c r="AI46" s="2150"/>
      <c r="AJ46" s="2150"/>
      <c r="AK46" s="2150"/>
      <c r="AL46" s="2150"/>
      <c r="AM46" s="2150"/>
      <c r="AN46" s="2150"/>
      <c r="AO46" s="2150"/>
      <c r="AP46" s="2150"/>
      <c r="AQ46" s="2150"/>
      <c r="AR46" s="2150"/>
      <c r="AS46" s="2150"/>
      <c r="AT46" s="2150"/>
      <c r="AU46" s="2150"/>
      <c r="AV46" s="2150"/>
      <c r="AW46" s="2150"/>
      <c r="AX46" s="2150"/>
      <c r="AY46" s="2150"/>
      <c r="AZ46" s="2150"/>
      <c r="BA46" s="2150"/>
      <c r="BB46" s="2150"/>
      <c r="BC46" s="2150"/>
      <c r="BD46" s="2150"/>
      <c r="BE46" s="2150"/>
      <c r="BF46" s="2150"/>
      <c r="BG46" s="2150"/>
      <c r="BH46" s="2150"/>
      <c r="BI46" s="2150"/>
      <c r="BJ46" s="2150"/>
      <c r="BK46" s="2150"/>
      <c r="BL46" s="2150"/>
      <c r="BM46" s="2150"/>
      <c r="BN46" s="2150"/>
      <c r="BO46" s="2150"/>
      <c r="BP46" s="2150"/>
      <c r="BQ46" s="2150"/>
      <c r="BR46" s="2150"/>
      <c r="BS46" s="2150"/>
      <c r="BT46" s="2150"/>
      <c r="BU46" s="2150"/>
      <c r="BV46" s="2150"/>
      <c r="BW46" s="2150"/>
      <c r="BX46" s="2150"/>
      <c r="BY46" s="2150"/>
      <c r="BZ46" s="2150"/>
      <c r="CA46" s="2150"/>
      <c r="CB46" s="2150"/>
      <c r="CC46" s="2150"/>
      <c r="CD46" s="2150"/>
      <c r="CE46" s="2150"/>
      <c r="CF46" s="2150"/>
      <c r="CG46" s="2150"/>
      <c r="CH46" s="2150"/>
      <c r="CI46" s="2150"/>
      <c r="CJ46" s="2150"/>
      <c r="CK46" s="2150"/>
      <c r="CL46" s="2150"/>
      <c r="CM46" s="2150"/>
      <c r="CN46" s="2150"/>
      <c r="CO46" s="2150"/>
      <c r="CP46" s="2150"/>
      <c r="CQ46" s="2150"/>
      <c r="CR46" s="2150"/>
      <c r="CS46" s="2150"/>
      <c r="CT46" s="2150"/>
      <c r="CU46" s="2150"/>
      <c r="CV46" s="2150"/>
      <c r="CW46" s="2150"/>
      <c r="CX46" s="2150"/>
      <c r="CY46" s="2150"/>
      <c r="CZ46" s="2150"/>
      <c r="DA46" s="2150"/>
      <c r="DB46" s="2150"/>
      <c r="DC46" s="2150"/>
      <c r="DD46" s="2150"/>
      <c r="DE46" s="2150"/>
      <c r="DF46" s="2150"/>
      <c r="DG46" s="2150"/>
      <c r="DH46" s="2150"/>
      <c r="DI46" s="2150"/>
      <c r="DJ46" s="2150"/>
      <c r="DK46" s="2150"/>
      <c r="DL46" s="2150"/>
      <c r="DM46" s="2150"/>
      <c r="DN46" s="2150"/>
      <c r="DO46" s="2150"/>
      <c r="DP46" s="2150"/>
      <c r="DQ46" s="2150"/>
      <c r="DR46" s="2150"/>
      <c r="DS46" s="2150"/>
      <c r="DT46" s="2150"/>
      <c r="DU46" s="2150"/>
      <c r="DV46" s="2150"/>
      <c r="DW46" s="2150"/>
    </row>
    <row r="47" spans="1:127" s="2033" customFormat="1" ht="64.5" customHeight="1">
      <c r="A47" s="3768"/>
      <c r="B47" s="2101" t="str">
        <f t="shared" si="1"/>
        <v>2000002637</v>
      </c>
      <c r="C47" s="1851" t="s">
        <v>3563</v>
      </c>
      <c r="D47" s="2182"/>
      <c r="E47" s="1851"/>
      <c r="F47" s="1495" t="s">
        <v>61</v>
      </c>
      <c r="G47" s="1495"/>
      <c r="H47" s="1495"/>
      <c r="I47" s="1851"/>
      <c r="J47" s="1495" t="s">
        <v>74</v>
      </c>
      <c r="K47" s="1600" t="s">
        <v>7251</v>
      </c>
      <c r="L47" s="2183">
        <v>1190</v>
      </c>
      <c r="M47" s="2160" t="s">
        <v>6705</v>
      </c>
      <c r="N47" s="1748" t="s">
        <v>5615</v>
      </c>
      <c r="O47" s="1780"/>
      <c r="P47" s="1807"/>
      <c r="Q47" s="1548"/>
      <c r="R47" s="1548"/>
      <c r="S47" s="1548"/>
      <c r="T47" s="1548"/>
      <c r="U47" s="1548"/>
      <c r="V47" s="1548"/>
      <c r="W47" s="1548"/>
      <c r="X47" s="1548"/>
      <c r="Y47" s="1548"/>
      <c r="Z47" s="1548"/>
      <c r="AA47" s="1548"/>
      <c r="AB47" s="1548"/>
      <c r="AC47" s="1548"/>
      <c r="AD47" s="1548"/>
      <c r="AE47" s="1548"/>
      <c r="AF47" s="1548"/>
      <c r="AG47" s="1548"/>
      <c r="AH47" s="1548"/>
      <c r="AI47" s="1548"/>
      <c r="AJ47" s="1548"/>
      <c r="AK47" s="1548"/>
      <c r="AL47" s="1548"/>
      <c r="AM47" s="1548"/>
      <c r="AN47" s="1548"/>
      <c r="AO47" s="1548"/>
      <c r="AP47" s="1548"/>
      <c r="AQ47" s="1548"/>
      <c r="AR47" s="1548"/>
      <c r="AS47" s="1548"/>
      <c r="AT47" s="1548"/>
      <c r="AU47" s="1548"/>
      <c r="AV47" s="1548"/>
      <c r="AW47" s="1548"/>
      <c r="AX47" s="1548"/>
      <c r="AY47" s="1548"/>
      <c r="AZ47" s="1548"/>
      <c r="BA47" s="1548"/>
      <c r="BB47" s="1548"/>
      <c r="BC47" s="1548"/>
      <c r="BD47" s="1548"/>
      <c r="BE47" s="1548"/>
      <c r="BF47" s="1548"/>
      <c r="BG47" s="1548"/>
      <c r="BH47" s="1548"/>
      <c r="BI47" s="1548"/>
      <c r="BJ47" s="1548"/>
      <c r="BK47" s="1548"/>
      <c r="BL47" s="1548"/>
      <c r="BM47" s="1548"/>
      <c r="BN47" s="1548"/>
      <c r="BO47" s="1548"/>
      <c r="BP47" s="1548"/>
      <c r="BQ47" s="1548"/>
      <c r="BR47" s="1548"/>
      <c r="BS47" s="1548"/>
      <c r="BT47" s="1548"/>
      <c r="BU47" s="1548"/>
      <c r="BV47" s="1548"/>
      <c r="BW47" s="1548"/>
      <c r="BX47" s="1548"/>
      <c r="BY47" s="1548"/>
      <c r="BZ47" s="1548"/>
      <c r="CA47" s="1548"/>
      <c r="CB47" s="1548"/>
      <c r="CC47" s="1548"/>
      <c r="CD47" s="1548"/>
      <c r="CE47" s="1548"/>
      <c r="CF47" s="1548"/>
      <c r="CG47" s="1548"/>
      <c r="CH47" s="1548"/>
      <c r="CI47" s="1548"/>
      <c r="CJ47" s="1548"/>
      <c r="CK47" s="1548"/>
      <c r="CL47" s="1548"/>
      <c r="CM47" s="1548"/>
      <c r="CN47" s="1548"/>
      <c r="CO47" s="1548"/>
      <c r="CP47" s="1548"/>
      <c r="CQ47" s="1548"/>
      <c r="CR47" s="1548"/>
      <c r="CS47" s="1548"/>
      <c r="CT47" s="1548"/>
      <c r="CU47" s="1548"/>
      <c r="CV47" s="1548"/>
      <c r="CW47" s="1548"/>
      <c r="CX47" s="1548"/>
      <c r="CY47" s="1548"/>
      <c r="CZ47" s="1548"/>
      <c r="DA47" s="1548"/>
      <c r="DB47" s="1548"/>
      <c r="DC47" s="1548"/>
      <c r="DD47" s="1548"/>
      <c r="DE47" s="1548"/>
      <c r="DF47" s="1548"/>
      <c r="DG47" s="1548"/>
      <c r="DH47" s="1548"/>
      <c r="DI47" s="1548"/>
      <c r="DJ47" s="1548"/>
      <c r="DK47" s="1548"/>
      <c r="DL47" s="1548"/>
      <c r="DM47" s="1548"/>
      <c r="DN47" s="1548"/>
      <c r="DO47" s="1548"/>
      <c r="DP47" s="1548"/>
      <c r="DQ47" s="1548"/>
      <c r="DR47" s="1548"/>
      <c r="DS47" s="1548"/>
      <c r="DT47" s="1548"/>
      <c r="DU47" s="1548"/>
      <c r="DV47" s="1548"/>
      <c r="DW47" s="1548"/>
    </row>
    <row r="48" spans="1:127" s="2079" customFormat="1" ht="64.5" customHeight="1">
      <c r="A48" s="2165">
        <v>18</v>
      </c>
      <c r="B48" s="2101" t="str">
        <f t="shared" si="1"/>
        <v>2000002635</v>
      </c>
      <c r="C48" s="2184" t="s">
        <v>93</v>
      </c>
      <c r="D48" s="2185">
        <v>2950</v>
      </c>
      <c r="E48" s="2184" t="s">
        <v>7252</v>
      </c>
      <c r="F48" s="2186" t="s">
        <v>84</v>
      </c>
      <c r="G48" s="2187" t="s">
        <v>7253</v>
      </c>
      <c r="H48" s="1947" t="s">
        <v>1599</v>
      </c>
      <c r="I48" s="2184" t="s">
        <v>19</v>
      </c>
      <c r="J48" s="2186" t="s">
        <v>74</v>
      </c>
      <c r="K48" s="2188" t="s">
        <v>7254</v>
      </c>
      <c r="L48" s="2189">
        <v>2950</v>
      </c>
      <c r="M48" s="2190" t="s">
        <v>6705</v>
      </c>
      <c r="N48" s="2191" t="s">
        <v>7255</v>
      </c>
      <c r="O48" s="2191"/>
      <c r="P48" s="2129"/>
      <c r="Q48" s="2129"/>
      <c r="R48" s="2129"/>
      <c r="S48" s="2129"/>
      <c r="T48" s="2129"/>
      <c r="U48" s="2129"/>
      <c r="V48" s="2129"/>
      <c r="W48" s="2129"/>
      <c r="X48" s="2129"/>
      <c r="Y48" s="2129"/>
      <c r="Z48" s="2129"/>
      <c r="AA48" s="2129"/>
      <c r="AB48" s="2129"/>
      <c r="AC48" s="2129"/>
      <c r="AD48" s="2129"/>
      <c r="AE48" s="2129"/>
      <c r="AF48" s="2129"/>
      <c r="AG48" s="2129"/>
      <c r="AH48" s="2129"/>
      <c r="AI48" s="2129"/>
      <c r="AJ48" s="2129"/>
      <c r="AK48" s="2129"/>
      <c r="AL48" s="2129"/>
      <c r="AM48" s="2129"/>
      <c r="AN48" s="2129"/>
      <c r="AO48" s="2129"/>
      <c r="AP48" s="2129"/>
      <c r="AQ48" s="2129"/>
      <c r="AR48" s="2129"/>
      <c r="AS48" s="2129"/>
      <c r="AT48" s="2129"/>
      <c r="AU48" s="2129"/>
      <c r="AV48" s="2129"/>
      <c r="AW48" s="2129"/>
      <c r="AX48" s="2129"/>
      <c r="AY48" s="2129"/>
      <c r="AZ48" s="2129"/>
      <c r="BA48" s="2129"/>
      <c r="BB48" s="2129"/>
      <c r="BC48" s="2129"/>
      <c r="BD48" s="2129"/>
      <c r="BE48" s="2129"/>
      <c r="BF48" s="2129"/>
      <c r="BG48" s="2129"/>
      <c r="BH48" s="2129"/>
      <c r="BI48" s="2129"/>
      <c r="BJ48" s="2129"/>
      <c r="BK48" s="2129"/>
      <c r="BL48" s="2129"/>
      <c r="BM48" s="2129"/>
      <c r="BN48" s="2129"/>
      <c r="BO48" s="2129"/>
      <c r="BP48" s="2129"/>
      <c r="BQ48" s="2129"/>
      <c r="BR48" s="2129"/>
      <c r="BS48" s="2129"/>
      <c r="BT48" s="2129"/>
      <c r="BU48" s="2129"/>
      <c r="BV48" s="2129"/>
      <c r="BW48" s="2129"/>
      <c r="BX48" s="2129"/>
      <c r="BY48" s="2129"/>
      <c r="BZ48" s="2129"/>
      <c r="CA48" s="2129"/>
      <c r="CB48" s="2129"/>
      <c r="CC48" s="2129"/>
      <c r="CD48" s="2129"/>
      <c r="CE48" s="2129"/>
      <c r="CF48" s="2129"/>
      <c r="CG48" s="2129"/>
      <c r="CH48" s="2129"/>
      <c r="CI48" s="2129"/>
      <c r="CJ48" s="2129"/>
      <c r="CK48" s="2129"/>
      <c r="CL48" s="2129"/>
      <c r="CM48" s="2129"/>
      <c r="CN48" s="2129"/>
      <c r="CO48" s="2129"/>
      <c r="CP48" s="2129"/>
      <c r="CQ48" s="2129"/>
      <c r="CR48" s="2129"/>
      <c r="CS48" s="2129"/>
      <c r="CT48" s="2129"/>
      <c r="CU48" s="2129"/>
      <c r="CV48" s="2129"/>
      <c r="CW48" s="2129"/>
      <c r="CX48" s="2129"/>
      <c r="CY48" s="2129"/>
      <c r="CZ48" s="2129"/>
      <c r="DA48" s="2129"/>
      <c r="DB48" s="2129"/>
      <c r="DC48" s="2129"/>
      <c r="DD48" s="2129"/>
      <c r="DE48" s="2129"/>
      <c r="DF48" s="2129"/>
      <c r="DG48" s="2129"/>
      <c r="DH48" s="2129"/>
      <c r="DI48" s="2129"/>
      <c r="DJ48" s="2129"/>
      <c r="DK48" s="2129"/>
      <c r="DL48" s="2129"/>
      <c r="DM48" s="2129"/>
      <c r="DN48" s="2129"/>
      <c r="DO48" s="2129"/>
      <c r="DP48" s="2129"/>
      <c r="DQ48" s="2129"/>
      <c r="DR48" s="2129"/>
      <c r="DS48" s="2129"/>
      <c r="DT48" s="2129"/>
      <c r="DU48" s="2129"/>
      <c r="DV48" s="2129"/>
      <c r="DW48" s="2129"/>
    </row>
    <row r="49" spans="1:127" s="1916" customFormat="1" ht="64.5" customHeight="1">
      <c r="A49" s="2192">
        <v>19</v>
      </c>
      <c r="B49" s="2101" t="str">
        <f t="shared" si="1"/>
        <v>2400001009</v>
      </c>
      <c r="C49" s="1921" t="s">
        <v>7256</v>
      </c>
      <c r="D49" s="2193">
        <v>11200</v>
      </c>
      <c r="E49" s="1921" t="s">
        <v>7257</v>
      </c>
      <c r="F49" s="1921" t="s">
        <v>3421</v>
      </c>
      <c r="G49" s="1921" t="s">
        <v>7258</v>
      </c>
      <c r="H49" s="1947" t="s">
        <v>1599</v>
      </c>
      <c r="I49" s="1921" t="s">
        <v>19</v>
      </c>
      <c r="J49" s="1921" t="s">
        <v>286</v>
      </c>
      <c r="K49" s="2194" t="s">
        <v>7259</v>
      </c>
      <c r="L49" s="2195">
        <f>D49</f>
        <v>11200</v>
      </c>
      <c r="M49" s="2196" t="s">
        <v>6705</v>
      </c>
      <c r="N49" s="1909"/>
      <c r="O49" s="1909"/>
      <c r="P49" s="2150"/>
      <c r="Q49" s="2150"/>
      <c r="R49" s="2150"/>
      <c r="S49" s="2150"/>
      <c r="T49" s="2150"/>
      <c r="U49" s="2150"/>
      <c r="V49" s="2150"/>
      <c r="W49" s="2150"/>
      <c r="X49" s="2150"/>
      <c r="Y49" s="2150"/>
      <c r="Z49" s="2150"/>
      <c r="AA49" s="2150"/>
      <c r="AB49" s="2150"/>
      <c r="AC49" s="2150"/>
      <c r="AD49" s="2150"/>
      <c r="AE49" s="2150"/>
      <c r="AF49" s="2150"/>
      <c r="AG49" s="2150"/>
      <c r="AH49" s="2150"/>
      <c r="AI49" s="2150"/>
      <c r="AJ49" s="2150"/>
      <c r="AK49" s="2150"/>
      <c r="AL49" s="2150"/>
      <c r="AM49" s="2150"/>
      <c r="AN49" s="2150"/>
      <c r="AO49" s="2150"/>
      <c r="AP49" s="2150"/>
      <c r="AQ49" s="2150"/>
      <c r="AR49" s="2150"/>
      <c r="AS49" s="2150"/>
      <c r="AT49" s="2150"/>
      <c r="AU49" s="2150"/>
      <c r="AV49" s="2150"/>
      <c r="AW49" s="2150"/>
      <c r="AX49" s="2150"/>
      <c r="AY49" s="2150"/>
      <c r="AZ49" s="2150"/>
      <c r="BA49" s="2150"/>
      <c r="BB49" s="2150"/>
      <c r="BC49" s="2150"/>
      <c r="BD49" s="2150"/>
      <c r="BE49" s="2150"/>
      <c r="BF49" s="2150"/>
      <c r="BG49" s="2150"/>
      <c r="BH49" s="2150"/>
      <c r="BI49" s="2150"/>
      <c r="BJ49" s="2150"/>
      <c r="BK49" s="2150"/>
      <c r="BL49" s="2150"/>
      <c r="BM49" s="2150"/>
      <c r="BN49" s="2150"/>
      <c r="BO49" s="2150"/>
      <c r="BP49" s="2150"/>
      <c r="BQ49" s="2150"/>
      <c r="BR49" s="2150"/>
      <c r="BS49" s="2150"/>
      <c r="BT49" s="2150"/>
      <c r="BU49" s="2150"/>
      <c r="BV49" s="2150"/>
      <c r="BW49" s="2150"/>
      <c r="BX49" s="2150"/>
      <c r="BY49" s="2150"/>
      <c r="BZ49" s="2150"/>
      <c r="CA49" s="2150"/>
      <c r="CB49" s="2150"/>
      <c r="CC49" s="2150"/>
      <c r="CD49" s="2150"/>
      <c r="CE49" s="2150"/>
      <c r="CF49" s="2150"/>
      <c r="CG49" s="2150"/>
      <c r="CH49" s="2150"/>
      <c r="CI49" s="2150"/>
      <c r="CJ49" s="2150"/>
      <c r="CK49" s="2150"/>
      <c r="CL49" s="2150"/>
      <c r="CM49" s="2150"/>
      <c r="CN49" s="2150"/>
      <c r="CO49" s="2150"/>
      <c r="CP49" s="2150"/>
      <c r="CQ49" s="2150"/>
      <c r="CR49" s="2150"/>
      <c r="CS49" s="2150"/>
      <c r="CT49" s="2150"/>
      <c r="CU49" s="2150"/>
      <c r="CV49" s="2150"/>
      <c r="CW49" s="2150"/>
      <c r="CX49" s="2150"/>
      <c r="CY49" s="2150"/>
      <c r="CZ49" s="2150"/>
      <c r="DA49" s="2150"/>
      <c r="DB49" s="2150"/>
      <c r="DC49" s="2150"/>
      <c r="DD49" s="2150"/>
      <c r="DE49" s="2150"/>
      <c r="DF49" s="2150"/>
      <c r="DG49" s="2150"/>
      <c r="DH49" s="2150"/>
      <c r="DI49" s="2150"/>
      <c r="DJ49" s="2150"/>
      <c r="DK49" s="2150"/>
      <c r="DL49" s="2150"/>
      <c r="DM49" s="2150"/>
      <c r="DN49" s="2150"/>
      <c r="DO49" s="2150"/>
      <c r="DP49" s="2150"/>
      <c r="DQ49" s="2150"/>
      <c r="DR49" s="2150"/>
      <c r="DS49" s="2150"/>
      <c r="DT49" s="2150"/>
      <c r="DU49" s="2150"/>
      <c r="DV49" s="2150"/>
      <c r="DW49" s="2150"/>
    </row>
    <row r="50" spans="1:127" s="2033" customFormat="1" ht="64.5" customHeight="1">
      <c r="A50" s="3792">
        <v>20</v>
      </c>
      <c r="B50" s="2101" t="str">
        <f t="shared" si="1"/>
        <v>2000002609</v>
      </c>
      <c r="C50" s="2118" t="s">
        <v>3109</v>
      </c>
      <c r="D50" s="2178">
        <v>18500</v>
      </c>
      <c r="E50" s="2118" t="s">
        <v>7260</v>
      </c>
      <c r="F50" s="2118" t="s">
        <v>3401</v>
      </c>
      <c r="G50" s="2118" t="s">
        <v>7261</v>
      </c>
      <c r="H50" s="2118" t="s">
        <v>353</v>
      </c>
      <c r="I50" s="2118" t="s">
        <v>19</v>
      </c>
      <c r="J50" s="2118" t="s">
        <v>63</v>
      </c>
      <c r="K50" s="2402" t="s">
        <v>7262</v>
      </c>
      <c r="L50" s="2199">
        <v>7450</v>
      </c>
      <c r="M50" s="2160" t="s">
        <v>6705</v>
      </c>
      <c r="N50" s="2117" t="s">
        <v>7263</v>
      </c>
      <c r="O50" s="2117"/>
      <c r="P50" s="2122"/>
      <c r="Q50" s="2122"/>
      <c r="R50" s="2122"/>
      <c r="S50" s="2122"/>
      <c r="T50" s="2122"/>
      <c r="U50" s="2122"/>
      <c r="V50" s="2122"/>
      <c r="W50" s="2122"/>
      <c r="X50" s="2122"/>
      <c r="Y50" s="2122"/>
      <c r="Z50" s="2122"/>
      <c r="AA50" s="2122"/>
      <c r="AB50" s="2122"/>
      <c r="AC50" s="2122"/>
      <c r="AD50" s="2122"/>
      <c r="AE50" s="2122"/>
      <c r="AF50" s="2122"/>
      <c r="AG50" s="2122"/>
      <c r="AH50" s="2122"/>
      <c r="AI50" s="2122"/>
      <c r="AJ50" s="2122"/>
      <c r="AK50" s="2122"/>
      <c r="AL50" s="2122"/>
      <c r="AM50" s="2122"/>
      <c r="AN50" s="2122"/>
      <c r="AO50" s="2122"/>
      <c r="AP50" s="2122"/>
      <c r="AQ50" s="2122"/>
      <c r="AR50" s="2122"/>
      <c r="AS50" s="2122"/>
      <c r="AT50" s="2122"/>
      <c r="AU50" s="2122"/>
      <c r="AV50" s="2122"/>
      <c r="AW50" s="2122"/>
      <c r="AX50" s="2122"/>
      <c r="AY50" s="2122"/>
      <c r="AZ50" s="2122"/>
      <c r="BA50" s="2122"/>
      <c r="BB50" s="2122"/>
      <c r="BC50" s="2122"/>
      <c r="BD50" s="2122"/>
      <c r="BE50" s="2122"/>
      <c r="BF50" s="2122"/>
      <c r="BG50" s="2122"/>
      <c r="BH50" s="2122"/>
      <c r="BI50" s="2122"/>
      <c r="BJ50" s="2122"/>
      <c r="BK50" s="2122"/>
      <c r="BL50" s="2122"/>
      <c r="BM50" s="2122"/>
      <c r="BN50" s="2122"/>
      <c r="BO50" s="2122"/>
      <c r="BP50" s="2122"/>
      <c r="BQ50" s="2122"/>
      <c r="BR50" s="2122"/>
      <c r="BS50" s="2122"/>
      <c r="BT50" s="2122"/>
      <c r="BU50" s="2122"/>
      <c r="BV50" s="2122"/>
      <c r="BW50" s="2122"/>
      <c r="BX50" s="2122"/>
      <c r="BY50" s="2122"/>
      <c r="BZ50" s="2122"/>
      <c r="CA50" s="2122"/>
      <c r="CB50" s="2122"/>
      <c r="CC50" s="2122"/>
      <c r="CD50" s="2122"/>
      <c r="CE50" s="2122"/>
      <c r="CF50" s="2122"/>
      <c r="CG50" s="2122"/>
      <c r="CH50" s="2122"/>
      <c r="CI50" s="2122"/>
      <c r="CJ50" s="2122"/>
      <c r="CK50" s="2122"/>
      <c r="CL50" s="2122"/>
      <c r="CM50" s="2122"/>
      <c r="CN50" s="2122"/>
      <c r="CO50" s="2122"/>
      <c r="CP50" s="2122"/>
      <c r="CQ50" s="2122"/>
      <c r="CR50" s="2122"/>
      <c r="CS50" s="2122"/>
      <c r="CT50" s="2122"/>
      <c r="CU50" s="2122"/>
      <c r="CV50" s="2122"/>
      <c r="CW50" s="2122"/>
      <c r="CX50" s="2122"/>
      <c r="CY50" s="2122"/>
      <c r="CZ50" s="2122"/>
      <c r="DA50" s="2122"/>
      <c r="DB50" s="2122"/>
      <c r="DC50" s="2122"/>
      <c r="DD50" s="2122"/>
      <c r="DE50" s="2122"/>
      <c r="DF50" s="2122"/>
      <c r="DG50" s="2122"/>
      <c r="DH50" s="2122"/>
      <c r="DI50" s="2122"/>
      <c r="DJ50" s="2122"/>
      <c r="DK50" s="2122"/>
      <c r="DL50" s="2122"/>
      <c r="DM50" s="2122"/>
      <c r="DN50" s="2122"/>
      <c r="DO50" s="2122"/>
      <c r="DP50" s="2122"/>
      <c r="DQ50" s="2122"/>
      <c r="DR50" s="2122"/>
      <c r="DS50" s="2122"/>
      <c r="DT50" s="2122"/>
      <c r="DU50" s="2122"/>
      <c r="DV50" s="2122"/>
      <c r="DW50" s="2122"/>
    </row>
    <row r="51" spans="1:127" s="2033" customFormat="1" ht="90" customHeight="1">
      <c r="A51" s="3793"/>
      <c r="B51" s="2101" t="str">
        <f t="shared" si="1"/>
        <v>2000002611</v>
      </c>
      <c r="C51" s="1495" t="s">
        <v>3109</v>
      </c>
      <c r="D51" s="2201"/>
      <c r="E51" s="1921"/>
      <c r="F51" s="1495" t="s">
        <v>3401</v>
      </c>
      <c r="G51" s="1921"/>
      <c r="H51" s="1921"/>
      <c r="I51" s="1495"/>
      <c r="J51" s="1495" t="s">
        <v>63</v>
      </c>
      <c r="K51" s="1600" t="s">
        <v>7264</v>
      </c>
      <c r="L51" s="2195">
        <v>754</v>
      </c>
      <c r="M51" s="2160" t="s">
        <v>6705</v>
      </c>
      <c r="N51" s="2208" t="s">
        <v>7265</v>
      </c>
      <c r="O51" s="2202"/>
      <c r="P51" s="2150"/>
      <c r="Q51" s="2150"/>
      <c r="R51" s="2150"/>
      <c r="S51" s="2150"/>
      <c r="T51" s="2150"/>
      <c r="U51" s="2150"/>
      <c r="V51" s="2150"/>
      <c r="W51" s="2150"/>
      <c r="X51" s="2150"/>
      <c r="Y51" s="2150"/>
      <c r="Z51" s="2150"/>
      <c r="AA51" s="2150"/>
      <c r="AB51" s="2150"/>
      <c r="AC51" s="2150"/>
      <c r="AD51" s="2150"/>
      <c r="AE51" s="2150"/>
      <c r="AF51" s="2150"/>
      <c r="AG51" s="2150"/>
      <c r="AH51" s="2150"/>
      <c r="AI51" s="2150"/>
      <c r="AJ51" s="2150"/>
      <c r="AK51" s="2150"/>
      <c r="AL51" s="2150"/>
      <c r="AM51" s="2150"/>
      <c r="AN51" s="2150"/>
      <c r="AO51" s="2150"/>
      <c r="AP51" s="2150"/>
      <c r="AQ51" s="2150"/>
      <c r="AR51" s="2150"/>
      <c r="AS51" s="2150"/>
      <c r="AT51" s="2150"/>
      <c r="AU51" s="2150"/>
      <c r="AV51" s="2150"/>
      <c r="AW51" s="2150"/>
      <c r="AX51" s="2150"/>
      <c r="AY51" s="2150"/>
      <c r="AZ51" s="2150"/>
      <c r="BA51" s="2150"/>
      <c r="BB51" s="2150"/>
      <c r="BC51" s="2150"/>
      <c r="BD51" s="2150"/>
      <c r="BE51" s="2150"/>
      <c r="BF51" s="2150"/>
      <c r="BG51" s="2150"/>
      <c r="BH51" s="2150"/>
      <c r="BI51" s="2150"/>
      <c r="BJ51" s="2150"/>
      <c r="BK51" s="2150"/>
      <c r="BL51" s="2150"/>
      <c r="BM51" s="2150"/>
      <c r="BN51" s="2150"/>
      <c r="BO51" s="2150"/>
      <c r="BP51" s="2150"/>
      <c r="BQ51" s="2150"/>
      <c r="BR51" s="2150"/>
      <c r="BS51" s="2150"/>
      <c r="BT51" s="2150"/>
      <c r="BU51" s="2150"/>
      <c r="BV51" s="2150"/>
      <c r="BW51" s="2150"/>
      <c r="BX51" s="2150"/>
      <c r="BY51" s="2150"/>
      <c r="BZ51" s="2150"/>
      <c r="CA51" s="2150"/>
      <c r="CB51" s="2150"/>
      <c r="CC51" s="2150"/>
      <c r="CD51" s="2150"/>
      <c r="CE51" s="2150"/>
      <c r="CF51" s="2150"/>
      <c r="CG51" s="2150"/>
      <c r="CH51" s="2150"/>
      <c r="CI51" s="2150"/>
      <c r="CJ51" s="2150"/>
      <c r="CK51" s="2150"/>
      <c r="CL51" s="2150"/>
      <c r="CM51" s="2150"/>
      <c r="CN51" s="2150"/>
      <c r="CO51" s="2150"/>
      <c r="CP51" s="2150"/>
      <c r="CQ51" s="2150"/>
      <c r="CR51" s="2150"/>
      <c r="CS51" s="2150"/>
      <c r="CT51" s="2150"/>
      <c r="CU51" s="2150"/>
      <c r="CV51" s="2150"/>
      <c r="CW51" s="2150"/>
      <c r="CX51" s="2150"/>
      <c r="CY51" s="2150"/>
      <c r="CZ51" s="2150"/>
      <c r="DA51" s="2150"/>
      <c r="DB51" s="2150"/>
      <c r="DC51" s="2150"/>
      <c r="DD51" s="2150"/>
      <c r="DE51" s="2150"/>
      <c r="DF51" s="2150"/>
      <c r="DG51" s="2150"/>
      <c r="DH51" s="2150"/>
      <c r="DI51" s="2150"/>
      <c r="DJ51" s="2150"/>
      <c r="DK51" s="2150"/>
      <c r="DL51" s="2150"/>
      <c r="DM51" s="2150"/>
      <c r="DN51" s="2150"/>
      <c r="DO51" s="2150"/>
      <c r="DP51" s="2150"/>
      <c r="DQ51" s="2150"/>
      <c r="DR51" s="2150"/>
      <c r="DS51" s="2150"/>
      <c r="DT51" s="2150"/>
      <c r="DU51" s="2150"/>
      <c r="DV51" s="2150"/>
      <c r="DW51" s="2150"/>
    </row>
    <row r="52" spans="1:127" s="2033" customFormat="1" ht="64.5" customHeight="1">
      <c r="A52" s="3793"/>
      <c r="B52" s="2101" t="str">
        <f t="shared" si="1"/>
        <v>2000002644</v>
      </c>
      <c r="C52" s="1495" t="s">
        <v>3109</v>
      </c>
      <c r="D52" s="2201"/>
      <c r="E52" s="1921"/>
      <c r="F52" s="1495" t="s">
        <v>3401</v>
      </c>
      <c r="G52" s="1921"/>
      <c r="H52" s="1921"/>
      <c r="I52" s="1495"/>
      <c r="J52" s="1495" t="s">
        <v>63</v>
      </c>
      <c r="K52" s="1600" t="s">
        <v>7266</v>
      </c>
      <c r="L52" s="2204">
        <v>100</v>
      </c>
      <c r="M52" s="2160" t="s">
        <v>6705</v>
      </c>
      <c r="N52" s="2202"/>
      <c r="O52" s="2202"/>
      <c r="P52" s="2150"/>
      <c r="Q52" s="2150"/>
      <c r="R52" s="2150"/>
      <c r="S52" s="2150"/>
      <c r="T52" s="2150"/>
      <c r="U52" s="2150"/>
      <c r="V52" s="2150"/>
      <c r="W52" s="2150"/>
      <c r="X52" s="2150"/>
      <c r="Y52" s="2150"/>
      <c r="Z52" s="2150"/>
      <c r="AA52" s="2150"/>
      <c r="AB52" s="2150"/>
      <c r="AC52" s="2150"/>
      <c r="AD52" s="2150"/>
      <c r="AE52" s="2150"/>
      <c r="AF52" s="2150"/>
      <c r="AG52" s="2150"/>
      <c r="AH52" s="2150"/>
      <c r="AI52" s="2150"/>
      <c r="AJ52" s="2150"/>
      <c r="AK52" s="2150"/>
      <c r="AL52" s="2150"/>
      <c r="AM52" s="2150"/>
      <c r="AN52" s="2150"/>
      <c r="AO52" s="2150"/>
      <c r="AP52" s="2150"/>
      <c r="AQ52" s="2150"/>
      <c r="AR52" s="2150"/>
      <c r="AS52" s="2150"/>
      <c r="AT52" s="2150"/>
      <c r="AU52" s="2150"/>
      <c r="AV52" s="2150"/>
      <c r="AW52" s="2150"/>
      <c r="AX52" s="2150"/>
      <c r="AY52" s="2150"/>
      <c r="AZ52" s="2150"/>
      <c r="BA52" s="2150"/>
      <c r="BB52" s="2150"/>
      <c r="BC52" s="2150"/>
      <c r="BD52" s="2150"/>
      <c r="BE52" s="2150"/>
      <c r="BF52" s="2150"/>
      <c r="BG52" s="2150"/>
      <c r="BH52" s="2150"/>
      <c r="BI52" s="2150"/>
      <c r="BJ52" s="2150"/>
      <c r="BK52" s="2150"/>
      <c r="BL52" s="2150"/>
      <c r="BM52" s="2150"/>
      <c r="BN52" s="2150"/>
      <c r="BO52" s="2150"/>
      <c r="BP52" s="2150"/>
      <c r="BQ52" s="2150"/>
      <c r="BR52" s="2150"/>
      <c r="BS52" s="2150"/>
      <c r="BT52" s="2150"/>
      <c r="BU52" s="2150"/>
      <c r="BV52" s="2150"/>
      <c r="BW52" s="2150"/>
      <c r="BX52" s="2150"/>
      <c r="BY52" s="2150"/>
      <c r="BZ52" s="2150"/>
      <c r="CA52" s="2150"/>
      <c r="CB52" s="2150"/>
      <c r="CC52" s="2150"/>
      <c r="CD52" s="2150"/>
      <c r="CE52" s="2150"/>
      <c r="CF52" s="2150"/>
      <c r="CG52" s="2150"/>
      <c r="CH52" s="2150"/>
      <c r="CI52" s="2150"/>
      <c r="CJ52" s="2150"/>
      <c r="CK52" s="2150"/>
      <c r="CL52" s="2150"/>
      <c r="CM52" s="2150"/>
      <c r="CN52" s="2150"/>
      <c r="CO52" s="2150"/>
      <c r="CP52" s="2150"/>
      <c r="CQ52" s="2150"/>
      <c r="CR52" s="2150"/>
      <c r="CS52" s="2150"/>
      <c r="CT52" s="2150"/>
      <c r="CU52" s="2150"/>
      <c r="CV52" s="2150"/>
      <c r="CW52" s="2150"/>
      <c r="CX52" s="2150"/>
      <c r="CY52" s="2150"/>
      <c r="CZ52" s="2150"/>
      <c r="DA52" s="2150"/>
      <c r="DB52" s="2150"/>
      <c r="DC52" s="2150"/>
      <c r="DD52" s="2150"/>
      <c r="DE52" s="2150"/>
      <c r="DF52" s="2150"/>
      <c r="DG52" s="2150"/>
      <c r="DH52" s="2150"/>
      <c r="DI52" s="2150"/>
      <c r="DJ52" s="2150"/>
      <c r="DK52" s="2150"/>
      <c r="DL52" s="2150"/>
      <c r="DM52" s="2150"/>
      <c r="DN52" s="2150"/>
      <c r="DO52" s="2150"/>
      <c r="DP52" s="2150"/>
      <c r="DQ52" s="2150"/>
      <c r="DR52" s="2150"/>
      <c r="DS52" s="2150"/>
      <c r="DT52" s="2150"/>
      <c r="DU52" s="2150"/>
      <c r="DV52" s="2150"/>
      <c r="DW52" s="2150"/>
    </row>
    <row r="53" spans="1:127" s="2033" customFormat="1" ht="64.5" customHeight="1">
      <c r="A53" s="3793"/>
      <c r="B53" s="2101" t="str">
        <f t="shared" si="1"/>
        <v>2000002647</v>
      </c>
      <c r="C53" s="1495" t="s">
        <v>3109</v>
      </c>
      <c r="D53" s="2201"/>
      <c r="E53" s="1921"/>
      <c r="F53" s="1495" t="s">
        <v>3401</v>
      </c>
      <c r="G53" s="1921"/>
      <c r="H53" s="1921"/>
      <c r="I53" s="1495"/>
      <c r="J53" s="1495" t="s">
        <v>123</v>
      </c>
      <c r="K53" s="1600" t="s">
        <v>7267</v>
      </c>
      <c r="L53" s="2204">
        <v>2500</v>
      </c>
      <c r="M53" s="2160" t="s">
        <v>6705</v>
      </c>
      <c r="N53" s="2202" t="s">
        <v>7268</v>
      </c>
      <c r="O53" s="2202"/>
      <c r="P53" s="2150"/>
      <c r="Q53" s="2150"/>
      <c r="R53" s="2150"/>
      <c r="S53" s="2150"/>
      <c r="T53" s="2150"/>
      <c r="U53" s="2150"/>
      <c r="V53" s="2150"/>
      <c r="W53" s="2150"/>
      <c r="X53" s="2150"/>
      <c r="Y53" s="2150"/>
      <c r="Z53" s="2150"/>
      <c r="AA53" s="2150"/>
      <c r="AB53" s="2150"/>
      <c r="AC53" s="2150"/>
      <c r="AD53" s="2150"/>
      <c r="AE53" s="2150"/>
      <c r="AF53" s="2150"/>
      <c r="AG53" s="2150"/>
      <c r="AH53" s="2150"/>
      <c r="AI53" s="2150"/>
      <c r="AJ53" s="2150"/>
      <c r="AK53" s="2150"/>
      <c r="AL53" s="2150"/>
      <c r="AM53" s="2150"/>
      <c r="AN53" s="2150"/>
      <c r="AO53" s="2150"/>
      <c r="AP53" s="2150"/>
      <c r="AQ53" s="2150"/>
      <c r="AR53" s="2150"/>
      <c r="AS53" s="2150"/>
      <c r="AT53" s="2150"/>
      <c r="AU53" s="2150"/>
      <c r="AV53" s="2150"/>
      <c r="AW53" s="2150"/>
      <c r="AX53" s="2150"/>
      <c r="AY53" s="2150"/>
      <c r="AZ53" s="2150"/>
      <c r="BA53" s="2150"/>
      <c r="BB53" s="2150"/>
      <c r="BC53" s="2150"/>
      <c r="BD53" s="2150"/>
      <c r="BE53" s="2150"/>
      <c r="BF53" s="2150"/>
      <c r="BG53" s="2150"/>
      <c r="BH53" s="2150"/>
      <c r="BI53" s="2150"/>
      <c r="BJ53" s="2150"/>
      <c r="BK53" s="2150"/>
      <c r="BL53" s="2150"/>
      <c r="BM53" s="2150"/>
      <c r="BN53" s="2150"/>
      <c r="BO53" s="2150"/>
      <c r="BP53" s="2150"/>
      <c r="BQ53" s="2150"/>
      <c r="BR53" s="2150"/>
      <c r="BS53" s="2150"/>
      <c r="BT53" s="2150"/>
      <c r="BU53" s="2150"/>
      <c r="BV53" s="2150"/>
      <c r="BW53" s="2150"/>
      <c r="BX53" s="2150"/>
      <c r="BY53" s="2150"/>
      <c r="BZ53" s="2150"/>
      <c r="CA53" s="2150"/>
      <c r="CB53" s="2150"/>
      <c r="CC53" s="2150"/>
      <c r="CD53" s="2150"/>
      <c r="CE53" s="2150"/>
      <c r="CF53" s="2150"/>
      <c r="CG53" s="2150"/>
      <c r="CH53" s="2150"/>
      <c r="CI53" s="2150"/>
      <c r="CJ53" s="2150"/>
      <c r="CK53" s="2150"/>
      <c r="CL53" s="2150"/>
      <c r="CM53" s="2150"/>
      <c r="CN53" s="2150"/>
      <c r="CO53" s="2150"/>
      <c r="CP53" s="2150"/>
      <c r="CQ53" s="2150"/>
      <c r="CR53" s="2150"/>
      <c r="CS53" s="2150"/>
      <c r="CT53" s="2150"/>
      <c r="CU53" s="2150"/>
      <c r="CV53" s="2150"/>
      <c r="CW53" s="2150"/>
      <c r="CX53" s="2150"/>
      <c r="CY53" s="2150"/>
      <c r="CZ53" s="2150"/>
      <c r="DA53" s="2150"/>
      <c r="DB53" s="2150"/>
      <c r="DC53" s="2150"/>
      <c r="DD53" s="2150"/>
      <c r="DE53" s="2150"/>
      <c r="DF53" s="2150"/>
      <c r="DG53" s="2150"/>
      <c r="DH53" s="2150"/>
      <c r="DI53" s="2150"/>
      <c r="DJ53" s="2150"/>
      <c r="DK53" s="2150"/>
      <c r="DL53" s="2150"/>
      <c r="DM53" s="2150"/>
      <c r="DN53" s="2150"/>
      <c r="DO53" s="2150"/>
      <c r="DP53" s="2150"/>
      <c r="DQ53" s="2150"/>
      <c r="DR53" s="2150"/>
      <c r="DS53" s="2150"/>
      <c r="DT53" s="2150"/>
      <c r="DU53" s="2150"/>
      <c r="DV53" s="2150"/>
      <c r="DW53" s="2150"/>
    </row>
    <row r="54" spans="1:127" s="2033" customFormat="1" ht="64.5" customHeight="1">
      <c r="A54" s="3793"/>
      <c r="B54" s="2101" t="str">
        <f t="shared" si="1"/>
        <v>2000002648</v>
      </c>
      <c r="C54" s="1495" t="s">
        <v>3109</v>
      </c>
      <c r="D54" s="2201"/>
      <c r="E54" s="1921"/>
      <c r="F54" s="1495" t="s">
        <v>3401</v>
      </c>
      <c r="G54" s="1921"/>
      <c r="H54" s="1921"/>
      <c r="I54" s="1495"/>
      <c r="J54" s="1495" t="s">
        <v>123</v>
      </c>
      <c r="K54" s="1600" t="s">
        <v>7269</v>
      </c>
      <c r="L54" s="2204">
        <v>2500</v>
      </c>
      <c r="M54" s="2160" t="s">
        <v>6705</v>
      </c>
      <c r="N54" s="2202" t="s">
        <v>7268</v>
      </c>
      <c r="O54" s="2202"/>
      <c r="P54" s="2150"/>
      <c r="Q54" s="2150"/>
      <c r="R54" s="2150"/>
      <c r="S54" s="2150"/>
      <c r="T54" s="2150"/>
      <c r="U54" s="2150"/>
      <c r="V54" s="2150"/>
      <c r="W54" s="2150"/>
      <c r="X54" s="2150"/>
      <c r="Y54" s="2150"/>
      <c r="Z54" s="2150"/>
      <c r="AA54" s="2150"/>
      <c r="AB54" s="2150"/>
      <c r="AC54" s="2150"/>
      <c r="AD54" s="2150"/>
      <c r="AE54" s="2150"/>
      <c r="AF54" s="2150"/>
      <c r="AG54" s="2150"/>
      <c r="AH54" s="2150"/>
      <c r="AI54" s="2150"/>
      <c r="AJ54" s="2150"/>
      <c r="AK54" s="2150"/>
      <c r="AL54" s="2150"/>
      <c r="AM54" s="2150"/>
      <c r="AN54" s="2150"/>
      <c r="AO54" s="2150"/>
      <c r="AP54" s="2150"/>
      <c r="AQ54" s="2150"/>
      <c r="AR54" s="2150"/>
      <c r="AS54" s="2150"/>
      <c r="AT54" s="2150"/>
      <c r="AU54" s="2150"/>
      <c r="AV54" s="2150"/>
      <c r="AW54" s="2150"/>
      <c r="AX54" s="2150"/>
      <c r="AY54" s="2150"/>
      <c r="AZ54" s="2150"/>
      <c r="BA54" s="2150"/>
      <c r="BB54" s="2150"/>
      <c r="BC54" s="2150"/>
      <c r="BD54" s="2150"/>
      <c r="BE54" s="2150"/>
      <c r="BF54" s="2150"/>
      <c r="BG54" s="2150"/>
      <c r="BH54" s="2150"/>
      <c r="BI54" s="2150"/>
      <c r="BJ54" s="2150"/>
      <c r="BK54" s="2150"/>
      <c r="BL54" s="2150"/>
      <c r="BM54" s="2150"/>
      <c r="BN54" s="2150"/>
      <c r="BO54" s="2150"/>
      <c r="BP54" s="2150"/>
      <c r="BQ54" s="2150"/>
      <c r="BR54" s="2150"/>
      <c r="BS54" s="2150"/>
      <c r="BT54" s="2150"/>
      <c r="BU54" s="2150"/>
      <c r="BV54" s="2150"/>
      <c r="BW54" s="2150"/>
      <c r="BX54" s="2150"/>
      <c r="BY54" s="2150"/>
      <c r="BZ54" s="2150"/>
      <c r="CA54" s="2150"/>
      <c r="CB54" s="2150"/>
      <c r="CC54" s="2150"/>
      <c r="CD54" s="2150"/>
      <c r="CE54" s="2150"/>
      <c r="CF54" s="2150"/>
      <c r="CG54" s="2150"/>
      <c r="CH54" s="2150"/>
      <c r="CI54" s="2150"/>
      <c r="CJ54" s="2150"/>
      <c r="CK54" s="2150"/>
      <c r="CL54" s="2150"/>
      <c r="CM54" s="2150"/>
      <c r="CN54" s="2150"/>
      <c r="CO54" s="2150"/>
      <c r="CP54" s="2150"/>
      <c r="CQ54" s="2150"/>
      <c r="CR54" s="2150"/>
      <c r="CS54" s="2150"/>
      <c r="CT54" s="2150"/>
      <c r="CU54" s="2150"/>
      <c r="CV54" s="2150"/>
      <c r="CW54" s="2150"/>
      <c r="CX54" s="2150"/>
      <c r="CY54" s="2150"/>
      <c r="CZ54" s="2150"/>
      <c r="DA54" s="2150"/>
      <c r="DB54" s="2150"/>
      <c r="DC54" s="2150"/>
      <c r="DD54" s="2150"/>
      <c r="DE54" s="2150"/>
      <c r="DF54" s="2150"/>
      <c r="DG54" s="2150"/>
      <c r="DH54" s="2150"/>
      <c r="DI54" s="2150"/>
      <c r="DJ54" s="2150"/>
      <c r="DK54" s="2150"/>
      <c r="DL54" s="2150"/>
      <c r="DM54" s="2150"/>
      <c r="DN54" s="2150"/>
      <c r="DO54" s="2150"/>
      <c r="DP54" s="2150"/>
      <c r="DQ54" s="2150"/>
      <c r="DR54" s="2150"/>
      <c r="DS54" s="2150"/>
      <c r="DT54" s="2150"/>
      <c r="DU54" s="2150"/>
      <c r="DV54" s="2150"/>
      <c r="DW54" s="2150"/>
    </row>
    <row r="55" spans="1:127" s="2033" customFormat="1" ht="64.5" customHeight="1">
      <c r="A55" s="3793"/>
      <c r="B55" s="2101" t="str">
        <f t="shared" si="1"/>
        <v>2000002649</v>
      </c>
      <c r="C55" s="1495" t="s">
        <v>3109</v>
      </c>
      <c r="D55" s="2201"/>
      <c r="E55" s="1921"/>
      <c r="F55" s="1495" t="s">
        <v>3401</v>
      </c>
      <c r="G55" s="1921"/>
      <c r="H55" s="1921"/>
      <c r="I55" s="1495"/>
      <c r="J55" s="1495" t="s">
        <v>123</v>
      </c>
      <c r="K55" s="1600" t="s">
        <v>7270</v>
      </c>
      <c r="L55" s="2204">
        <v>2000</v>
      </c>
      <c r="M55" s="2160" t="s">
        <v>6705</v>
      </c>
      <c r="N55" s="2202" t="s">
        <v>7268</v>
      </c>
      <c r="O55" s="2202"/>
      <c r="P55" s="2150"/>
      <c r="Q55" s="2150"/>
      <c r="R55" s="2150"/>
      <c r="S55" s="2150"/>
      <c r="T55" s="2150"/>
      <c r="U55" s="2150"/>
      <c r="V55" s="2150"/>
      <c r="W55" s="2150"/>
      <c r="X55" s="2150"/>
      <c r="Y55" s="2150"/>
      <c r="Z55" s="2150"/>
      <c r="AA55" s="2150"/>
      <c r="AB55" s="2150"/>
      <c r="AC55" s="2150"/>
      <c r="AD55" s="2150"/>
      <c r="AE55" s="2150"/>
      <c r="AF55" s="2150"/>
      <c r="AG55" s="2150"/>
      <c r="AH55" s="2150"/>
      <c r="AI55" s="2150"/>
      <c r="AJ55" s="2150"/>
      <c r="AK55" s="2150"/>
      <c r="AL55" s="2150"/>
      <c r="AM55" s="2150"/>
      <c r="AN55" s="2150"/>
      <c r="AO55" s="2150"/>
      <c r="AP55" s="2150"/>
      <c r="AQ55" s="2150"/>
      <c r="AR55" s="2150"/>
      <c r="AS55" s="2150"/>
      <c r="AT55" s="2150"/>
      <c r="AU55" s="2150"/>
      <c r="AV55" s="2150"/>
      <c r="AW55" s="2150"/>
      <c r="AX55" s="2150"/>
      <c r="AY55" s="2150"/>
      <c r="AZ55" s="2150"/>
      <c r="BA55" s="2150"/>
      <c r="BB55" s="2150"/>
      <c r="BC55" s="2150"/>
      <c r="BD55" s="2150"/>
      <c r="BE55" s="2150"/>
      <c r="BF55" s="2150"/>
      <c r="BG55" s="2150"/>
      <c r="BH55" s="2150"/>
      <c r="BI55" s="2150"/>
      <c r="BJ55" s="2150"/>
      <c r="BK55" s="2150"/>
      <c r="BL55" s="2150"/>
      <c r="BM55" s="2150"/>
      <c r="BN55" s="2150"/>
      <c r="BO55" s="2150"/>
      <c r="BP55" s="2150"/>
      <c r="BQ55" s="2150"/>
      <c r="BR55" s="2150"/>
      <c r="BS55" s="2150"/>
      <c r="BT55" s="2150"/>
      <c r="BU55" s="2150"/>
      <c r="BV55" s="2150"/>
      <c r="BW55" s="2150"/>
      <c r="BX55" s="2150"/>
      <c r="BY55" s="2150"/>
      <c r="BZ55" s="2150"/>
      <c r="CA55" s="2150"/>
      <c r="CB55" s="2150"/>
      <c r="CC55" s="2150"/>
      <c r="CD55" s="2150"/>
      <c r="CE55" s="2150"/>
      <c r="CF55" s="2150"/>
      <c r="CG55" s="2150"/>
      <c r="CH55" s="2150"/>
      <c r="CI55" s="2150"/>
      <c r="CJ55" s="2150"/>
      <c r="CK55" s="2150"/>
      <c r="CL55" s="2150"/>
      <c r="CM55" s="2150"/>
      <c r="CN55" s="2150"/>
      <c r="CO55" s="2150"/>
      <c r="CP55" s="2150"/>
      <c r="CQ55" s="2150"/>
      <c r="CR55" s="2150"/>
      <c r="CS55" s="2150"/>
      <c r="CT55" s="2150"/>
      <c r="CU55" s="2150"/>
      <c r="CV55" s="2150"/>
      <c r="CW55" s="2150"/>
      <c r="CX55" s="2150"/>
      <c r="CY55" s="2150"/>
      <c r="CZ55" s="2150"/>
      <c r="DA55" s="2150"/>
      <c r="DB55" s="2150"/>
      <c r="DC55" s="2150"/>
      <c r="DD55" s="2150"/>
      <c r="DE55" s="2150"/>
      <c r="DF55" s="2150"/>
      <c r="DG55" s="2150"/>
      <c r="DH55" s="2150"/>
      <c r="DI55" s="2150"/>
      <c r="DJ55" s="2150"/>
      <c r="DK55" s="2150"/>
      <c r="DL55" s="2150"/>
      <c r="DM55" s="2150"/>
      <c r="DN55" s="2150"/>
      <c r="DO55" s="2150"/>
      <c r="DP55" s="2150"/>
      <c r="DQ55" s="2150"/>
      <c r="DR55" s="2150"/>
      <c r="DS55" s="2150"/>
      <c r="DT55" s="2150"/>
      <c r="DU55" s="2150"/>
      <c r="DV55" s="2150"/>
      <c r="DW55" s="2150"/>
    </row>
    <row r="56" spans="1:127" s="2033" customFormat="1" ht="64.5" customHeight="1">
      <c r="A56" s="3794"/>
      <c r="B56" s="2101" t="str">
        <f t="shared" si="1"/>
        <v>2000002650</v>
      </c>
      <c r="C56" s="1495" t="s">
        <v>3109</v>
      </c>
      <c r="D56" s="2203"/>
      <c r="E56" s="1495"/>
      <c r="F56" s="1495" t="s">
        <v>3401</v>
      </c>
      <c r="G56" s="1495"/>
      <c r="H56" s="1495"/>
      <c r="I56" s="1495"/>
      <c r="J56" s="1495" t="s">
        <v>123</v>
      </c>
      <c r="K56" s="1600" t="s">
        <v>7271</v>
      </c>
      <c r="L56" s="2204">
        <v>3000</v>
      </c>
      <c r="M56" s="2160" t="s">
        <v>6705</v>
      </c>
      <c r="N56" s="2202" t="s">
        <v>7268</v>
      </c>
      <c r="O56" s="2208"/>
      <c r="P56" s="1548"/>
      <c r="Q56" s="1548"/>
      <c r="R56" s="1548"/>
      <c r="S56" s="1548"/>
      <c r="T56" s="1548"/>
      <c r="U56" s="1548"/>
      <c r="V56" s="1548"/>
      <c r="W56" s="1548"/>
      <c r="X56" s="1548"/>
      <c r="Y56" s="1548"/>
      <c r="Z56" s="1548"/>
      <c r="AA56" s="1548"/>
      <c r="AB56" s="1548"/>
      <c r="AC56" s="1548"/>
      <c r="AD56" s="1548"/>
      <c r="AE56" s="1548"/>
      <c r="AF56" s="1548"/>
      <c r="AG56" s="1548"/>
      <c r="AH56" s="1548"/>
      <c r="AI56" s="1548"/>
      <c r="AJ56" s="1548"/>
      <c r="AK56" s="1548"/>
      <c r="AL56" s="1548"/>
      <c r="AM56" s="1548"/>
      <c r="AN56" s="1548"/>
      <c r="AO56" s="1548"/>
      <c r="AP56" s="1548"/>
      <c r="AQ56" s="1548"/>
      <c r="AR56" s="1548"/>
      <c r="AS56" s="1548"/>
      <c r="AT56" s="1548"/>
      <c r="AU56" s="1548"/>
      <c r="AV56" s="1548"/>
      <c r="AW56" s="1548"/>
      <c r="AX56" s="1548"/>
      <c r="AY56" s="1548"/>
      <c r="AZ56" s="1548"/>
      <c r="BA56" s="1548"/>
      <c r="BB56" s="1548"/>
      <c r="BC56" s="1548"/>
      <c r="BD56" s="1548"/>
      <c r="BE56" s="1548"/>
      <c r="BF56" s="1548"/>
      <c r="BG56" s="1548"/>
      <c r="BH56" s="1548"/>
      <c r="BI56" s="1548"/>
      <c r="BJ56" s="1548"/>
      <c r="BK56" s="1548"/>
      <c r="BL56" s="1548"/>
      <c r="BM56" s="1548"/>
      <c r="BN56" s="1548"/>
      <c r="BO56" s="1548"/>
      <c r="BP56" s="1548"/>
      <c r="BQ56" s="1548"/>
      <c r="BR56" s="1548"/>
      <c r="BS56" s="1548"/>
      <c r="BT56" s="1548"/>
      <c r="BU56" s="1548"/>
      <c r="BV56" s="1548"/>
      <c r="BW56" s="1548"/>
      <c r="BX56" s="1548"/>
      <c r="BY56" s="1548"/>
      <c r="BZ56" s="1548"/>
      <c r="CA56" s="1548"/>
      <c r="CB56" s="1548"/>
      <c r="CC56" s="1548"/>
      <c r="CD56" s="1548"/>
      <c r="CE56" s="1548"/>
      <c r="CF56" s="1548"/>
      <c r="CG56" s="1548"/>
      <c r="CH56" s="1548"/>
      <c r="CI56" s="1548"/>
      <c r="CJ56" s="1548"/>
      <c r="CK56" s="1548"/>
      <c r="CL56" s="1548"/>
      <c r="CM56" s="1548"/>
      <c r="CN56" s="1548"/>
      <c r="CO56" s="1548"/>
      <c r="CP56" s="1548"/>
      <c r="CQ56" s="1548"/>
      <c r="CR56" s="1548"/>
      <c r="CS56" s="1548"/>
      <c r="CT56" s="1548"/>
      <c r="CU56" s="1548"/>
      <c r="CV56" s="1548"/>
      <c r="CW56" s="1548"/>
      <c r="CX56" s="1548"/>
      <c r="CY56" s="1548"/>
      <c r="CZ56" s="1548"/>
      <c r="DA56" s="1548"/>
      <c r="DB56" s="1548"/>
      <c r="DC56" s="1548"/>
      <c r="DD56" s="1548"/>
      <c r="DE56" s="1548"/>
      <c r="DF56" s="1548"/>
      <c r="DG56" s="1548"/>
      <c r="DH56" s="1548"/>
      <c r="DI56" s="1548"/>
      <c r="DJ56" s="1548"/>
      <c r="DK56" s="1548"/>
      <c r="DL56" s="1548"/>
      <c r="DM56" s="1548"/>
      <c r="DN56" s="1548"/>
      <c r="DO56" s="1548"/>
      <c r="DP56" s="1548"/>
      <c r="DQ56" s="1548"/>
      <c r="DR56" s="1548"/>
      <c r="DS56" s="1548"/>
      <c r="DT56" s="1548"/>
      <c r="DU56" s="1548"/>
      <c r="DV56" s="1548"/>
      <c r="DW56" s="1548"/>
    </row>
    <row r="57" spans="1:127" s="2033" customFormat="1" ht="64.5" customHeight="1">
      <c r="A57" s="3773">
        <v>21</v>
      </c>
      <c r="B57" s="2101" t="str">
        <f t="shared" si="1"/>
        <v>2000002660</v>
      </c>
      <c r="C57" s="1921" t="s">
        <v>5335</v>
      </c>
      <c r="D57" s="2201">
        <v>4450</v>
      </c>
      <c r="E57" s="1921" t="s">
        <v>7272</v>
      </c>
      <c r="F57" s="1921" t="s">
        <v>3401</v>
      </c>
      <c r="G57" s="1921" t="s">
        <v>7273</v>
      </c>
      <c r="H57" s="1921"/>
      <c r="I57" s="1921"/>
      <c r="J57" s="1921" t="s">
        <v>123</v>
      </c>
      <c r="K57" s="1845" t="s">
        <v>7274</v>
      </c>
      <c r="L57" s="2195">
        <v>2600</v>
      </c>
      <c r="M57" s="2160" t="s">
        <v>6705</v>
      </c>
      <c r="N57" s="1748" t="s">
        <v>5615</v>
      </c>
      <c r="O57" s="2202"/>
      <c r="P57" s="2150"/>
      <c r="Q57" s="2150"/>
      <c r="R57" s="2150"/>
      <c r="S57" s="2150"/>
      <c r="T57" s="2150"/>
      <c r="U57" s="2150"/>
      <c r="V57" s="2150"/>
      <c r="W57" s="2150"/>
      <c r="X57" s="2150"/>
      <c r="Y57" s="2150"/>
      <c r="Z57" s="2150"/>
      <c r="AA57" s="2150"/>
      <c r="AB57" s="2150"/>
      <c r="AC57" s="2150"/>
      <c r="AD57" s="2150"/>
      <c r="AE57" s="2150"/>
      <c r="AF57" s="2150"/>
      <c r="AG57" s="2150"/>
      <c r="AH57" s="2150"/>
      <c r="AI57" s="2150"/>
      <c r="AJ57" s="2150"/>
      <c r="AK57" s="2150"/>
      <c r="AL57" s="2150"/>
      <c r="AM57" s="2150"/>
      <c r="AN57" s="2150"/>
      <c r="AO57" s="2150"/>
      <c r="AP57" s="2150"/>
      <c r="AQ57" s="2150"/>
      <c r="AR57" s="2150"/>
      <c r="AS57" s="2150"/>
      <c r="AT57" s="2150"/>
      <c r="AU57" s="2150"/>
      <c r="AV57" s="2150"/>
      <c r="AW57" s="2150"/>
      <c r="AX57" s="2150"/>
      <c r="AY57" s="2150"/>
      <c r="AZ57" s="2150"/>
      <c r="BA57" s="2150"/>
      <c r="BB57" s="2150"/>
      <c r="BC57" s="2150"/>
      <c r="BD57" s="2150"/>
      <c r="BE57" s="2150"/>
      <c r="BF57" s="2150"/>
      <c r="BG57" s="2150"/>
      <c r="BH57" s="2150"/>
      <c r="BI57" s="2150"/>
      <c r="BJ57" s="2150"/>
      <c r="BK57" s="2150"/>
      <c r="BL57" s="2150"/>
      <c r="BM57" s="2150"/>
      <c r="BN57" s="2150"/>
      <c r="BO57" s="2150"/>
      <c r="BP57" s="2150"/>
      <c r="BQ57" s="2150"/>
      <c r="BR57" s="2150"/>
      <c r="BS57" s="2150"/>
      <c r="BT57" s="2150"/>
      <c r="BU57" s="2150"/>
      <c r="BV57" s="2150"/>
      <c r="BW57" s="2150"/>
      <c r="BX57" s="2150"/>
      <c r="BY57" s="2150"/>
      <c r="BZ57" s="2150"/>
      <c r="CA57" s="2150"/>
      <c r="CB57" s="2150"/>
      <c r="CC57" s="2150"/>
      <c r="CD57" s="2150"/>
      <c r="CE57" s="2150"/>
      <c r="CF57" s="2150"/>
      <c r="CG57" s="2150"/>
      <c r="CH57" s="2150"/>
      <c r="CI57" s="2150"/>
      <c r="CJ57" s="2150"/>
      <c r="CK57" s="2150"/>
      <c r="CL57" s="2150"/>
      <c r="CM57" s="2150"/>
      <c r="CN57" s="2150"/>
      <c r="CO57" s="2150"/>
      <c r="CP57" s="2150"/>
      <c r="CQ57" s="2150"/>
      <c r="CR57" s="2150"/>
      <c r="CS57" s="2150"/>
      <c r="CT57" s="2150"/>
      <c r="CU57" s="2150"/>
      <c r="CV57" s="2150"/>
      <c r="CW57" s="2150"/>
      <c r="CX57" s="2150"/>
      <c r="CY57" s="2150"/>
      <c r="CZ57" s="2150"/>
      <c r="DA57" s="2150"/>
      <c r="DB57" s="2150"/>
      <c r="DC57" s="2150"/>
      <c r="DD57" s="2150"/>
      <c r="DE57" s="2150"/>
      <c r="DF57" s="2150"/>
      <c r="DG57" s="2150"/>
      <c r="DH57" s="2150"/>
      <c r="DI57" s="2150"/>
      <c r="DJ57" s="2150"/>
      <c r="DK57" s="2150"/>
      <c r="DL57" s="2150"/>
      <c r="DM57" s="2150"/>
      <c r="DN57" s="2150"/>
      <c r="DO57" s="2150"/>
      <c r="DP57" s="2150"/>
      <c r="DQ57" s="2150"/>
      <c r="DR57" s="2150"/>
      <c r="DS57" s="2150"/>
      <c r="DT57" s="2150"/>
      <c r="DU57" s="2150"/>
      <c r="DV57" s="2150"/>
      <c r="DW57" s="2150"/>
    </row>
    <row r="58" spans="1:127" s="2033" customFormat="1" ht="64.5" customHeight="1">
      <c r="A58" s="3768"/>
      <c r="B58" s="2101" t="str">
        <f t="shared" si="1"/>
        <v>2000002661</v>
      </c>
      <c r="C58" s="1495" t="s">
        <v>5335</v>
      </c>
      <c r="D58" s="2203"/>
      <c r="E58" s="1495" t="s">
        <v>7272</v>
      </c>
      <c r="F58" s="1495" t="s">
        <v>3401</v>
      </c>
      <c r="G58" s="1495"/>
      <c r="H58" s="1495"/>
      <c r="I58" s="1495" t="s">
        <v>19</v>
      </c>
      <c r="J58" s="1495" t="s">
        <v>123</v>
      </c>
      <c r="K58" s="1600" t="s">
        <v>7275</v>
      </c>
      <c r="L58" s="2204">
        <v>1850</v>
      </c>
      <c r="M58" s="2206" t="s">
        <v>6705</v>
      </c>
      <c r="N58" s="1748" t="s">
        <v>5615</v>
      </c>
      <c r="O58" s="2202"/>
      <c r="P58" s="2150"/>
      <c r="Q58" s="2150"/>
      <c r="R58" s="2150"/>
      <c r="S58" s="2150"/>
      <c r="T58" s="2150"/>
      <c r="U58" s="2150"/>
      <c r="V58" s="2150"/>
      <c r="W58" s="2150"/>
      <c r="X58" s="2150"/>
      <c r="Y58" s="2150"/>
      <c r="Z58" s="2150"/>
      <c r="AA58" s="2150"/>
      <c r="AB58" s="2150"/>
      <c r="AC58" s="2150"/>
      <c r="AD58" s="2150"/>
      <c r="AE58" s="2150"/>
      <c r="AF58" s="2150"/>
      <c r="AG58" s="2150"/>
      <c r="AH58" s="2150"/>
      <c r="AI58" s="2150"/>
      <c r="AJ58" s="2150"/>
      <c r="AK58" s="2150"/>
      <c r="AL58" s="2150"/>
      <c r="AM58" s="2150"/>
      <c r="AN58" s="2150"/>
      <c r="AO58" s="2150"/>
      <c r="AP58" s="2150"/>
      <c r="AQ58" s="2150"/>
      <c r="AR58" s="2150"/>
      <c r="AS58" s="2150"/>
      <c r="AT58" s="2150"/>
      <c r="AU58" s="2150"/>
      <c r="AV58" s="2150"/>
      <c r="AW58" s="2150"/>
      <c r="AX58" s="2150"/>
      <c r="AY58" s="2150"/>
      <c r="AZ58" s="2150"/>
      <c r="BA58" s="2150"/>
      <c r="BB58" s="2150"/>
      <c r="BC58" s="2150"/>
      <c r="BD58" s="2150"/>
      <c r="BE58" s="2150"/>
      <c r="BF58" s="2150"/>
      <c r="BG58" s="2150"/>
      <c r="BH58" s="2150"/>
      <c r="BI58" s="2150"/>
      <c r="BJ58" s="2150"/>
      <c r="BK58" s="2150"/>
      <c r="BL58" s="2150"/>
      <c r="BM58" s="2150"/>
      <c r="BN58" s="2150"/>
      <c r="BO58" s="2150"/>
      <c r="BP58" s="2150"/>
      <c r="BQ58" s="2150"/>
      <c r="BR58" s="2150"/>
      <c r="BS58" s="2150"/>
      <c r="BT58" s="2150"/>
      <c r="BU58" s="2150"/>
      <c r="BV58" s="2150"/>
      <c r="BW58" s="2150"/>
      <c r="BX58" s="2150"/>
      <c r="BY58" s="2150"/>
      <c r="BZ58" s="2150"/>
      <c r="CA58" s="2150"/>
      <c r="CB58" s="2150"/>
      <c r="CC58" s="2150"/>
      <c r="CD58" s="2150"/>
      <c r="CE58" s="2150"/>
      <c r="CF58" s="2150"/>
      <c r="CG58" s="2150"/>
      <c r="CH58" s="2150"/>
      <c r="CI58" s="2150"/>
      <c r="CJ58" s="2150"/>
      <c r="CK58" s="2150"/>
      <c r="CL58" s="2150"/>
      <c r="CM58" s="2150"/>
      <c r="CN58" s="2150"/>
      <c r="CO58" s="2150"/>
      <c r="CP58" s="2150"/>
      <c r="CQ58" s="2150"/>
      <c r="CR58" s="2150"/>
      <c r="CS58" s="2150"/>
      <c r="CT58" s="2150"/>
      <c r="CU58" s="2150"/>
      <c r="CV58" s="2150"/>
      <c r="CW58" s="2150"/>
      <c r="CX58" s="2150"/>
      <c r="CY58" s="2150"/>
      <c r="CZ58" s="2150"/>
      <c r="DA58" s="2150"/>
      <c r="DB58" s="2150"/>
      <c r="DC58" s="2150"/>
      <c r="DD58" s="2150"/>
      <c r="DE58" s="2150"/>
      <c r="DF58" s="2150"/>
      <c r="DG58" s="2150"/>
      <c r="DH58" s="2150"/>
      <c r="DI58" s="2150"/>
      <c r="DJ58" s="2150"/>
      <c r="DK58" s="2150"/>
      <c r="DL58" s="2150"/>
      <c r="DM58" s="2150"/>
      <c r="DN58" s="2150"/>
      <c r="DO58" s="2150"/>
      <c r="DP58" s="2150"/>
      <c r="DQ58" s="2150"/>
      <c r="DR58" s="2150"/>
      <c r="DS58" s="2150"/>
      <c r="DT58" s="2150"/>
      <c r="DU58" s="2150"/>
      <c r="DV58" s="2150"/>
      <c r="DW58" s="2150"/>
    </row>
    <row r="59" spans="1:127" s="2033" customFormat="1" ht="64.5" customHeight="1">
      <c r="A59" s="2198">
        <v>22</v>
      </c>
      <c r="B59" s="2101" t="str">
        <f t="shared" si="1"/>
        <v>2200001858</v>
      </c>
      <c r="C59" s="2263" t="s">
        <v>71</v>
      </c>
      <c r="D59" s="2119">
        <v>3720</v>
      </c>
      <c r="E59" s="2118" t="s">
        <v>7276</v>
      </c>
      <c r="F59" s="2120" t="s">
        <v>84</v>
      </c>
      <c r="G59" s="2187" t="s">
        <v>7277</v>
      </c>
      <c r="H59" s="2159"/>
      <c r="I59" s="2118" t="s">
        <v>19</v>
      </c>
      <c r="J59" s="1921" t="s">
        <v>959</v>
      </c>
      <c r="K59" s="2161" t="s">
        <v>7278</v>
      </c>
      <c r="L59" s="2199">
        <v>3700</v>
      </c>
      <c r="M59" s="2200" t="s">
        <v>7279</v>
      </c>
      <c r="N59" s="1909"/>
      <c r="O59" s="2176"/>
      <c r="P59" s="2122"/>
      <c r="Q59" s="2122"/>
      <c r="R59" s="2122"/>
      <c r="S59" s="2122"/>
      <c r="T59" s="2122"/>
      <c r="U59" s="2122"/>
      <c r="V59" s="2122"/>
      <c r="W59" s="2122"/>
      <c r="X59" s="2122"/>
      <c r="Y59" s="2122"/>
      <c r="Z59" s="2122"/>
      <c r="AA59" s="2122"/>
      <c r="AB59" s="2122"/>
      <c r="AC59" s="2122"/>
      <c r="AD59" s="2122"/>
      <c r="AE59" s="2122"/>
      <c r="AF59" s="2122"/>
      <c r="AG59" s="2122"/>
      <c r="AH59" s="2122"/>
      <c r="AI59" s="2122"/>
      <c r="AJ59" s="2122"/>
      <c r="AK59" s="2122"/>
      <c r="AL59" s="2122"/>
      <c r="AM59" s="2122"/>
      <c r="AN59" s="2122"/>
      <c r="AO59" s="2122"/>
      <c r="AP59" s="2122"/>
      <c r="AQ59" s="2122"/>
      <c r="AR59" s="2122"/>
      <c r="AS59" s="2122"/>
      <c r="AT59" s="2122"/>
      <c r="AU59" s="2122"/>
      <c r="AV59" s="2122"/>
      <c r="AW59" s="2122"/>
      <c r="AX59" s="2122"/>
      <c r="AY59" s="2122"/>
      <c r="AZ59" s="2122"/>
      <c r="BA59" s="2122"/>
      <c r="BB59" s="2122"/>
      <c r="BC59" s="2122"/>
      <c r="BD59" s="2122"/>
      <c r="BE59" s="2122"/>
      <c r="BF59" s="2122"/>
      <c r="BG59" s="2122"/>
      <c r="BH59" s="2122"/>
      <c r="BI59" s="2122"/>
      <c r="BJ59" s="2122"/>
      <c r="BK59" s="2122"/>
      <c r="BL59" s="2122"/>
      <c r="BM59" s="2122"/>
      <c r="BN59" s="2122"/>
      <c r="BO59" s="2122"/>
      <c r="BP59" s="2122"/>
      <c r="BQ59" s="2122"/>
      <c r="BR59" s="2122"/>
      <c r="BS59" s="2122"/>
      <c r="BT59" s="2122"/>
      <c r="BU59" s="2122"/>
      <c r="BV59" s="2122"/>
      <c r="BW59" s="2122"/>
      <c r="BX59" s="2122"/>
      <c r="BY59" s="2122"/>
      <c r="BZ59" s="2122"/>
      <c r="CA59" s="2122"/>
      <c r="CB59" s="2122"/>
      <c r="CC59" s="2122"/>
      <c r="CD59" s="2122"/>
      <c r="CE59" s="2122"/>
      <c r="CF59" s="2122"/>
      <c r="CG59" s="2122"/>
      <c r="CH59" s="2122"/>
      <c r="CI59" s="2122"/>
      <c r="CJ59" s="2122"/>
      <c r="CK59" s="2122"/>
      <c r="CL59" s="2122"/>
      <c r="CM59" s="2122"/>
      <c r="CN59" s="2122"/>
      <c r="CO59" s="2122"/>
      <c r="CP59" s="2122"/>
      <c r="CQ59" s="2122"/>
      <c r="CR59" s="2122"/>
      <c r="CS59" s="2122"/>
      <c r="CT59" s="2122"/>
      <c r="CU59" s="2122"/>
      <c r="CV59" s="2122"/>
      <c r="CW59" s="2122"/>
      <c r="CX59" s="2122"/>
      <c r="CY59" s="2122"/>
      <c r="CZ59" s="2122"/>
      <c r="DA59" s="2122"/>
      <c r="DB59" s="2122"/>
      <c r="DC59" s="2122"/>
      <c r="DD59" s="2122"/>
      <c r="DE59" s="2122"/>
      <c r="DF59" s="2122"/>
      <c r="DG59" s="2122"/>
      <c r="DH59" s="2122"/>
      <c r="DI59" s="2122"/>
      <c r="DJ59" s="2122"/>
      <c r="DK59" s="2122"/>
      <c r="DL59" s="2122"/>
      <c r="DM59" s="2122"/>
      <c r="DN59" s="2122"/>
      <c r="DO59" s="2122"/>
      <c r="DP59" s="2122"/>
      <c r="DQ59" s="2122"/>
      <c r="DR59" s="2122"/>
      <c r="DS59" s="2122"/>
      <c r="DT59" s="2122"/>
      <c r="DU59" s="2122"/>
      <c r="DV59" s="2122"/>
      <c r="DW59" s="2122"/>
    </row>
    <row r="60" spans="1:127" s="2033" customFormat="1" ht="64.5" customHeight="1">
      <c r="A60" s="3773">
        <v>28</v>
      </c>
      <c r="B60" s="2101" t="str">
        <f t="shared" si="1"/>
        <v>2000002659</v>
      </c>
      <c r="C60" s="1921" t="s">
        <v>5984</v>
      </c>
      <c r="D60" s="2262">
        <v>4300</v>
      </c>
      <c r="E60" s="2118" t="s">
        <v>7280</v>
      </c>
      <c r="F60" s="2120" t="s">
        <v>61</v>
      </c>
      <c r="G60" s="1921" t="s">
        <v>7281</v>
      </c>
      <c r="H60" s="2159"/>
      <c r="I60" s="2118" t="s">
        <v>19</v>
      </c>
      <c r="J60" s="2118" t="s">
        <v>1138</v>
      </c>
      <c r="K60" s="2161" t="s">
        <v>7282</v>
      </c>
      <c r="L60" s="2199">
        <v>2300</v>
      </c>
      <c r="M60" s="2200" t="s">
        <v>6705</v>
      </c>
      <c r="N60" s="1748" t="s">
        <v>5615</v>
      </c>
      <c r="O60" s="2057"/>
      <c r="P60" s="1883"/>
      <c r="Q60" s="1883"/>
      <c r="R60" s="1883"/>
      <c r="S60" s="1883"/>
      <c r="T60" s="1883"/>
      <c r="U60" s="1883"/>
      <c r="V60" s="1883"/>
      <c r="W60" s="1883"/>
      <c r="X60" s="1883"/>
      <c r="Y60" s="1883"/>
      <c r="Z60" s="1883"/>
      <c r="AA60" s="1883"/>
      <c r="AB60" s="1883"/>
      <c r="AC60" s="1883"/>
      <c r="AD60" s="1883"/>
      <c r="AE60" s="1883"/>
      <c r="AF60" s="1883"/>
      <c r="AG60" s="1883"/>
      <c r="AH60" s="1883"/>
      <c r="AI60" s="1883"/>
      <c r="AJ60" s="1883"/>
      <c r="AK60" s="1883"/>
      <c r="AL60" s="1883"/>
      <c r="AM60" s="1883"/>
      <c r="AN60" s="1883"/>
      <c r="AO60" s="1883"/>
      <c r="AP60" s="1883"/>
      <c r="AQ60" s="1883"/>
      <c r="AR60" s="1883"/>
      <c r="AS60" s="1883"/>
      <c r="AT60" s="1883"/>
      <c r="AU60" s="1883"/>
      <c r="AV60" s="1883"/>
      <c r="AW60" s="1883"/>
      <c r="AX60" s="1883"/>
      <c r="AY60" s="1883"/>
      <c r="AZ60" s="1883"/>
      <c r="BA60" s="1883"/>
      <c r="BB60" s="1883"/>
      <c r="BC60" s="1883"/>
      <c r="BD60" s="1883"/>
      <c r="BE60" s="1883"/>
      <c r="BF60" s="1883"/>
      <c r="BG60" s="1883"/>
      <c r="BH60" s="1883"/>
      <c r="BI60" s="1883"/>
      <c r="BJ60" s="1883"/>
      <c r="BK60" s="1883"/>
      <c r="BL60" s="1883"/>
      <c r="BM60" s="1883"/>
      <c r="BN60" s="1883"/>
      <c r="BO60" s="1883"/>
      <c r="BP60" s="1883"/>
      <c r="BQ60" s="1883"/>
      <c r="BR60" s="1883"/>
      <c r="BS60" s="1883"/>
      <c r="BT60" s="1883"/>
      <c r="BU60" s="1883"/>
      <c r="BV60" s="1883"/>
      <c r="BW60" s="1883"/>
      <c r="BX60" s="1883"/>
      <c r="BY60" s="1883"/>
      <c r="BZ60" s="1883"/>
      <c r="CA60" s="1883"/>
      <c r="CB60" s="1883"/>
      <c r="CC60" s="1883"/>
      <c r="CD60" s="1883"/>
      <c r="CE60" s="1883"/>
      <c r="CF60" s="1883"/>
      <c r="CG60" s="1883"/>
      <c r="CH60" s="1883"/>
      <c r="CI60" s="1883"/>
      <c r="CJ60" s="1883"/>
      <c r="CK60" s="1883"/>
      <c r="CL60" s="1883"/>
      <c r="CM60" s="1883"/>
      <c r="CN60" s="1883"/>
      <c r="CO60" s="1883"/>
      <c r="CP60" s="1883"/>
      <c r="CQ60" s="1883"/>
      <c r="CR60" s="1883"/>
      <c r="CS60" s="1883"/>
      <c r="CT60" s="1883"/>
      <c r="CU60" s="1883"/>
      <c r="CV60" s="1883"/>
      <c r="CW60" s="1883"/>
      <c r="CX60" s="1883"/>
      <c r="CY60" s="1883"/>
      <c r="CZ60" s="1883"/>
      <c r="DA60" s="1883"/>
      <c r="DB60" s="1883"/>
      <c r="DC60" s="1883"/>
      <c r="DD60" s="1883"/>
      <c r="DE60" s="1883"/>
      <c r="DF60" s="1883"/>
      <c r="DG60" s="1883"/>
      <c r="DH60" s="1883"/>
      <c r="DI60" s="1883"/>
      <c r="DJ60" s="1883"/>
      <c r="DK60" s="1883"/>
      <c r="DL60" s="1883"/>
      <c r="DM60" s="1883"/>
      <c r="DN60" s="1883"/>
      <c r="DO60" s="1883"/>
      <c r="DP60" s="1883"/>
      <c r="DQ60" s="1883"/>
      <c r="DR60" s="1883"/>
      <c r="DS60" s="1883"/>
      <c r="DT60" s="1883"/>
      <c r="DU60" s="1883"/>
      <c r="DV60" s="1883"/>
      <c r="DW60" s="1883"/>
    </row>
    <row r="61" spans="1:127" s="2033" customFormat="1" ht="64.5" customHeight="1">
      <c r="A61" s="3768"/>
      <c r="B61" s="2101" t="str">
        <f t="shared" si="1"/>
        <v>2200001858</v>
      </c>
      <c r="C61" s="1947" t="s">
        <v>5984</v>
      </c>
      <c r="D61" s="2203"/>
      <c r="E61" s="1495"/>
      <c r="F61" s="1495" t="s">
        <v>61</v>
      </c>
      <c r="G61" s="1851"/>
      <c r="H61" s="1495"/>
      <c r="I61" s="1851"/>
      <c r="J61" s="1851" t="s">
        <v>1138</v>
      </c>
      <c r="K61" s="2194" t="s">
        <v>7283</v>
      </c>
      <c r="L61" s="2204">
        <v>2000</v>
      </c>
      <c r="M61" s="2200" t="s">
        <v>5440</v>
      </c>
      <c r="N61" s="1748"/>
      <c r="O61" s="2205"/>
      <c r="P61" s="1548"/>
      <c r="Q61" s="1548"/>
      <c r="R61" s="1548"/>
      <c r="S61" s="1548"/>
      <c r="T61" s="1548"/>
      <c r="U61" s="1548"/>
      <c r="V61" s="1548"/>
      <c r="W61" s="1548"/>
      <c r="X61" s="1548"/>
      <c r="Y61" s="1548"/>
      <c r="Z61" s="1548"/>
      <c r="AA61" s="1548"/>
      <c r="AB61" s="1548"/>
      <c r="AC61" s="1548"/>
      <c r="AD61" s="1548"/>
      <c r="AE61" s="1548"/>
      <c r="AF61" s="1548"/>
      <c r="AG61" s="1548"/>
      <c r="AH61" s="1548"/>
      <c r="AI61" s="1548"/>
      <c r="AJ61" s="1548"/>
      <c r="AK61" s="1548"/>
      <c r="AL61" s="1548"/>
      <c r="AM61" s="1548"/>
      <c r="AN61" s="1548"/>
      <c r="AO61" s="1548"/>
      <c r="AP61" s="1548"/>
      <c r="AQ61" s="1548"/>
      <c r="AR61" s="1548"/>
      <c r="AS61" s="1548"/>
      <c r="AT61" s="1548"/>
      <c r="AU61" s="1548"/>
      <c r="AV61" s="1548"/>
      <c r="AW61" s="1548"/>
      <c r="AX61" s="1548"/>
      <c r="AY61" s="1548"/>
      <c r="AZ61" s="1548"/>
      <c r="BA61" s="1548"/>
      <c r="BB61" s="1548"/>
      <c r="BC61" s="1548"/>
      <c r="BD61" s="1548"/>
      <c r="BE61" s="1548"/>
      <c r="BF61" s="1548"/>
      <c r="BG61" s="1548"/>
      <c r="BH61" s="1548"/>
      <c r="BI61" s="1548"/>
      <c r="BJ61" s="1548"/>
      <c r="BK61" s="1548"/>
      <c r="BL61" s="1548"/>
      <c r="BM61" s="1548"/>
      <c r="BN61" s="1548"/>
      <c r="BO61" s="1548"/>
      <c r="BP61" s="1548"/>
      <c r="BQ61" s="1548"/>
      <c r="BR61" s="1548"/>
      <c r="BS61" s="1548"/>
      <c r="BT61" s="1548"/>
      <c r="BU61" s="1548"/>
      <c r="BV61" s="1548"/>
      <c r="BW61" s="1548"/>
      <c r="BX61" s="1548"/>
      <c r="BY61" s="1548"/>
      <c r="BZ61" s="1548"/>
      <c r="CA61" s="1548"/>
      <c r="CB61" s="1548"/>
      <c r="CC61" s="1548"/>
      <c r="CD61" s="1548"/>
      <c r="CE61" s="1548"/>
      <c r="CF61" s="1548"/>
      <c r="CG61" s="1548"/>
      <c r="CH61" s="1548"/>
      <c r="CI61" s="1548"/>
      <c r="CJ61" s="1548"/>
      <c r="CK61" s="1548"/>
      <c r="CL61" s="1548"/>
      <c r="CM61" s="1548"/>
      <c r="CN61" s="1548"/>
      <c r="CO61" s="1548"/>
      <c r="CP61" s="1548"/>
      <c r="CQ61" s="1548"/>
      <c r="CR61" s="1548"/>
      <c r="CS61" s="1548"/>
      <c r="CT61" s="1548"/>
      <c r="CU61" s="1548"/>
      <c r="CV61" s="1548"/>
      <c r="CW61" s="1548"/>
      <c r="CX61" s="1548"/>
      <c r="CY61" s="1548"/>
      <c r="CZ61" s="1548"/>
      <c r="DA61" s="1548"/>
      <c r="DB61" s="1548"/>
      <c r="DC61" s="1548"/>
      <c r="DD61" s="1548"/>
      <c r="DE61" s="1548"/>
      <c r="DF61" s="1548"/>
      <c r="DG61" s="1548"/>
      <c r="DH61" s="1548"/>
      <c r="DI61" s="1548"/>
      <c r="DJ61" s="1548"/>
      <c r="DK61" s="1548"/>
      <c r="DL61" s="1548"/>
      <c r="DM61" s="1548"/>
      <c r="DN61" s="1548"/>
      <c r="DO61" s="1548"/>
      <c r="DP61" s="1548"/>
      <c r="DQ61" s="1548"/>
      <c r="DR61" s="1548"/>
      <c r="DS61" s="1548"/>
      <c r="DT61" s="1548"/>
      <c r="DU61" s="1548"/>
      <c r="DV61" s="1548"/>
      <c r="DW61" s="1548"/>
    </row>
    <row r="62" spans="1:127" s="2122" customFormat="1" ht="54.75" customHeight="1">
      <c r="A62" s="3773">
        <v>24</v>
      </c>
      <c r="B62" s="2101" t="str">
        <f t="shared" si="1"/>
        <v>2400001018</v>
      </c>
      <c r="C62" s="2118" t="s">
        <v>7284</v>
      </c>
      <c r="D62" s="2119">
        <v>9000</v>
      </c>
      <c r="E62" s="2118" t="s">
        <v>4809</v>
      </c>
      <c r="F62" s="2120" t="s">
        <v>513</v>
      </c>
      <c r="G62" s="1921" t="s">
        <v>7285</v>
      </c>
      <c r="H62" s="2159"/>
      <c r="I62" s="2118" t="s">
        <v>19</v>
      </c>
      <c r="J62" s="1872" t="s">
        <v>6655</v>
      </c>
      <c r="K62" s="2194" t="s">
        <v>7286</v>
      </c>
      <c r="L62" s="2121">
        <f>D62</f>
        <v>9000</v>
      </c>
      <c r="M62" s="2160" t="s">
        <v>6705</v>
      </c>
      <c r="N62" s="2117" t="s">
        <v>7287</v>
      </c>
      <c r="O62" s="2117"/>
    </row>
    <row r="63" spans="1:127" s="1548" customFormat="1" ht="54.75" customHeight="1">
      <c r="A63" s="3768"/>
      <c r="B63" s="2101" t="str">
        <f t="shared" si="1"/>
        <v>2400001017</v>
      </c>
      <c r="C63" s="1851" t="s">
        <v>7284</v>
      </c>
      <c r="D63" s="2097"/>
      <c r="E63" s="1851"/>
      <c r="F63" s="1872" t="s">
        <v>513</v>
      </c>
      <c r="G63" s="1495"/>
      <c r="H63" s="1947"/>
      <c r="I63" s="1851"/>
      <c r="J63" s="1872" t="s">
        <v>6655</v>
      </c>
      <c r="K63" s="1496" t="s">
        <v>7288</v>
      </c>
      <c r="L63" s="2107"/>
      <c r="M63" s="2160" t="s">
        <v>6705</v>
      </c>
      <c r="N63" s="2102" t="s">
        <v>7289</v>
      </c>
      <c r="O63" s="2102"/>
      <c r="P63" s="1883"/>
      <c r="Q63" s="1883"/>
      <c r="R63" s="1883"/>
      <c r="S63" s="1883"/>
      <c r="T63" s="1883"/>
      <c r="U63" s="1883"/>
      <c r="V63" s="1883"/>
      <c r="W63" s="1883"/>
      <c r="X63" s="1883"/>
      <c r="Y63" s="1883"/>
      <c r="Z63" s="1883"/>
      <c r="AA63" s="1883"/>
      <c r="AB63" s="1883"/>
      <c r="AC63" s="1883"/>
      <c r="AD63" s="1883"/>
      <c r="AE63" s="1883"/>
      <c r="AF63" s="1883"/>
      <c r="AG63" s="1883"/>
      <c r="AH63" s="1883"/>
      <c r="AI63" s="1883"/>
      <c r="AJ63" s="1883"/>
      <c r="AK63" s="1883"/>
      <c r="AL63" s="1883"/>
      <c r="AM63" s="1883"/>
      <c r="AN63" s="1883"/>
      <c r="AO63" s="1883"/>
      <c r="AP63" s="1883"/>
      <c r="AQ63" s="1883"/>
      <c r="AR63" s="1883"/>
      <c r="AS63" s="1883"/>
      <c r="AT63" s="1883"/>
      <c r="AU63" s="1883"/>
      <c r="AV63" s="1883"/>
      <c r="AW63" s="1883"/>
      <c r="AX63" s="1883"/>
      <c r="AY63" s="1883"/>
      <c r="AZ63" s="1883"/>
      <c r="BA63" s="1883"/>
      <c r="BB63" s="1883"/>
      <c r="BC63" s="1883"/>
      <c r="BD63" s="1883"/>
      <c r="BE63" s="1883"/>
      <c r="BF63" s="1883"/>
      <c r="BG63" s="1883"/>
      <c r="BH63" s="1883"/>
      <c r="BI63" s="1883"/>
      <c r="BJ63" s="1883"/>
      <c r="BK63" s="1883"/>
      <c r="BL63" s="1883"/>
      <c r="BM63" s="1883"/>
      <c r="BN63" s="1883"/>
      <c r="BO63" s="1883"/>
      <c r="BP63" s="1883"/>
      <c r="BQ63" s="1883"/>
      <c r="BR63" s="1883"/>
      <c r="BS63" s="1883"/>
      <c r="BT63" s="1883"/>
      <c r="BU63" s="1883"/>
      <c r="BV63" s="1883"/>
      <c r="BW63" s="1883"/>
      <c r="BX63" s="1883"/>
      <c r="BY63" s="1883"/>
      <c r="BZ63" s="1883"/>
      <c r="CA63" s="1883"/>
      <c r="CB63" s="1883"/>
      <c r="CC63" s="1883"/>
      <c r="CD63" s="1883"/>
      <c r="CE63" s="1883"/>
      <c r="CF63" s="1883"/>
      <c r="CG63" s="1883"/>
      <c r="CH63" s="1883"/>
      <c r="CI63" s="1883"/>
      <c r="CJ63" s="1883"/>
      <c r="CK63" s="1883"/>
      <c r="CL63" s="1883"/>
      <c r="CM63" s="1883"/>
      <c r="CN63" s="1883"/>
      <c r="CO63" s="1883"/>
      <c r="CP63" s="1883"/>
      <c r="CQ63" s="1883"/>
      <c r="CR63" s="1883"/>
      <c r="CS63" s="1883"/>
      <c r="CT63" s="1883"/>
      <c r="CU63" s="1883"/>
      <c r="CV63" s="1883"/>
      <c r="CW63" s="1883"/>
      <c r="CX63" s="1883"/>
      <c r="CY63" s="1883"/>
      <c r="CZ63" s="1883"/>
      <c r="DA63" s="1883"/>
      <c r="DB63" s="1883"/>
      <c r="DC63" s="1883"/>
      <c r="DD63" s="1883"/>
      <c r="DE63" s="1883"/>
      <c r="DF63" s="1883"/>
      <c r="DG63" s="1883"/>
      <c r="DH63" s="1883"/>
      <c r="DI63" s="1883"/>
      <c r="DJ63" s="1883"/>
      <c r="DK63" s="1883"/>
      <c r="DL63" s="1883"/>
      <c r="DM63" s="1883"/>
      <c r="DN63" s="1883"/>
      <c r="DO63" s="1883"/>
      <c r="DP63" s="1883"/>
      <c r="DQ63" s="1883"/>
      <c r="DR63" s="1883"/>
      <c r="DS63" s="1883"/>
      <c r="DT63" s="1883"/>
      <c r="DU63" s="1883"/>
      <c r="DV63" s="1883"/>
      <c r="DW63" s="1883"/>
    </row>
    <row r="64" spans="1:127" s="1883" customFormat="1" ht="54.75" customHeight="1">
      <c r="A64" s="3796">
        <v>25</v>
      </c>
      <c r="B64" s="2101" t="str">
        <f t="shared" si="1"/>
        <v>2200001854</v>
      </c>
      <c r="C64" s="1902" t="s">
        <v>3491</v>
      </c>
      <c r="D64" s="2179">
        <v>4300</v>
      </c>
      <c r="E64" s="1921" t="s">
        <v>7290</v>
      </c>
      <c r="F64" s="1902" t="s">
        <v>3401</v>
      </c>
      <c r="G64" s="1921" t="s">
        <v>7291</v>
      </c>
      <c r="H64" s="2150"/>
      <c r="I64" s="2118" t="s">
        <v>19</v>
      </c>
      <c r="J64" s="1921" t="s">
        <v>1138</v>
      </c>
      <c r="K64" s="1916" t="s">
        <v>7292</v>
      </c>
      <c r="L64" s="2179">
        <v>526</v>
      </c>
      <c r="M64" s="2200" t="s">
        <v>7293</v>
      </c>
      <c r="N64" s="2150"/>
      <c r="O64" s="2150"/>
      <c r="P64" s="2150"/>
      <c r="Q64" s="2150"/>
      <c r="R64" s="2150"/>
      <c r="S64" s="2150"/>
      <c r="T64" s="2150"/>
      <c r="U64" s="2150"/>
      <c r="V64" s="2150"/>
      <c r="W64" s="2150"/>
      <c r="X64" s="2150"/>
      <c r="Y64" s="2150"/>
      <c r="Z64" s="2150"/>
      <c r="AA64" s="2150"/>
      <c r="AB64" s="2150"/>
      <c r="AC64" s="2150"/>
      <c r="AD64" s="2150"/>
      <c r="AE64" s="2150"/>
      <c r="AF64" s="2150"/>
      <c r="AG64" s="2150"/>
      <c r="AH64" s="2150"/>
      <c r="AI64" s="2150"/>
      <c r="AJ64" s="2150"/>
      <c r="AK64" s="2150"/>
      <c r="AL64" s="2150"/>
      <c r="AM64" s="2150"/>
      <c r="AN64" s="2150"/>
      <c r="AO64" s="2150"/>
      <c r="AP64" s="2150"/>
      <c r="AQ64" s="2150"/>
      <c r="AR64" s="2150"/>
      <c r="AS64" s="2150"/>
      <c r="AT64" s="2150"/>
      <c r="AU64" s="2150"/>
      <c r="AV64" s="2150"/>
      <c r="AW64" s="2150"/>
      <c r="AX64" s="2150"/>
      <c r="AY64" s="2150"/>
      <c r="AZ64" s="2150"/>
      <c r="BA64" s="2150"/>
      <c r="BB64" s="2150"/>
      <c r="BC64" s="2150"/>
      <c r="BD64" s="2150"/>
      <c r="BE64" s="2150"/>
      <c r="BF64" s="2150"/>
      <c r="BG64" s="2150"/>
      <c r="BH64" s="2150"/>
      <c r="BI64" s="2150"/>
      <c r="BJ64" s="2150"/>
      <c r="BK64" s="2150"/>
      <c r="BL64" s="2150"/>
      <c r="BM64" s="2150"/>
      <c r="BN64" s="2150"/>
      <c r="BO64" s="2150"/>
      <c r="BP64" s="2150"/>
      <c r="BQ64" s="2150"/>
      <c r="BR64" s="2150"/>
      <c r="BS64" s="2150"/>
      <c r="BT64" s="2150"/>
      <c r="BU64" s="2150"/>
      <c r="BV64" s="2150"/>
      <c r="BW64" s="2150"/>
      <c r="BX64" s="2150"/>
      <c r="BY64" s="2150"/>
      <c r="BZ64" s="2150"/>
      <c r="CA64" s="2150"/>
      <c r="CB64" s="2150"/>
      <c r="CC64" s="2150"/>
      <c r="CD64" s="2150"/>
      <c r="CE64" s="2150"/>
      <c r="CF64" s="2150"/>
      <c r="CG64" s="2150"/>
      <c r="CH64" s="2150"/>
      <c r="CI64" s="2150"/>
      <c r="CJ64" s="2150"/>
      <c r="CK64" s="2150"/>
      <c r="CL64" s="2150"/>
      <c r="CM64" s="2150"/>
      <c r="CN64" s="2150"/>
      <c r="CO64" s="2150"/>
      <c r="CP64" s="2150"/>
      <c r="CQ64" s="2150"/>
      <c r="CR64" s="2150"/>
      <c r="CS64" s="2150"/>
      <c r="CT64" s="2150"/>
      <c r="CU64" s="2150"/>
      <c r="CV64" s="2150"/>
      <c r="CW64" s="2150"/>
      <c r="CX64" s="2150"/>
      <c r="CY64" s="2150"/>
      <c r="CZ64" s="2150"/>
      <c r="DA64" s="2150"/>
      <c r="DB64" s="2150"/>
      <c r="DC64" s="2150"/>
      <c r="DD64" s="2150"/>
      <c r="DE64" s="2150"/>
      <c r="DF64" s="2150"/>
      <c r="DG64" s="2150"/>
      <c r="DH64" s="2150"/>
      <c r="DI64" s="2150"/>
      <c r="DJ64" s="2150"/>
      <c r="DK64" s="2150"/>
      <c r="DL64" s="2150"/>
      <c r="DM64" s="2150"/>
      <c r="DN64" s="2150"/>
      <c r="DO64" s="2150"/>
      <c r="DP64" s="2150"/>
      <c r="DQ64" s="2150"/>
      <c r="DR64" s="2150"/>
      <c r="DS64" s="2150"/>
      <c r="DT64" s="2150"/>
      <c r="DU64" s="2150"/>
      <c r="DV64" s="2150"/>
      <c r="DW64" s="2150"/>
    </row>
    <row r="65" spans="1:127" s="1883" customFormat="1" ht="121.5" customHeight="1">
      <c r="A65" s="3797"/>
      <c r="B65" s="2101" t="str">
        <f t="shared" si="1"/>
        <v>2200001855</v>
      </c>
      <c r="C65" s="1493" t="s">
        <v>3491</v>
      </c>
      <c r="D65" s="2150"/>
      <c r="E65" s="1902"/>
      <c r="F65" s="1493" t="s">
        <v>3401</v>
      </c>
      <c r="G65" s="2150"/>
      <c r="H65" s="2150"/>
      <c r="I65" s="2118"/>
      <c r="J65" s="1495" t="s">
        <v>1138</v>
      </c>
      <c r="K65" s="1770" t="s">
        <v>7294</v>
      </c>
      <c r="L65" s="2179">
        <v>1100</v>
      </c>
      <c r="M65" s="2200" t="s">
        <v>7293</v>
      </c>
      <c r="N65" s="2209" t="s">
        <v>7295</v>
      </c>
      <c r="O65" s="2210"/>
      <c r="P65" s="2150"/>
      <c r="Q65" s="2150"/>
      <c r="R65" s="2150"/>
      <c r="S65" s="2150"/>
      <c r="T65" s="2150"/>
      <c r="U65" s="2150"/>
      <c r="V65" s="2150"/>
      <c r="W65" s="2150"/>
      <c r="X65" s="2150"/>
      <c r="Y65" s="2150"/>
      <c r="Z65" s="2150"/>
      <c r="AA65" s="2150"/>
      <c r="AB65" s="2150"/>
      <c r="AC65" s="2150"/>
      <c r="AD65" s="2150"/>
      <c r="AE65" s="2150"/>
      <c r="AF65" s="2150"/>
      <c r="AG65" s="2150"/>
      <c r="AH65" s="2150"/>
      <c r="AI65" s="2150"/>
      <c r="AJ65" s="2150"/>
      <c r="AK65" s="2150"/>
      <c r="AL65" s="2150"/>
      <c r="AM65" s="2150"/>
      <c r="AN65" s="2150"/>
      <c r="AO65" s="2150"/>
      <c r="AP65" s="2150"/>
      <c r="AQ65" s="2150"/>
      <c r="AR65" s="2150"/>
      <c r="AS65" s="2150"/>
      <c r="AT65" s="2150"/>
      <c r="AU65" s="2150"/>
      <c r="AV65" s="2150"/>
      <c r="AW65" s="2150"/>
      <c r="AX65" s="2150"/>
      <c r="AY65" s="2150"/>
      <c r="AZ65" s="2150"/>
      <c r="BA65" s="2150"/>
      <c r="BB65" s="2150"/>
      <c r="BC65" s="2150"/>
      <c r="BD65" s="2150"/>
      <c r="BE65" s="2150"/>
      <c r="BF65" s="2150"/>
      <c r="BG65" s="2150"/>
      <c r="BH65" s="2150"/>
      <c r="BI65" s="2150"/>
      <c r="BJ65" s="2150"/>
      <c r="BK65" s="2150"/>
      <c r="BL65" s="2150"/>
      <c r="BM65" s="2150"/>
      <c r="BN65" s="2150"/>
      <c r="BO65" s="2150"/>
      <c r="BP65" s="2150"/>
      <c r="BQ65" s="2150"/>
      <c r="BR65" s="2150"/>
      <c r="BS65" s="2150"/>
      <c r="BT65" s="2150"/>
      <c r="BU65" s="2150"/>
      <c r="BV65" s="2150"/>
      <c r="BW65" s="2150"/>
      <c r="BX65" s="2150"/>
      <c r="BY65" s="2150"/>
      <c r="BZ65" s="2150"/>
      <c r="CA65" s="2150"/>
      <c r="CB65" s="2150"/>
      <c r="CC65" s="2150"/>
      <c r="CD65" s="2150"/>
      <c r="CE65" s="2150"/>
      <c r="CF65" s="2150"/>
      <c r="CG65" s="2150"/>
      <c r="CH65" s="2150"/>
      <c r="CI65" s="2150"/>
      <c r="CJ65" s="2150"/>
      <c r="CK65" s="2150"/>
      <c r="CL65" s="2150"/>
      <c r="CM65" s="2150"/>
      <c r="CN65" s="2150"/>
      <c r="CO65" s="2150"/>
      <c r="CP65" s="2150"/>
      <c r="CQ65" s="2150"/>
      <c r="CR65" s="2150"/>
      <c r="CS65" s="2150"/>
      <c r="CT65" s="2150"/>
      <c r="CU65" s="2150"/>
      <c r="CV65" s="2150"/>
      <c r="CW65" s="2150"/>
      <c r="CX65" s="2150"/>
      <c r="CY65" s="2150"/>
      <c r="CZ65" s="2150"/>
      <c r="DA65" s="2150"/>
      <c r="DB65" s="2150"/>
      <c r="DC65" s="2150"/>
      <c r="DD65" s="2150"/>
      <c r="DE65" s="2150"/>
      <c r="DF65" s="2150"/>
      <c r="DG65" s="2150"/>
      <c r="DH65" s="2150"/>
      <c r="DI65" s="2150"/>
      <c r="DJ65" s="2150"/>
      <c r="DK65" s="2150"/>
      <c r="DL65" s="2150"/>
      <c r="DM65" s="2150"/>
      <c r="DN65" s="2150"/>
      <c r="DO65" s="2150"/>
      <c r="DP65" s="2150"/>
      <c r="DQ65" s="2150"/>
      <c r="DR65" s="2150"/>
      <c r="DS65" s="2150"/>
      <c r="DT65" s="2150"/>
      <c r="DU65" s="2150"/>
      <c r="DV65" s="2150"/>
      <c r="DW65" s="2150"/>
    </row>
    <row r="66" spans="1:127" s="1883" customFormat="1" ht="54.75" customHeight="1">
      <c r="A66" s="3797"/>
      <c r="B66" s="2101" t="str">
        <f t="shared" si="1"/>
        <v>2000002631</v>
      </c>
      <c r="C66" s="1493" t="s">
        <v>3491</v>
      </c>
      <c r="D66" s="2203"/>
      <c r="E66" s="1495"/>
      <c r="F66" s="1493" t="s">
        <v>3401</v>
      </c>
      <c r="G66" s="1495"/>
      <c r="H66" s="1495"/>
      <c r="I66" s="1495"/>
      <c r="J66" s="1495" t="s">
        <v>1138</v>
      </c>
      <c r="K66" s="1600" t="s">
        <v>7296</v>
      </c>
      <c r="L66" s="2204">
        <v>1000</v>
      </c>
      <c r="M66" s="2200" t="s">
        <v>7297</v>
      </c>
      <c r="N66" s="2211"/>
      <c r="O66" s="2208"/>
      <c r="P66" s="1548"/>
      <c r="Q66" s="1548"/>
      <c r="R66" s="1548"/>
      <c r="S66" s="1548"/>
      <c r="T66" s="1548"/>
      <c r="U66" s="1548"/>
      <c r="V66" s="1548"/>
      <c r="W66" s="1548"/>
      <c r="X66" s="1548"/>
      <c r="Y66" s="1548"/>
      <c r="Z66" s="1548"/>
      <c r="AA66" s="1548"/>
      <c r="AB66" s="1548"/>
      <c r="AC66" s="1548"/>
      <c r="AD66" s="1548"/>
      <c r="AE66" s="1548"/>
      <c r="AF66" s="1548"/>
      <c r="AG66" s="1548"/>
      <c r="AH66" s="1548"/>
      <c r="AI66" s="1548"/>
      <c r="AJ66" s="1548"/>
      <c r="AK66" s="1548"/>
      <c r="AL66" s="1548"/>
      <c r="AM66" s="1548"/>
      <c r="AN66" s="1548"/>
      <c r="AO66" s="1548"/>
      <c r="AP66" s="1548"/>
      <c r="AQ66" s="1548"/>
      <c r="AR66" s="1548"/>
      <c r="AS66" s="1548"/>
      <c r="AT66" s="1548"/>
      <c r="AU66" s="1548"/>
      <c r="AV66" s="1548"/>
      <c r="AW66" s="1548"/>
      <c r="AX66" s="1548"/>
      <c r="AY66" s="1548"/>
      <c r="AZ66" s="1548"/>
      <c r="BA66" s="1548"/>
      <c r="BB66" s="1548"/>
      <c r="BC66" s="1548"/>
      <c r="BD66" s="1548"/>
      <c r="BE66" s="1548"/>
      <c r="BF66" s="1548"/>
      <c r="BG66" s="1548"/>
      <c r="BH66" s="1548"/>
      <c r="BI66" s="1548"/>
      <c r="BJ66" s="1548"/>
      <c r="BK66" s="1548"/>
      <c r="BL66" s="1548"/>
      <c r="BM66" s="1548"/>
      <c r="BN66" s="1548"/>
      <c r="BO66" s="1548"/>
      <c r="BP66" s="1548"/>
      <c r="BQ66" s="1548"/>
      <c r="BR66" s="1548"/>
      <c r="BS66" s="1548"/>
      <c r="BT66" s="1548"/>
      <c r="BU66" s="1548"/>
      <c r="BV66" s="1548"/>
      <c r="BW66" s="1548"/>
      <c r="BX66" s="1548"/>
      <c r="BY66" s="1548"/>
      <c r="BZ66" s="1548"/>
      <c r="CA66" s="1548"/>
      <c r="CB66" s="1548"/>
      <c r="CC66" s="1548"/>
      <c r="CD66" s="1548"/>
      <c r="CE66" s="1548"/>
      <c r="CF66" s="1548"/>
      <c r="CG66" s="1548"/>
      <c r="CH66" s="1548"/>
      <c r="CI66" s="1548"/>
      <c r="CJ66" s="1548"/>
      <c r="CK66" s="1548"/>
      <c r="CL66" s="1548"/>
      <c r="CM66" s="1548"/>
      <c r="CN66" s="1548"/>
      <c r="CO66" s="1548"/>
      <c r="CP66" s="1548"/>
      <c r="CQ66" s="1548"/>
      <c r="CR66" s="1548"/>
      <c r="CS66" s="1548"/>
      <c r="CT66" s="1548"/>
      <c r="CU66" s="1548"/>
      <c r="CV66" s="1548"/>
      <c r="CW66" s="1548"/>
      <c r="CX66" s="1548"/>
      <c r="CY66" s="1548"/>
      <c r="CZ66" s="1548"/>
      <c r="DA66" s="1548"/>
      <c r="DB66" s="1548"/>
      <c r="DC66" s="1548"/>
      <c r="DD66" s="1548"/>
      <c r="DE66" s="1548"/>
      <c r="DF66" s="1548"/>
      <c r="DG66" s="1548"/>
      <c r="DH66" s="1548"/>
      <c r="DI66" s="1548"/>
      <c r="DJ66" s="1548"/>
      <c r="DK66" s="1548"/>
      <c r="DL66" s="1548"/>
      <c r="DM66" s="1548"/>
      <c r="DN66" s="1548"/>
      <c r="DO66" s="1548"/>
      <c r="DP66" s="1548"/>
      <c r="DQ66" s="1548"/>
      <c r="DR66" s="1548"/>
      <c r="DS66" s="1548"/>
      <c r="DT66" s="1548"/>
      <c r="DU66" s="1548"/>
      <c r="DV66" s="1548"/>
      <c r="DW66" s="1548"/>
    </row>
    <row r="67" spans="1:127" s="1883" customFormat="1" ht="54.75" customHeight="1">
      <c r="A67" s="3798"/>
      <c r="B67" s="2101" t="str">
        <f t="shared" si="1"/>
        <v>2200001858</v>
      </c>
      <c r="C67" s="1493" t="s">
        <v>3491</v>
      </c>
      <c r="D67" s="2097"/>
      <c r="E67" s="1851"/>
      <c r="F67" s="1493" t="s">
        <v>3401</v>
      </c>
      <c r="G67" s="1543"/>
      <c r="H67" s="1947"/>
      <c r="I67" s="1851"/>
      <c r="J67" s="1495" t="s">
        <v>1138</v>
      </c>
      <c r="K67" s="1628" t="s">
        <v>7298</v>
      </c>
      <c r="L67" s="2207">
        <v>1700</v>
      </c>
      <c r="M67" s="2200" t="s">
        <v>6662</v>
      </c>
      <c r="N67" s="1748"/>
      <c r="O67" s="1939"/>
    </row>
    <row r="68" spans="1:127" s="1883" customFormat="1" ht="54.75" customHeight="1">
      <c r="A68" s="3773">
        <v>26</v>
      </c>
      <c r="B68" s="2101" t="str">
        <f t="shared" si="1"/>
        <v>2000002637</v>
      </c>
      <c r="C68" s="2118" t="s">
        <v>5664</v>
      </c>
      <c r="D68" s="2178">
        <v>4300</v>
      </c>
      <c r="E68" s="2118" t="s">
        <v>7280</v>
      </c>
      <c r="F68" s="2118" t="s">
        <v>61</v>
      </c>
      <c r="G68" s="1921" t="s">
        <v>7299</v>
      </c>
      <c r="H68" s="1921"/>
      <c r="I68" s="2118" t="s">
        <v>19</v>
      </c>
      <c r="J68" s="1921" t="s">
        <v>74</v>
      </c>
      <c r="K68" s="1845" t="s">
        <v>7300</v>
      </c>
      <c r="L68" s="2179">
        <v>1060</v>
      </c>
      <c r="M68" s="2160" t="s">
        <v>6705</v>
      </c>
      <c r="N68" s="2212"/>
      <c r="O68" s="1780"/>
      <c r="P68" s="1807"/>
      <c r="Q68" s="1548"/>
      <c r="R68" s="1548"/>
      <c r="S68" s="1548"/>
      <c r="T68" s="1548"/>
      <c r="U68" s="1548"/>
      <c r="V68" s="1548"/>
      <c r="W68" s="1548"/>
      <c r="X68" s="1548"/>
      <c r="Y68" s="1548"/>
      <c r="Z68" s="1548"/>
      <c r="AA68" s="1548"/>
      <c r="AB68" s="1548"/>
      <c r="AC68" s="1548"/>
      <c r="AD68" s="1548"/>
      <c r="AE68" s="1548"/>
      <c r="AF68" s="1548"/>
      <c r="AG68" s="1548"/>
      <c r="AH68" s="1548"/>
      <c r="AI68" s="1548"/>
      <c r="AJ68" s="1548"/>
      <c r="AK68" s="1548"/>
      <c r="AL68" s="1548"/>
      <c r="AM68" s="1548"/>
      <c r="AN68" s="1548"/>
      <c r="AO68" s="1548"/>
      <c r="AP68" s="1548"/>
      <c r="AQ68" s="1548"/>
      <c r="AR68" s="1548"/>
      <c r="AS68" s="1548"/>
      <c r="AT68" s="1548"/>
      <c r="AU68" s="1548"/>
      <c r="AV68" s="1548"/>
      <c r="AW68" s="1548"/>
      <c r="AX68" s="1548"/>
      <c r="AY68" s="1548"/>
      <c r="AZ68" s="1548"/>
      <c r="BA68" s="1548"/>
      <c r="BB68" s="1548"/>
      <c r="BC68" s="1548"/>
      <c r="BD68" s="1548"/>
      <c r="BE68" s="1548"/>
      <c r="BF68" s="1548"/>
      <c r="BG68" s="1548"/>
      <c r="BH68" s="1548"/>
      <c r="BI68" s="1548"/>
      <c r="BJ68" s="1548"/>
      <c r="BK68" s="1548"/>
      <c r="BL68" s="1548"/>
      <c r="BM68" s="1548"/>
      <c r="BN68" s="1548"/>
      <c r="BO68" s="1548"/>
      <c r="BP68" s="1548"/>
      <c r="BQ68" s="1548"/>
      <c r="BR68" s="1548"/>
      <c r="BS68" s="1548"/>
      <c r="BT68" s="1548"/>
      <c r="BU68" s="1548"/>
      <c r="BV68" s="1548"/>
      <c r="BW68" s="1548"/>
      <c r="BX68" s="1548"/>
      <c r="BY68" s="1548"/>
      <c r="BZ68" s="1548"/>
      <c r="CA68" s="1548"/>
      <c r="CB68" s="1548"/>
      <c r="CC68" s="1548"/>
      <c r="CD68" s="1548"/>
      <c r="CE68" s="1548"/>
      <c r="CF68" s="1548"/>
      <c r="CG68" s="1548"/>
      <c r="CH68" s="1548"/>
      <c r="CI68" s="1548"/>
      <c r="CJ68" s="1548"/>
      <c r="CK68" s="1548"/>
      <c r="CL68" s="1548"/>
      <c r="CM68" s="1548"/>
      <c r="CN68" s="1548"/>
      <c r="CO68" s="1548"/>
      <c r="CP68" s="1548"/>
      <c r="CQ68" s="1548"/>
      <c r="CR68" s="1548"/>
      <c r="CS68" s="1548"/>
      <c r="CT68" s="1548"/>
      <c r="CU68" s="1548"/>
      <c r="CV68" s="1548"/>
      <c r="CW68" s="1548"/>
      <c r="CX68" s="1548"/>
      <c r="CY68" s="1548"/>
      <c r="CZ68" s="1548"/>
      <c r="DA68" s="1548"/>
      <c r="DB68" s="1548"/>
      <c r="DC68" s="1548"/>
      <c r="DD68" s="1548"/>
      <c r="DE68" s="1548"/>
      <c r="DF68" s="1548"/>
      <c r="DG68" s="1548"/>
      <c r="DH68" s="1548"/>
      <c r="DI68" s="1548"/>
      <c r="DJ68" s="1548"/>
      <c r="DK68" s="1548"/>
      <c r="DL68" s="1548"/>
      <c r="DM68" s="1548"/>
      <c r="DN68" s="1548"/>
      <c r="DO68" s="1548"/>
      <c r="DP68" s="1548"/>
      <c r="DQ68" s="1548"/>
      <c r="DR68" s="1548"/>
      <c r="DS68" s="1548"/>
      <c r="DT68" s="1548"/>
      <c r="DU68" s="1548"/>
      <c r="DV68" s="1548"/>
      <c r="DW68" s="1548"/>
    </row>
    <row r="69" spans="1:127" s="1883" customFormat="1" ht="54.75" customHeight="1">
      <c r="A69" s="3767"/>
      <c r="B69" s="2101" t="str">
        <f t="shared" ref="B69:B100" si="2">TEXT(LEFT(K69,10),"0000000000")</f>
        <v>2000002638</v>
      </c>
      <c r="C69" s="1851" t="s">
        <v>5664</v>
      </c>
      <c r="D69" s="2182"/>
      <c r="E69" s="1851"/>
      <c r="F69" s="1495" t="s">
        <v>61</v>
      </c>
      <c r="G69" s="1495"/>
      <c r="H69" s="1495"/>
      <c r="I69" s="1851"/>
      <c r="J69" s="1495" t="s">
        <v>74</v>
      </c>
      <c r="K69" s="1600" t="s">
        <v>7301</v>
      </c>
      <c r="L69" s="2183">
        <v>1850</v>
      </c>
      <c r="M69" s="2160" t="s">
        <v>6705</v>
      </c>
      <c r="N69" s="1748" t="s">
        <v>5615</v>
      </c>
      <c r="O69" s="1780"/>
      <c r="P69" s="1807"/>
      <c r="Q69" s="1548"/>
      <c r="R69" s="1548"/>
      <c r="S69" s="1548"/>
      <c r="T69" s="1548"/>
      <c r="U69" s="1548"/>
      <c r="V69" s="1548"/>
      <c r="W69" s="1548"/>
      <c r="X69" s="1548"/>
      <c r="Y69" s="1548"/>
      <c r="Z69" s="1548"/>
      <c r="AA69" s="1548"/>
      <c r="AB69" s="1548"/>
      <c r="AC69" s="1548"/>
      <c r="AD69" s="1548"/>
      <c r="AE69" s="1548"/>
      <c r="AF69" s="1548"/>
      <c r="AG69" s="1548"/>
      <c r="AH69" s="1548"/>
      <c r="AI69" s="1548"/>
      <c r="AJ69" s="1548"/>
      <c r="AK69" s="1548"/>
      <c r="AL69" s="1548"/>
      <c r="AM69" s="1548"/>
      <c r="AN69" s="1548"/>
      <c r="AO69" s="1548"/>
      <c r="AP69" s="1548"/>
      <c r="AQ69" s="1548"/>
      <c r="AR69" s="1548"/>
      <c r="AS69" s="1548"/>
      <c r="AT69" s="1548"/>
      <c r="AU69" s="1548"/>
      <c r="AV69" s="1548"/>
      <c r="AW69" s="1548"/>
      <c r="AX69" s="1548"/>
      <c r="AY69" s="1548"/>
      <c r="AZ69" s="1548"/>
      <c r="BA69" s="1548"/>
      <c r="BB69" s="1548"/>
      <c r="BC69" s="1548"/>
      <c r="BD69" s="1548"/>
      <c r="BE69" s="1548"/>
      <c r="BF69" s="1548"/>
      <c r="BG69" s="1548"/>
      <c r="BH69" s="1548"/>
      <c r="BI69" s="1548"/>
      <c r="BJ69" s="1548"/>
      <c r="BK69" s="1548"/>
      <c r="BL69" s="1548"/>
      <c r="BM69" s="1548"/>
      <c r="BN69" s="1548"/>
      <c r="BO69" s="1548"/>
      <c r="BP69" s="1548"/>
      <c r="BQ69" s="1548"/>
      <c r="BR69" s="1548"/>
      <c r="BS69" s="1548"/>
      <c r="BT69" s="1548"/>
      <c r="BU69" s="1548"/>
      <c r="BV69" s="1548"/>
      <c r="BW69" s="1548"/>
      <c r="BX69" s="1548"/>
      <c r="BY69" s="1548"/>
      <c r="BZ69" s="1548"/>
      <c r="CA69" s="1548"/>
      <c r="CB69" s="1548"/>
      <c r="CC69" s="1548"/>
      <c r="CD69" s="1548"/>
      <c r="CE69" s="1548"/>
      <c r="CF69" s="1548"/>
      <c r="CG69" s="1548"/>
      <c r="CH69" s="1548"/>
      <c r="CI69" s="1548"/>
      <c r="CJ69" s="1548"/>
      <c r="CK69" s="1548"/>
      <c r="CL69" s="1548"/>
      <c r="CM69" s="1548"/>
      <c r="CN69" s="1548"/>
      <c r="CO69" s="1548"/>
      <c r="CP69" s="1548"/>
      <c r="CQ69" s="1548"/>
      <c r="CR69" s="1548"/>
      <c r="CS69" s="1548"/>
      <c r="CT69" s="1548"/>
      <c r="CU69" s="1548"/>
      <c r="CV69" s="1548"/>
      <c r="CW69" s="1548"/>
      <c r="CX69" s="1548"/>
      <c r="CY69" s="1548"/>
      <c r="CZ69" s="1548"/>
      <c r="DA69" s="1548"/>
      <c r="DB69" s="1548"/>
      <c r="DC69" s="1548"/>
      <c r="DD69" s="1548"/>
      <c r="DE69" s="1548"/>
      <c r="DF69" s="1548"/>
      <c r="DG69" s="1548"/>
      <c r="DH69" s="1548"/>
      <c r="DI69" s="1548"/>
      <c r="DJ69" s="1548"/>
      <c r="DK69" s="1548"/>
      <c r="DL69" s="1548"/>
      <c r="DM69" s="1548"/>
      <c r="DN69" s="1548"/>
      <c r="DO69" s="1548"/>
      <c r="DP69" s="1548"/>
      <c r="DQ69" s="1548"/>
      <c r="DR69" s="1548"/>
      <c r="DS69" s="1548"/>
      <c r="DT69" s="1548"/>
      <c r="DU69" s="1548"/>
      <c r="DV69" s="1548"/>
      <c r="DW69" s="1548"/>
    </row>
    <row r="70" spans="1:127" s="1883" customFormat="1" ht="54.75" customHeight="1">
      <c r="A70" s="3768"/>
      <c r="B70" s="2101" t="str">
        <f t="shared" si="2"/>
        <v>2200001856</v>
      </c>
      <c r="C70" s="1851" t="s">
        <v>5664</v>
      </c>
      <c r="D70" s="2182"/>
      <c r="E70" s="1851"/>
      <c r="F70" s="1495" t="s">
        <v>61</v>
      </c>
      <c r="G70" s="1495"/>
      <c r="H70" s="1495"/>
      <c r="I70" s="1851"/>
      <c r="J70" s="1495" t="s">
        <v>101</v>
      </c>
      <c r="K70" s="1600" t="s">
        <v>7302</v>
      </c>
      <c r="L70" s="2183">
        <v>1400</v>
      </c>
      <c r="M70" s="2200" t="s">
        <v>7293</v>
      </c>
      <c r="N70" s="2208"/>
      <c r="O70" s="2212"/>
      <c r="P70" s="1807"/>
      <c r="Q70" s="1548"/>
      <c r="R70" s="1548"/>
      <c r="S70" s="1548"/>
      <c r="T70" s="1548"/>
      <c r="U70" s="1548"/>
      <c r="V70" s="1548"/>
      <c r="W70" s="1548"/>
      <c r="X70" s="1548"/>
      <c r="Y70" s="1548"/>
      <c r="Z70" s="1548"/>
      <c r="AA70" s="1548"/>
      <c r="AB70" s="1548"/>
      <c r="AC70" s="1548"/>
      <c r="AD70" s="1548"/>
      <c r="AE70" s="1548"/>
      <c r="AF70" s="1548"/>
      <c r="AG70" s="1548"/>
      <c r="AH70" s="1548"/>
      <c r="AI70" s="1548"/>
      <c r="AJ70" s="1548"/>
      <c r="AK70" s="1548"/>
      <c r="AL70" s="1548"/>
      <c r="AM70" s="1548"/>
      <c r="AN70" s="1548"/>
      <c r="AO70" s="1548"/>
      <c r="AP70" s="1548"/>
      <c r="AQ70" s="1548"/>
      <c r="AR70" s="1548"/>
      <c r="AS70" s="1548"/>
      <c r="AT70" s="1548"/>
      <c r="AU70" s="1548"/>
      <c r="AV70" s="1548"/>
      <c r="AW70" s="1548"/>
      <c r="AX70" s="1548"/>
      <c r="AY70" s="1548"/>
      <c r="AZ70" s="1548"/>
      <c r="BA70" s="1548"/>
      <c r="BB70" s="1548"/>
      <c r="BC70" s="1548"/>
      <c r="BD70" s="1548"/>
      <c r="BE70" s="1548"/>
      <c r="BF70" s="1548"/>
      <c r="BG70" s="1548"/>
      <c r="BH70" s="1548"/>
      <c r="BI70" s="1548"/>
      <c r="BJ70" s="1548"/>
      <c r="BK70" s="1548"/>
      <c r="BL70" s="1548"/>
      <c r="BM70" s="1548"/>
      <c r="BN70" s="1548"/>
      <c r="BO70" s="1548"/>
      <c r="BP70" s="1548"/>
      <c r="BQ70" s="1548"/>
      <c r="BR70" s="1548"/>
      <c r="BS70" s="1548"/>
      <c r="BT70" s="1548"/>
      <c r="BU70" s="1548"/>
      <c r="BV70" s="1548"/>
      <c r="BW70" s="1548"/>
      <c r="BX70" s="1548"/>
      <c r="BY70" s="1548"/>
      <c r="BZ70" s="1548"/>
      <c r="CA70" s="1548"/>
      <c r="CB70" s="1548"/>
      <c r="CC70" s="1548"/>
      <c r="CD70" s="1548"/>
      <c r="CE70" s="1548"/>
      <c r="CF70" s="1548"/>
      <c r="CG70" s="1548"/>
      <c r="CH70" s="1548"/>
      <c r="CI70" s="1548"/>
      <c r="CJ70" s="1548"/>
      <c r="CK70" s="1548"/>
      <c r="CL70" s="1548"/>
      <c r="CM70" s="1548"/>
      <c r="CN70" s="1548"/>
      <c r="CO70" s="1548"/>
      <c r="CP70" s="1548"/>
      <c r="CQ70" s="1548"/>
      <c r="CR70" s="1548"/>
      <c r="CS70" s="1548"/>
      <c r="CT70" s="1548"/>
      <c r="CU70" s="1548"/>
      <c r="CV70" s="1548"/>
      <c r="CW70" s="1548"/>
      <c r="CX70" s="1548"/>
      <c r="CY70" s="1548"/>
      <c r="CZ70" s="1548"/>
      <c r="DA70" s="1548"/>
      <c r="DB70" s="1548"/>
      <c r="DC70" s="1548"/>
      <c r="DD70" s="1548"/>
      <c r="DE70" s="1548"/>
      <c r="DF70" s="1548"/>
      <c r="DG70" s="1548"/>
      <c r="DH70" s="1548"/>
      <c r="DI70" s="1548"/>
      <c r="DJ70" s="1548"/>
      <c r="DK70" s="1548"/>
      <c r="DL70" s="1548"/>
      <c r="DM70" s="1548"/>
      <c r="DN70" s="1548"/>
      <c r="DO70" s="1548"/>
      <c r="DP70" s="1548"/>
      <c r="DQ70" s="1548"/>
      <c r="DR70" s="1548"/>
      <c r="DS70" s="1548"/>
      <c r="DT70" s="1548"/>
      <c r="DU70" s="1548"/>
      <c r="DV70" s="1548"/>
      <c r="DW70" s="1548"/>
    </row>
    <row r="71" spans="1:127" s="1883" customFormat="1" ht="54.75" customHeight="1">
      <c r="A71" s="3796">
        <v>27</v>
      </c>
      <c r="B71" s="2101" t="str">
        <f t="shared" si="2"/>
        <v>2200001855</v>
      </c>
      <c r="C71" s="1902" t="s">
        <v>5699</v>
      </c>
      <c r="D71" s="2119">
        <v>4000</v>
      </c>
      <c r="E71" s="2118" t="s">
        <v>7303</v>
      </c>
      <c r="F71" s="2120" t="s">
        <v>84</v>
      </c>
      <c r="G71" s="2187" t="s">
        <v>7304</v>
      </c>
      <c r="H71" s="2159"/>
      <c r="I71" s="2118" t="s">
        <v>19</v>
      </c>
      <c r="J71" s="1921" t="s">
        <v>959</v>
      </c>
      <c r="K71" s="2161" t="s">
        <v>7305</v>
      </c>
      <c r="L71" s="2199">
        <v>2000</v>
      </c>
      <c r="M71" s="2200" t="s">
        <v>7293</v>
      </c>
      <c r="N71" s="1909"/>
      <c r="O71" s="2176"/>
      <c r="P71" s="2122"/>
      <c r="Q71" s="2122"/>
      <c r="R71" s="2122"/>
      <c r="S71" s="2122"/>
      <c r="T71" s="2122"/>
      <c r="U71" s="2122"/>
      <c r="V71" s="2122"/>
      <c r="W71" s="2122"/>
      <c r="X71" s="2122"/>
      <c r="Y71" s="2122"/>
      <c r="Z71" s="2122"/>
      <c r="AA71" s="2122"/>
      <c r="AB71" s="2122"/>
      <c r="AC71" s="2122"/>
      <c r="AD71" s="2122"/>
      <c r="AE71" s="2122"/>
      <c r="AF71" s="2122"/>
      <c r="AG71" s="2122"/>
      <c r="AH71" s="2122"/>
      <c r="AI71" s="2122"/>
      <c r="AJ71" s="2122"/>
      <c r="AK71" s="2122"/>
      <c r="AL71" s="2122"/>
      <c r="AM71" s="2122"/>
      <c r="AN71" s="2122"/>
      <c r="AO71" s="2122"/>
      <c r="AP71" s="2122"/>
      <c r="AQ71" s="2122"/>
      <c r="AR71" s="2122"/>
      <c r="AS71" s="2122"/>
      <c r="AT71" s="2122"/>
      <c r="AU71" s="2122"/>
      <c r="AV71" s="2122"/>
      <c r="AW71" s="2122"/>
      <c r="AX71" s="2122"/>
      <c r="AY71" s="2122"/>
      <c r="AZ71" s="2122"/>
      <c r="BA71" s="2122"/>
      <c r="BB71" s="2122"/>
      <c r="BC71" s="2122"/>
      <c r="BD71" s="2122"/>
      <c r="BE71" s="2122"/>
      <c r="BF71" s="2122"/>
      <c r="BG71" s="2122"/>
      <c r="BH71" s="2122"/>
      <c r="BI71" s="2122"/>
      <c r="BJ71" s="2122"/>
      <c r="BK71" s="2122"/>
      <c r="BL71" s="2122"/>
      <c r="BM71" s="2122"/>
      <c r="BN71" s="2122"/>
      <c r="BO71" s="2122"/>
      <c r="BP71" s="2122"/>
      <c r="BQ71" s="2122"/>
      <c r="BR71" s="2122"/>
      <c r="BS71" s="2122"/>
      <c r="BT71" s="2122"/>
      <c r="BU71" s="2122"/>
      <c r="BV71" s="2122"/>
      <c r="BW71" s="2122"/>
      <c r="BX71" s="2122"/>
      <c r="BY71" s="2122"/>
      <c r="BZ71" s="2122"/>
      <c r="CA71" s="2122"/>
      <c r="CB71" s="2122"/>
      <c r="CC71" s="2122"/>
      <c r="CD71" s="2122"/>
      <c r="CE71" s="2122"/>
      <c r="CF71" s="2122"/>
      <c r="CG71" s="2122"/>
      <c r="CH71" s="2122"/>
      <c r="CI71" s="2122"/>
      <c r="CJ71" s="2122"/>
      <c r="CK71" s="2122"/>
      <c r="CL71" s="2122"/>
      <c r="CM71" s="2122"/>
      <c r="CN71" s="2122"/>
      <c r="CO71" s="2122"/>
      <c r="CP71" s="2122"/>
      <c r="CQ71" s="2122"/>
      <c r="CR71" s="2122"/>
      <c r="CS71" s="2122"/>
      <c r="CT71" s="2122"/>
      <c r="CU71" s="2122"/>
      <c r="CV71" s="2122"/>
      <c r="CW71" s="2122"/>
      <c r="CX71" s="2122"/>
      <c r="CY71" s="2122"/>
      <c r="CZ71" s="2122"/>
      <c r="DA71" s="2122"/>
      <c r="DB71" s="2122"/>
      <c r="DC71" s="2122"/>
      <c r="DD71" s="2122"/>
      <c r="DE71" s="2122"/>
      <c r="DF71" s="2122"/>
      <c r="DG71" s="2122"/>
      <c r="DH71" s="2122"/>
      <c r="DI71" s="2122"/>
      <c r="DJ71" s="2122"/>
      <c r="DK71" s="2122"/>
      <c r="DL71" s="2122"/>
      <c r="DM71" s="2122"/>
      <c r="DN71" s="2122"/>
      <c r="DO71" s="2122"/>
      <c r="DP71" s="2122"/>
      <c r="DQ71" s="2122"/>
      <c r="DR71" s="2122"/>
      <c r="DS71" s="2122"/>
      <c r="DT71" s="2122"/>
      <c r="DU71" s="2122"/>
      <c r="DV71" s="2122"/>
      <c r="DW71" s="2122"/>
    </row>
    <row r="72" spans="1:127" s="1883" customFormat="1" ht="54.75" customHeight="1">
      <c r="A72" s="3798"/>
      <c r="B72" s="2101" t="str">
        <f t="shared" si="2"/>
        <v>2200001857</v>
      </c>
      <c r="C72" s="1493" t="s">
        <v>5699</v>
      </c>
      <c r="D72" s="2097"/>
      <c r="E72" s="1851"/>
      <c r="F72" s="1872" t="s">
        <v>84</v>
      </c>
      <c r="G72" s="1543"/>
      <c r="H72" s="1947"/>
      <c r="I72" s="2118"/>
      <c r="J72" s="1851" t="s">
        <v>959</v>
      </c>
      <c r="K72" s="1628" t="s">
        <v>7306</v>
      </c>
      <c r="L72" s="2207">
        <v>2058</v>
      </c>
      <c r="M72" s="2200" t="s">
        <v>7293</v>
      </c>
      <c r="N72" s="1748"/>
      <c r="O72" s="1939"/>
    </row>
    <row r="73" spans="1:127" s="1883" customFormat="1" ht="54.75" customHeight="1">
      <c r="A73" s="3792">
        <v>28</v>
      </c>
      <c r="B73" s="2101" t="str">
        <f t="shared" si="2"/>
        <v>2000002610</v>
      </c>
      <c r="C73" s="2118" t="s">
        <v>157</v>
      </c>
      <c r="D73" s="2119">
        <v>3240</v>
      </c>
      <c r="E73" s="2118" t="s">
        <v>7307</v>
      </c>
      <c r="F73" s="2120" t="s">
        <v>61</v>
      </c>
      <c r="G73" s="1921" t="s">
        <v>7308</v>
      </c>
      <c r="H73" s="2159"/>
      <c r="I73" s="2118" t="s">
        <v>19</v>
      </c>
      <c r="J73" s="2120" t="s">
        <v>63</v>
      </c>
      <c r="K73" s="2161" t="s">
        <v>7309</v>
      </c>
      <c r="L73" s="2121">
        <v>2500</v>
      </c>
      <c r="M73" s="2160" t="s">
        <v>6705</v>
      </c>
      <c r="N73" s="2117" t="s">
        <v>7310</v>
      </c>
      <c r="O73" s="2117"/>
      <c r="P73" s="2122"/>
      <c r="Q73" s="2122"/>
      <c r="R73" s="2122"/>
      <c r="S73" s="2122"/>
      <c r="T73" s="2122"/>
      <c r="U73" s="2122"/>
      <c r="V73" s="2122"/>
      <c r="W73" s="2122"/>
      <c r="X73" s="2122"/>
      <c r="Y73" s="2122"/>
      <c r="Z73" s="2122"/>
      <c r="AA73" s="2122"/>
      <c r="AB73" s="2122"/>
      <c r="AC73" s="2122"/>
      <c r="AD73" s="2122"/>
      <c r="AE73" s="2122"/>
      <c r="AF73" s="2122"/>
      <c r="AG73" s="2122"/>
      <c r="AH73" s="2122"/>
      <c r="AI73" s="2122"/>
      <c r="AJ73" s="2122"/>
      <c r="AK73" s="2122"/>
      <c r="AL73" s="2122"/>
      <c r="AM73" s="2122"/>
      <c r="AN73" s="2122"/>
      <c r="AO73" s="2122"/>
      <c r="AP73" s="2122"/>
      <c r="AQ73" s="2122"/>
      <c r="AR73" s="2122"/>
      <c r="AS73" s="2122"/>
      <c r="AT73" s="2122"/>
      <c r="AU73" s="2122"/>
      <c r="AV73" s="2122"/>
      <c r="AW73" s="2122"/>
      <c r="AX73" s="2122"/>
      <c r="AY73" s="2122"/>
      <c r="AZ73" s="2122"/>
      <c r="BA73" s="2122"/>
      <c r="BB73" s="2122"/>
      <c r="BC73" s="2122"/>
      <c r="BD73" s="2122"/>
      <c r="BE73" s="2122"/>
      <c r="BF73" s="2122"/>
      <c r="BG73" s="2122"/>
      <c r="BH73" s="2122"/>
      <c r="BI73" s="2122"/>
      <c r="BJ73" s="2122"/>
      <c r="BK73" s="2122"/>
      <c r="BL73" s="2122"/>
      <c r="BM73" s="2122"/>
      <c r="BN73" s="2122"/>
      <c r="BO73" s="2122"/>
      <c r="BP73" s="2122"/>
      <c r="BQ73" s="2122"/>
      <c r="BR73" s="2122"/>
      <c r="BS73" s="2122"/>
      <c r="BT73" s="2122"/>
      <c r="BU73" s="2122"/>
      <c r="BV73" s="2122"/>
      <c r="BW73" s="2122"/>
      <c r="BX73" s="2122"/>
      <c r="BY73" s="2122"/>
      <c r="BZ73" s="2122"/>
      <c r="CA73" s="2122"/>
      <c r="CB73" s="2122"/>
      <c r="CC73" s="2122"/>
      <c r="CD73" s="2122"/>
      <c r="CE73" s="2122"/>
      <c r="CF73" s="2122"/>
      <c r="CG73" s="2122"/>
      <c r="CH73" s="2122"/>
      <c r="CI73" s="2122"/>
      <c r="CJ73" s="2122"/>
      <c r="CK73" s="2122"/>
      <c r="CL73" s="2122"/>
      <c r="CM73" s="2122"/>
      <c r="CN73" s="2122"/>
      <c r="CO73" s="2122"/>
      <c r="CP73" s="2122"/>
      <c r="CQ73" s="2122"/>
      <c r="CR73" s="2122"/>
      <c r="CS73" s="2122"/>
      <c r="CT73" s="2122"/>
      <c r="CU73" s="2122"/>
      <c r="CV73" s="2122"/>
      <c r="CW73" s="2122"/>
      <c r="CX73" s="2122"/>
      <c r="CY73" s="2122"/>
      <c r="CZ73" s="2122"/>
      <c r="DA73" s="2122"/>
      <c r="DB73" s="2122"/>
      <c r="DC73" s="2122"/>
      <c r="DD73" s="2122"/>
      <c r="DE73" s="2122"/>
      <c r="DF73" s="2122"/>
      <c r="DG73" s="2122"/>
      <c r="DH73" s="2122"/>
      <c r="DI73" s="2122"/>
      <c r="DJ73" s="2122"/>
      <c r="DK73" s="2122"/>
      <c r="DL73" s="2122"/>
      <c r="DM73" s="2122"/>
      <c r="DN73" s="2122"/>
      <c r="DO73" s="2122"/>
      <c r="DP73" s="2122"/>
      <c r="DQ73" s="2122"/>
      <c r="DR73" s="2122"/>
      <c r="DS73" s="2122"/>
      <c r="DT73" s="2122"/>
      <c r="DU73" s="2122"/>
      <c r="DV73" s="2122"/>
      <c r="DW73" s="2122"/>
    </row>
    <row r="74" spans="1:127" s="1883" customFormat="1" ht="54.75" customHeight="1">
      <c r="A74" s="3794"/>
      <c r="B74" s="2101" t="str">
        <f t="shared" si="2"/>
        <v>2000002629</v>
      </c>
      <c r="C74" s="1851" t="s">
        <v>157</v>
      </c>
      <c r="D74" s="2097"/>
      <c r="E74" s="1851"/>
      <c r="F74" s="1872" t="s">
        <v>61</v>
      </c>
      <c r="G74" s="1495"/>
      <c r="H74" s="1947"/>
      <c r="I74" s="1851"/>
      <c r="J74" s="1872" t="s">
        <v>123</v>
      </c>
      <c r="K74" s="1628" t="s">
        <v>7311</v>
      </c>
      <c r="L74" s="2107">
        <v>740</v>
      </c>
      <c r="M74" s="2160" t="s">
        <v>6705</v>
      </c>
      <c r="N74" s="2117" t="s">
        <v>7246</v>
      </c>
      <c r="O74" s="2102"/>
    </row>
    <row r="75" spans="1:127" s="2122" customFormat="1" ht="48.75" customHeight="1">
      <c r="A75" s="3773">
        <v>29</v>
      </c>
      <c r="B75" s="2101" t="str">
        <f t="shared" si="2"/>
        <v>2400001007</v>
      </c>
      <c r="C75" s="2118" t="s">
        <v>7312</v>
      </c>
      <c r="D75" s="2119">
        <v>7500</v>
      </c>
      <c r="E75" s="2118" t="s">
        <v>7313</v>
      </c>
      <c r="F75" s="2120" t="s">
        <v>3421</v>
      </c>
      <c r="G75" s="1921" t="s">
        <v>7314</v>
      </c>
      <c r="H75" s="2159"/>
      <c r="I75" s="2118" t="s">
        <v>19</v>
      </c>
      <c r="J75" s="2120" t="s">
        <v>286</v>
      </c>
      <c r="K75" s="2194" t="s">
        <v>7315</v>
      </c>
      <c r="L75" s="2121">
        <v>2500</v>
      </c>
      <c r="M75" s="2160" t="s">
        <v>6705</v>
      </c>
      <c r="N75" s="2117" t="s">
        <v>7316</v>
      </c>
      <c r="O75" s="2117"/>
    </row>
    <row r="76" spans="1:127" s="1883" customFormat="1" ht="48.75" customHeight="1">
      <c r="A76" s="3768"/>
      <c r="B76" s="2101" t="str">
        <f t="shared" si="2"/>
        <v>2400001016</v>
      </c>
      <c r="C76" s="1851" t="s">
        <v>7312</v>
      </c>
      <c r="D76" s="2097">
        <f>L76</f>
        <v>5000</v>
      </c>
      <c r="E76" s="1851"/>
      <c r="F76" s="1872" t="s">
        <v>3421</v>
      </c>
      <c r="G76" s="1495"/>
      <c r="H76" s="1947"/>
      <c r="I76" s="1851"/>
      <c r="J76" s="1872" t="s">
        <v>4807</v>
      </c>
      <c r="K76" s="1496" t="s">
        <v>7317</v>
      </c>
      <c r="L76" s="2107">
        <v>5000</v>
      </c>
      <c r="M76" s="2160" t="s">
        <v>6705</v>
      </c>
      <c r="N76" s="2102" t="s">
        <v>7318</v>
      </c>
      <c r="O76" s="2102"/>
    </row>
    <row r="77" spans="1:127" s="1883" customFormat="1" ht="48.75" customHeight="1">
      <c r="A77" s="2214">
        <v>30</v>
      </c>
      <c r="B77" s="2101" t="str">
        <f t="shared" si="2"/>
        <v>2000002652</v>
      </c>
      <c r="C77" s="1921" t="s">
        <v>5469</v>
      </c>
      <c r="D77" s="2201">
        <v>4200</v>
      </c>
      <c r="E77" s="1921" t="s">
        <v>7319</v>
      </c>
      <c r="F77" s="1921" t="s">
        <v>61</v>
      </c>
      <c r="G77" s="1921" t="s">
        <v>7320</v>
      </c>
      <c r="H77" s="1921"/>
      <c r="I77" s="1921" t="s">
        <v>19</v>
      </c>
      <c r="J77" s="1921" t="s">
        <v>1138</v>
      </c>
      <c r="K77" s="1845" t="s">
        <v>7321</v>
      </c>
      <c r="L77" s="2179">
        <v>4200</v>
      </c>
      <c r="M77" s="1561" t="s">
        <v>6705</v>
      </c>
      <c r="N77" s="1770"/>
      <c r="O77" s="2219"/>
      <c r="P77" s="2150"/>
      <c r="Q77" s="2150"/>
      <c r="R77" s="2150"/>
      <c r="S77" s="2150"/>
      <c r="T77" s="2150"/>
      <c r="U77" s="2150"/>
      <c r="V77" s="2150"/>
      <c r="W77" s="2150"/>
      <c r="X77" s="2150"/>
      <c r="Y77" s="2150"/>
      <c r="Z77" s="2150"/>
      <c r="AA77" s="2150"/>
      <c r="AB77" s="2150"/>
      <c r="AC77" s="2150"/>
      <c r="AD77" s="2150"/>
      <c r="AE77" s="2150"/>
      <c r="AF77" s="2150"/>
      <c r="AG77" s="2150"/>
      <c r="AH77" s="2150"/>
      <c r="AI77" s="2150"/>
      <c r="AJ77" s="2150"/>
      <c r="AK77" s="2150"/>
      <c r="AL77" s="2150"/>
      <c r="AM77" s="2150"/>
      <c r="AN77" s="2150"/>
      <c r="AO77" s="2150"/>
      <c r="AP77" s="2150"/>
      <c r="AQ77" s="2150"/>
      <c r="AR77" s="2150"/>
      <c r="AS77" s="2150"/>
      <c r="AT77" s="2150"/>
      <c r="AU77" s="2150"/>
      <c r="AV77" s="2150"/>
      <c r="AW77" s="2150"/>
      <c r="AX77" s="2150"/>
      <c r="AY77" s="2150"/>
      <c r="AZ77" s="2150"/>
      <c r="BA77" s="2150"/>
      <c r="BB77" s="2150"/>
      <c r="BC77" s="2150"/>
      <c r="BD77" s="2150"/>
      <c r="BE77" s="2150"/>
      <c r="BF77" s="2150"/>
      <c r="BG77" s="2150"/>
      <c r="BH77" s="2150"/>
      <c r="BI77" s="2150"/>
      <c r="BJ77" s="2150"/>
      <c r="BK77" s="2150"/>
      <c r="BL77" s="2150"/>
      <c r="BM77" s="2150"/>
      <c r="BN77" s="2150"/>
      <c r="BO77" s="2150"/>
      <c r="BP77" s="2150"/>
      <c r="BQ77" s="2150"/>
      <c r="BR77" s="2150"/>
      <c r="BS77" s="2150"/>
      <c r="BT77" s="2150"/>
      <c r="BU77" s="2150"/>
      <c r="BV77" s="2150"/>
      <c r="BW77" s="2150"/>
      <c r="BX77" s="2150"/>
      <c r="BY77" s="2150"/>
      <c r="BZ77" s="2150"/>
      <c r="CA77" s="2150"/>
      <c r="CB77" s="2150"/>
      <c r="CC77" s="2150"/>
      <c r="CD77" s="2150"/>
      <c r="CE77" s="2150"/>
      <c r="CF77" s="2150"/>
      <c r="CG77" s="2150"/>
      <c r="CH77" s="2150"/>
      <c r="CI77" s="2150"/>
      <c r="CJ77" s="2150"/>
      <c r="CK77" s="2150"/>
      <c r="CL77" s="2150"/>
      <c r="CM77" s="2150"/>
      <c r="CN77" s="2150"/>
      <c r="CO77" s="2150"/>
      <c r="CP77" s="2150"/>
      <c r="CQ77" s="2150"/>
      <c r="CR77" s="2150"/>
      <c r="CS77" s="2150"/>
      <c r="CT77" s="2150"/>
      <c r="CU77" s="2150"/>
      <c r="CV77" s="2150"/>
      <c r="CW77" s="2150"/>
      <c r="CX77" s="2150"/>
      <c r="CY77" s="2150"/>
      <c r="CZ77" s="2150"/>
      <c r="DA77" s="2150"/>
      <c r="DB77" s="2150"/>
      <c r="DC77" s="2150"/>
      <c r="DD77" s="2150"/>
      <c r="DE77" s="2150"/>
      <c r="DF77" s="2150"/>
      <c r="DG77" s="2150"/>
      <c r="DH77" s="2150"/>
      <c r="DI77" s="2150"/>
      <c r="DJ77" s="2150"/>
      <c r="DK77" s="2150"/>
      <c r="DL77" s="2150"/>
      <c r="DM77" s="2150"/>
      <c r="DN77" s="2150"/>
      <c r="DO77" s="2150"/>
      <c r="DP77" s="2150"/>
      <c r="DQ77" s="2150"/>
      <c r="DR77" s="2150"/>
      <c r="DS77" s="2150"/>
      <c r="DT77" s="2150"/>
      <c r="DU77" s="2150"/>
      <c r="DV77" s="2150"/>
      <c r="DW77" s="2150"/>
    </row>
    <row r="78" spans="1:127" s="2150" customFormat="1" ht="63" customHeight="1">
      <c r="A78" s="3773">
        <v>31</v>
      </c>
      <c r="B78" s="2101" t="str">
        <f t="shared" si="2"/>
        <v>2000002570</v>
      </c>
      <c r="C78" s="2118" t="s">
        <v>3629</v>
      </c>
      <c r="D78" s="2201">
        <v>24000</v>
      </c>
      <c r="E78" s="1921" t="s">
        <v>7322</v>
      </c>
      <c r="F78" s="1921" t="s">
        <v>3416</v>
      </c>
      <c r="G78" s="1921" t="s">
        <v>7323</v>
      </c>
      <c r="H78" s="1921"/>
      <c r="I78" s="1921" t="s">
        <v>19</v>
      </c>
      <c r="J78" s="1921" t="s">
        <v>63</v>
      </c>
      <c r="K78" s="1845" t="s">
        <v>7324</v>
      </c>
      <c r="L78" s="2195">
        <v>2000</v>
      </c>
      <c r="M78" s="2160" t="s">
        <v>6705</v>
      </c>
      <c r="N78" s="2202" t="s">
        <v>7325</v>
      </c>
      <c r="O78" s="2117"/>
    </row>
    <row r="79" spans="1:127" s="1548" customFormat="1" ht="55.5" customHeight="1">
      <c r="A79" s="3767"/>
      <c r="B79" s="2101" t="str">
        <f t="shared" si="2"/>
        <v>2000002571</v>
      </c>
      <c r="C79" s="1495" t="s">
        <v>3629</v>
      </c>
      <c r="D79" s="2203"/>
      <c r="E79" s="1495"/>
      <c r="F79" s="1495" t="s">
        <v>3416</v>
      </c>
      <c r="G79" s="1495"/>
      <c r="H79" s="1495"/>
      <c r="I79" s="1495"/>
      <c r="J79" s="1495" t="s">
        <v>63</v>
      </c>
      <c r="K79" s="1600" t="s">
        <v>7326</v>
      </c>
      <c r="L79" s="2204">
        <v>2000</v>
      </c>
      <c r="M79" s="2160" t="s">
        <v>6705</v>
      </c>
      <c r="N79" s="2202" t="s">
        <v>7327</v>
      </c>
      <c r="O79" s="2208"/>
    </row>
    <row r="80" spans="1:127" s="1548" customFormat="1" ht="55.5" customHeight="1">
      <c r="A80" s="3767"/>
      <c r="B80" s="2101" t="str">
        <f t="shared" si="2"/>
        <v>2000002633</v>
      </c>
      <c r="C80" s="1495" t="s">
        <v>3629</v>
      </c>
      <c r="D80" s="2203"/>
      <c r="E80" s="1495"/>
      <c r="F80" s="1495" t="s">
        <v>3416</v>
      </c>
      <c r="G80" s="1495"/>
      <c r="H80" s="1495"/>
      <c r="I80" s="1495"/>
      <c r="J80" s="1495" t="s">
        <v>63</v>
      </c>
      <c r="K80" s="1854" t="s">
        <v>7328</v>
      </c>
      <c r="L80" s="2204">
        <v>1625</v>
      </c>
      <c r="M80" s="2160" t="s">
        <v>6705</v>
      </c>
      <c r="N80" s="2102" t="s">
        <v>6706</v>
      </c>
      <c r="O80" s="2208"/>
    </row>
    <row r="81" spans="1:127" s="1548" customFormat="1" ht="55.5" customHeight="1">
      <c r="A81" s="3767"/>
      <c r="B81" s="2101" t="str">
        <f t="shared" si="2"/>
        <v>2000002634</v>
      </c>
      <c r="C81" s="1495" t="s">
        <v>3629</v>
      </c>
      <c r="D81" s="2203"/>
      <c r="E81" s="1495"/>
      <c r="F81" s="1495" t="s">
        <v>3416</v>
      </c>
      <c r="G81" s="1495"/>
      <c r="H81" s="1495"/>
      <c r="I81" s="1495"/>
      <c r="J81" s="1495" t="s">
        <v>63</v>
      </c>
      <c r="K81" s="1854" t="s">
        <v>7329</v>
      </c>
      <c r="L81" s="2204">
        <v>1575</v>
      </c>
      <c r="M81" s="2160" t="s">
        <v>6705</v>
      </c>
      <c r="N81" s="2102" t="s">
        <v>6706</v>
      </c>
      <c r="O81" s="2208"/>
    </row>
    <row r="82" spans="1:127" s="1548" customFormat="1" ht="55.5" customHeight="1">
      <c r="A82" s="3767"/>
      <c r="B82" s="2101" t="str">
        <f t="shared" si="2"/>
        <v>2000002611</v>
      </c>
      <c r="C82" s="1495" t="s">
        <v>3629</v>
      </c>
      <c r="D82" s="2203"/>
      <c r="E82" s="1495"/>
      <c r="F82" s="1495" t="s">
        <v>3416</v>
      </c>
      <c r="G82" s="1495"/>
      <c r="H82" s="1495"/>
      <c r="I82" s="1495"/>
      <c r="J82" s="1495" t="s">
        <v>63</v>
      </c>
      <c r="K82" s="1600" t="s">
        <v>7330</v>
      </c>
      <c r="L82" s="2204">
        <v>14000</v>
      </c>
      <c r="M82" s="2160" t="s">
        <v>6705</v>
      </c>
      <c r="N82" s="2208" t="s">
        <v>7331</v>
      </c>
      <c r="O82" s="2208"/>
    </row>
    <row r="83" spans="1:127" s="1548" customFormat="1" ht="55.5" customHeight="1">
      <c r="A83" s="3768"/>
      <c r="B83" s="2101" t="str">
        <f t="shared" si="2"/>
        <v>2000002609</v>
      </c>
      <c r="C83" s="1495" t="s">
        <v>3629</v>
      </c>
      <c r="D83" s="2203"/>
      <c r="E83" s="1495"/>
      <c r="F83" s="1495" t="s">
        <v>3416</v>
      </c>
      <c r="G83" s="1495"/>
      <c r="H83" s="1495"/>
      <c r="I83" s="1495"/>
      <c r="J83" s="1495" t="s">
        <v>63</v>
      </c>
      <c r="K83" s="1600" t="s">
        <v>7332</v>
      </c>
      <c r="L83" s="2204">
        <v>2550</v>
      </c>
      <c r="M83" s="2160" t="s">
        <v>6705</v>
      </c>
      <c r="N83" s="2202" t="s">
        <v>7333</v>
      </c>
      <c r="O83" s="2208"/>
    </row>
    <row r="84" spans="1:127" s="1548" customFormat="1" ht="55.5" customHeight="1">
      <c r="A84" s="3793">
        <v>32</v>
      </c>
      <c r="B84" s="2101" t="str">
        <f t="shared" si="2"/>
        <v>2400001013</v>
      </c>
      <c r="C84" s="2118" t="s">
        <v>7334</v>
      </c>
      <c r="D84" s="2119">
        <v>19525</v>
      </c>
      <c r="E84" s="2118" t="s">
        <v>7335</v>
      </c>
      <c r="F84" s="2120" t="s">
        <v>25</v>
      </c>
      <c r="G84" s="1921" t="s">
        <v>7336</v>
      </c>
      <c r="H84" s="2159"/>
      <c r="I84" s="2118" t="s">
        <v>19</v>
      </c>
      <c r="J84" s="2120" t="s">
        <v>4796</v>
      </c>
      <c r="K84" s="2194" t="s">
        <v>7337</v>
      </c>
      <c r="L84" s="2227">
        <v>500</v>
      </c>
      <c r="M84" s="2160" t="s">
        <v>7181</v>
      </c>
      <c r="N84" s="2117" t="s">
        <v>7338</v>
      </c>
      <c r="O84" s="2117"/>
      <c r="P84" s="2122"/>
      <c r="Q84" s="2122"/>
      <c r="R84" s="2122"/>
      <c r="S84" s="2122"/>
      <c r="T84" s="2122"/>
      <c r="U84" s="2122"/>
      <c r="V84" s="2122"/>
      <c r="W84" s="2122"/>
      <c r="X84" s="2122"/>
      <c r="Y84" s="2122"/>
      <c r="Z84" s="2122"/>
      <c r="AA84" s="2122"/>
      <c r="AB84" s="2122"/>
      <c r="AC84" s="2122"/>
      <c r="AD84" s="2122"/>
      <c r="AE84" s="2122"/>
      <c r="AF84" s="2122"/>
      <c r="AG84" s="2122"/>
      <c r="AH84" s="2122"/>
      <c r="AI84" s="2122"/>
      <c r="AJ84" s="2122"/>
      <c r="AK84" s="2122"/>
      <c r="AL84" s="2122"/>
      <c r="AM84" s="2122"/>
      <c r="AN84" s="2122"/>
      <c r="AO84" s="2122"/>
      <c r="AP84" s="2122"/>
      <c r="AQ84" s="2122"/>
      <c r="AR84" s="2122"/>
      <c r="AS84" s="2122"/>
      <c r="AT84" s="2122"/>
      <c r="AU84" s="2122"/>
      <c r="AV84" s="2122"/>
      <c r="AW84" s="2122"/>
      <c r="AX84" s="2122"/>
      <c r="AY84" s="2122"/>
      <c r="AZ84" s="2122"/>
      <c r="BA84" s="2122"/>
      <c r="BB84" s="2122"/>
      <c r="BC84" s="2122"/>
      <c r="BD84" s="2122"/>
      <c r="BE84" s="2122"/>
      <c r="BF84" s="2122"/>
      <c r="BG84" s="2122"/>
      <c r="BH84" s="2122"/>
      <c r="BI84" s="2122"/>
      <c r="BJ84" s="2122"/>
      <c r="BK84" s="2122"/>
      <c r="BL84" s="2122"/>
      <c r="BM84" s="2122"/>
      <c r="BN84" s="2122"/>
      <c r="BO84" s="2122"/>
      <c r="BP84" s="2122"/>
      <c r="BQ84" s="2122"/>
      <c r="BR84" s="2122"/>
      <c r="BS84" s="2122"/>
      <c r="BT84" s="2122"/>
      <c r="BU84" s="2122"/>
      <c r="BV84" s="2122"/>
      <c r="BW84" s="2122"/>
      <c r="BX84" s="2122"/>
      <c r="BY84" s="2122"/>
      <c r="BZ84" s="2122"/>
      <c r="CA84" s="2122"/>
      <c r="CB84" s="2122"/>
      <c r="CC84" s="2122"/>
      <c r="CD84" s="2122"/>
      <c r="CE84" s="2122"/>
      <c r="CF84" s="2122"/>
      <c r="CG84" s="2122"/>
      <c r="CH84" s="2122"/>
      <c r="CI84" s="2122"/>
      <c r="CJ84" s="2122"/>
      <c r="CK84" s="2122"/>
      <c r="CL84" s="2122"/>
      <c r="CM84" s="2122"/>
      <c r="CN84" s="2122"/>
      <c r="CO84" s="2122"/>
      <c r="CP84" s="2122"/>
      <c r="CQ84" s="2122"/>
      <c r="CR84" s="2122"/>
      <c r="CS84" s="2122"/>
      <c r="CT84" s="2122"/>
      <c r="CU84" s="2122"/>
      <c r="CV84" s="2122"/>
      <c r="CW84" s="2122"/>
      <c r="CX84" s="2122"/>
      <c r="CY84" s="2122"/>
      <c r="CZ84" s="2122"/>
      <c r="DA84" s="2122"/>
      <c r="DB84" s="2122"/>
      <c r="DC84" s="2122"/>
      <c r="DD84" s="2122"/>
      <c r="DE84" s="2122"/>
      <c r="DF84" s="2122"/>
      <c r="DG84" s="2122"/>
      <c r="DH84" s="2122"/>
      <c r="DI84" s="2122"/>
      <c r="DJ84" s="2122"/>
      <c r="DK84" s="2122"/>
      <c r="DL84" s="2122"/>
      <c r="DM84" s="2122"/>
      <c r="DN84" s="2122"/>
      <c r="DO84" s="2122"/>
      <c r="DP84" s="2122"/>
      <c r="DQ84" s="2122"/>
      <c r="DR84" s="2122"/>
      <c r="DS84" s="2122"/>
      <c r="DT84" s="2122"/>
      <c r="DU84" s="2122"/>
      <c r="DV84" s="2122"/>
      <c r="DW84" s="2122" t="s">
        <v>4799</v>
      </c>
    </row>
    <row r="85" spans="1:127" s="1548" customFormat="1" ht="55.5" customHeight="1">
      <c r="A85" s="3793"/>
      <c r="B85" s="2101" t="str">
        <f t="shared" si="2"/>
        <v>2400001000</v>
      </c>
      <c r="C85" s="1851" t="s">
        <v>7334</v>
      </c>
      <c r="D85" s="2097"/>
      <c r="E85" s="2118"/>
      <c r="F85" s="1872" t="s">
        <v>25</v>
      </c>
      <c r="G85" s="1495"/>
      <c r="H85" s="1947"/>
      <c r="I85" s="1851"/>
      <c r="J85" s="1872"/>
      <c r="K85" s="1496" t="s">
        <v>7339</v>
      </c>
      <c r="L85" s="2226">
        <v>5250</v>
      </c>
      <c r="M85" s="2160" t="s">
        <v>6705</v>
      </c>
      <c r="N85" s="2102" t="s">
        <v>6706</v>
      </c>
      <c r="O85" s="2102"/>
      <c r="P85" s="1883"/>
      <c r="Q85" s="1883"/>
      <c r="R85" s="1883"/>
      <c r="S85" s="1883"/>
      <c r="T85" s="1883"/>
      <c r="U85" s="1883"/>
      <c r="V85" s="1883"/>
      <c r="W85" s="1883"/>
      <c r="X85" s="1883"/>
      <c r="Y85" s="1883"/>
      <c r="Z85" s="1883"/>
      <c r="AA85" s="1883"/>
      <c r="AB85" s="1883"/>
      <c r="AC85" s="1883"/>
      <c r="AD85" s="1883"/>
      <c r="AE85" s="1883"/>
      <c r="AF85" s="1883"/>
      <c r="AG85" s="1883"/>
      <c r="AH85" s="1883"/>
      <c r="AI85" s="1883"/>
      <c r="AJ85" s="1883"/>
      <c r="AK85" s="1883"/>
      <c r="AL85" s="1883"/>
      <c r="AM85" s="1883"/>
      <c r="AN85" s="1883"/>
      <c r="AO85" s="1883"/>
      <c r="AP85" s="1883"/>
      <c r="AQ85" s="1883"/>
      <c r="AR85" s="1883"/>
      <c r="AS85" s="1883"/>
      <c r="AT85" s="1883"/>
      <c r="AU85" s="1883"/>
      <c r="AV85" s="1883"/>
      <c r="AW85" s="1883"/>
      <c r="AX85" s="1883"/>
      <c r="AY85" s="1883"/>
      <c r="AZ85" s="1883"/>
      <c r="BA85" s="1883"/>
      <c r="BB85" s="1883"/>
      <c r="BC85" s="1883"/>
      <c r="BD85" s="1883"/>
      <c r="BE85" s="1883"/>
      <c r="BF85" s="1883"/>
      <c r="BG85" s="1883"/>
      <c r="BH85" s="1883"/>
      <c r="BI85" s="1883"/>
      <c r="BJ85" s="1883"/>
      <c r="BK85" s="1883"/>
      <c r="BL85" s="1883"/>
      <c r="BM85" s="1883"/>
      <c r="BN85" s="1883"/>
      <c r="BO85" s="1883"/>
      <c r="BP85" s="1883"/>
      <c r="BQ85" s="1883"/>
      <c r="BR85" s="1883"/>
      <c r="BS85" s="1883"/>
      <c r="BT85" s="1883"/>
      <c r="BU85" s="1883"/>
      <c r="BV85" s="1883"/>
      <c r="BW85" s="1883"/>
      <c r="BX85" s="1883"/>
      <c r="BY85" s="1883"/>
      <c r="BZ85" s="1883"/>
      <c r="CA85" s="1883"/>
      <c r="CB85" s="1883"/>
      <c r="CC85" s="1883"/>
      <c r="CD85" s="1883"/>
      <c r="CE85" s="1883"/>
      <c r="CF85" s="1883"/>
      <c r="CG85" s="1883"/>
      <c r="CH85" s="1883"/>
      <c r="CI85" s="1883"/>
      <c r="CJ85" s="1883"/>
      <c r="CK85" s="1883"/>
      <c r="CL85" s="1883"/>
      <c r="CM85" s="1883"/>
      <c r="CN85" s="1883"/>
      <c r="CO85" s="1883"/>
      <c r="CP85" s="1883"/>
      <c r="CQ85" s="1883"/>
      <c r="CR85" s="1883"/>
      <c r="CS85" s="1883"/>
      <c r="CT85" s="1883"/>
      <c r="CU85" s="1883"/>
      <c r="CV85" s="1883"/>
      <c r="CW85" s="1883"/>
      <c r="CX85" s="1883"/>
      <c r="CY85" s="1883"/>
      <c r="CZ85" s="1883"/>
      <c r="DA85" s="1883"/>
      <c r="DB85" s="1883"/>
      <c r="DC85" s="1883"/>
      <c r="DD85" s="1883"/>
      <c r="DE85" s="1883"/>
      <c r="DF85" s="1883"/>
      <c r="DG85" s="1883"/>
      <c r="DH85" s="1883"/>
      <c r="DI85" s="1883"/>
      <c r="DJ85" s="1883"/>
      <c r="DK85" s="1883"/>
      <c r="DL85" s="1883"/>
      <c r="DM85" s="1883"/>
      <c r="DN85" s="1883"/>
      <c r="DO85" s="1883"/>
      <c r="DP85" s="1883"/>
      <c r="DQ85" s="1883"/>
      <c r="DR85" s="1883"/>
      <c r="DS85" s="1883"/>
      <c r="DT85" s="1883"/>
      <c r="DU85" s="1883"/>
      <c r="DV85" s="1883"/>
      <c r="DW85" s="1883"/>
    </row>
    <row r="86" spans="1:127" s="1548" customFormat="1" ht="55.5" customHeight="1">
      <c r="A86" s="3793"/>
      <c r="B86" s="2101" t="str">
        <f t="shared" si="2"/>
        <v>2400001001</v>
      </c>
      <c r="C86" s="1851" t="s">
        <v>7334</v>
      </c>
      <c r="D86" s="2097"/>
      <c r="E86" s="2118"/>
      <c r="F86" s="1872" t="s">
        <v>25</v>
      </c>
      <c r="G86" s="1495"/>
      <c r="H86" s="1947"/>
      <c r="I86" s="1851"/>
      <c r="J86" s="1872"/>
      <c r="K86" s="1496" t="s">
        <v>7340</v>
      </c>
      <c r="L86" s="2226">
        <v>450</v>
      </c>
      <c r="M86" s="2160" t="s">
        <v>6705</v>
      </c>
      <c r="N86" s="2102" t="s">
        <v>6706</v>
      </c>
      <c r="O86" s="2102"/>
      <c r="P86" s="1883"/>
      <c r="Q86" s="1883"/>
      <c r="R86" s="1883"/>
      <c r="S86" s="1883"/>
      <c r="T86" s="1883"/>
      <c r="U86" s="1883"/>
      <c r="V86" s="1883"/>
      <c r="W86" s="1883"/>
      <c r="X86" s="1883"/>
      <c r="Y86" s="1883"/>
      <c r="Z86" s="1883"/>
      <c r="AA86" s="1883"/>
      <c r="AB86" s="1883"/>
      <c r="AC86" s="1883"/>
      <c r="AD86" s="1883"/>
      <c r="AE86" s="1883"/>
      <c r="AF86" s="1883"/>
      <c r="AG86" s="1883"/>
      <c r="AH86" s="1883"/>
      <c r="AI86" s="1883"/>
      <c r="AJ86" s="1883"/>
      <c r="AK86" s="1883"/>
      <c r="AL86" s="1883"/>
      <c r="AM86" s="1883"/>
      <c r="AN86" s="1883"/>
      <c r="AO86" s="1883"/>
      <c r="AP86" s="1883"/>
      <c r="AQ86" s="1883"/>
      <c r="AR86" s="1883"/>
      <c r="AS86" s="1883"/>
      <c r="AT86" s="1883"/>
      <c r="AU86" s="1883"/>
      <c r="AV86" s="1883"/>
      <c r="AW86" s="1883"/>
      <c r="AX86" s="1883"/>
      <c r="AY86" s="1883"/>
      <c r="AZ86" s="1883"/>
      <c r="BA86" s="1883"/>
      <c r="BB86" s="1883"/>
      <c r="BC86" s="1883"/>
      <c r="BD86" s="1883"/>
      <c r="BE86" s="1883"/>
      <c r="BF86" s="1883"/>
      <c r="BG86" s="1883"/>
      <c r="BH86" s="1883"/>
      <c r="BI86" s="1883"/>
      <c r="BJ86" s="1883"/>
      <c r="BK86" s="1883"/>
      <c r="BL86" s="1883"/>
      <c r="BM86" s="1883"/>
      <c r="BN86" s="1883"/>
      <c r="BO86" s="1883"/>
      <c r="BP86" s="1883"/>
      <c r="BQ86" s="1883"/>
      <c r="BR86" s="1883"/>
      <c r="BS86" s="1883"/>
      <c r="BT86" s="1883"/>
      <c r="BU86" s="1883"/>
      <c r="BV86" s="1883"/>
      <c r="BW86" s="1883"/>
      <c r="BX86" s="1883"/>
      <c r="BY86" s="1883"/>
      <c r="BZ86" s="1883"/>
      <c r="CA86" s="1883"/>
      <c r="CB86" s="1883"/>
      <c r="CC86" s="1883"/>
      <c r="CD86" s="1883"/>
      <c r="CE86" s="1883"/>
      <c r="CF86" s="1883"/>
      <c r="CG86" s="1883"/>
      <c r="CH86" s="1883"/>
      <c r="CI86" s="1883"/>
      <c r="CJ86" s="1883"/>
      <c r="CK86" s="1883"/>
      <c r="CL86" s="1883"/>
      <c r="CM86" s="1883"/>
      <c r="CN86" s="1883"/>
      <c r="CO86" s="1883"/>
      <c r="CP86" s="1883"/>
      <c r="CQ86" s="1883"/>
      <c r="CR86" s="1883"/>
      <c r="CS86" s="1883"/>
      <c r="CT86" s="1883"/>
      <c r="CU86" s="1883"/>
      <c r="CV86" s="1883"/>
      <c r="CW86" s="1883"/>
      <c r="CX86" s="1883"/>
      <c r="CY86" s="1883"/>
      <c r="CZ86" s="1883"/>
      <c r="DA86" s="1883"/>
      <c r="DB86" s="1883"/>
      <c r="DC86" s="1883"/>
      <c r="DD86" s="1883"/>
      <c r="DE86" s="1883"/>
      <c r="DF86" s="1883"/>
      <c r="DG86" s="1883"/>
      <c r="DH86" s="1883"/>
      <c r="DI86" s="1883"/>
      <c r="DJ86" s="1883"/>
      <c r="DK86" s="1883"/>
      <c r="DL86" s="1883"/>
      <c r="DM86" s="1883"/>
      <c r="DN86" s="1883"/>
      <c r="DO86" s="1883"/>
      <c r="DP86" s="1883"/>
      <c r="DQ86" s="1883"/>
      <c r="DR86" s="1883"/>
      <c r="DS86" s="1883"/>
      <c r="DT86" s="1883"/>
      <c r="DU86" s="1883"/>
      <c r="DV86" s="1883"/>
      <c r="DW86" s="1883"/>
    </row>
    <row r="87" spans="1:127" s="1548" customFormat="1" ht="55.5" customHeight="1">
      <c r="A87" s="3793"/>
      <c r="B87" s="2101" t="str">
        <f t="shared" si="2"/>
        <v>2400001002</v>
      </c>
      <c r="C87" s="1851" t="s">
        <v>7334</v>
      </c>
      <c r="D87" s="2097"/>
      <c r="E87" s="2118"/>
      <c r="F87" s="1872" t="s">
        <v>25</v>
      </c>
      <c r="G87" s="1495"/>
      <c r="H87" s="1947"/>
      <c r="I87" s="1851"/>
      <c r="J87" s="1872"/>
      <c r="K87" s="1496" t="s">
        <v>7341</v>
      </c>
      <c r="L87" s="2226">
        <v>300</v>
      </c>
      <c r="M87" s="2160" t="s">
        <v>6705</v>
      </c>
      <c r="N87" s="2102" t="s">
        <v>6706</v>
      </c>
      <c r="O87" s="2102"/>
      <c r="P87" s="1883"/>
      <c r="Q87" s="1883"/>
      <c r="R87" s="1883"/>
      <c r="S87" s="1883"/>
      <c r="T87" s="1883"/>
      <c r="U87" s="1883"/>
      <c r="V87" s="1883"/>
      <c r="W87" s="1883"/>
      <c r="X87" s="1883"/>
      <c r="Y87" s="1883"/>
      <c r="Z87" s="1883"/>
      <c r="AA87" s="1883"/>
      <c r="AB87" s="1883"/>
      <c r="AC87" s="1883"/>
      <c r="AD87" s="1883"/>
      <c r="AE87" s="1883"/>
      <c r="AF87" s="1883"/>
      <c r="AG87" s="1883"/>
      <c r="AH87" s="1883"/>
      <c r="AI87" s="1883"/>
      <c r="AJ87" s="1883"/>
      <c r="AK87" s="1883"/>
      <c r="AL87" s="1883"/>
      <c r="AM87" s="1883"/>
      <c r="AN87" s="1883"/>
      <c r="AO87" s="1883"/>
      <c r="AP87" s="1883"/>
      <c r="AQ87" s="1883"/>
      <c r="AR87" s="1883"/>
      <c r="AS87" s="1883"/>
      <c r="AT87" s="1883"/>
      <c r="AU87" s="1883"/>
      <c r="AV87" s="1883"/>
      <c r="AW87" s="1883"/>
      <c r="AX87" s="1883"/>
      <c r="AY87" s="1883"/>
      <c r="AZ87" s="1883"/>
      <c r="BA87" s="1883"/>
      <c r="BB87" s="1883"/>
      <c r="BC87" s="1883"/>
      <c r="BD87" s="1883"/>
      <c r="BE87" s="1883"/>
      <c r="BF87" s="1883"/>
      <c r="BG87" s="1883"/>
      <c r="BH87" s="1883"/>
      <c r="BI87" s="1883"/>
      <c r="BJ87" s="1883"/>
      <c r="BK87" s="1883"/>
      <c r="BL87" s="1883"/>
      <c r="BM87" s="1883"/>
      <c r="BN87" s="1883"/>
      <c r="BO87" s="1883"/>
      <c r="BP87" s="1883"/>
      <c r="BQ87" s="1883"/>
      <c r="BR87" s="1883"/>
      <c r="BS87" s="1883"/>
      <c r="BT87" s="1883"/>
      <c r="BU87" s="1883"/>
      <c r="BV87" s="1883"/>
      <c r="BW87" s="1883"/>
      <c r="BX87" s="1883"/>
      <c r="BY87" s="1883"/>
      <c r="BZ87" s="1883"/>
      <c r="CA87" s="1883"/>
      <c r="CB87" s="1883"/>
      <c r="CC87" s="1883"/>
      <c r="CD87" s="1883"/>
      <c r="CE87" s="1883"/>
      <c r="CF87" s="1883"/>
      <c r="CG87" s="1883"/>
      <c r="CH87" s="1883"/>
      <c r="CI87" s="1883"/>
      <c r="CJ87" s="1883"/>
      <c r="CK87" s="1883"/>
      <c r="CL87" s="1883"/>
      <c r="CM87" s="1883"/>
      <c r="CN87" s="1883"/>
      <c r="CO87" s="1883"/>
      <c r="CP87" s="1883"/>
      <c r="CQ87" s="1883"/>
      <c r="CR87" s="1883"/>
      <c r="CS87" s="1883"/>
      <c r="CT87" s="1883"/>
      <c r="CU87" s="1883"/>
      <c r="CV87" s="1883"/>
      <c r="CW87" s="1883"/>
      <c r="CX87" s="1883"/>
      <c r="CY87" s="1883"/>
      <c r="CZ87" s="1883"/>
      <c r="DA87" s="1883"/>
      <c r="DB87" s="1883"/>
      <c r="DC87" s="1883"/>
      <c r="DD87" s="1883"/>
      <c r="DE87" s="1883"/>
      <c r="DF87" s="1883"/>
      <c r="DG87" s="1883"/>
      <c r="DH87" s="1883"/>
      <c r="DI87" s="1883"/>
      <c r="DJ87" s="1883"/>
      <c r="DK87" s="1883"/>
      <c r="DL87" s="1883"/>
      <c r="DM87" s="1883"/>
      <c r="DN87" s="1883"/>
      <c r="DO87" s="1883"/>
      <c r="DP87" s="1883"/>
      <c r="DQ87" s="1883"/>
      <c r="DR87" s="1883"/>
      <c r="DS87" s="1883"/>
      <c r="DT87" s="1883"/>
      <c r="DU87" s="1883"/>
      <c r="DV87" s="1883"/>
      <c r="DW87" s="1883"/>
    </row>
    <row r="88" spans="1:127" s="1548" customFormat="1" ht="55.5" customHeight="1">
      <c r="A88" s="3793"/>
      <c r="B88" s="2101" t="str">
        <f t="shared" si="2"/>
        <v>2400001019</v>
      </c>
      <c r="C88" s="1851" t="s">
        <v>7334</v>
      </c>
      <c r="D88" s="2097"/>
      <c r="E88" s="2118"/>
      <c r="F88" s="1872" t="s">
        <v>25</v>
      </c>
      <c r="G88" s="1495"/>
      <c r="H88" s="1947"/>
      <c r="I88" s="1851"/>
      <c r="J88" s="1872"/>
      <c r="K88" s="1496" t="s">
        <v>7342</v>
      </c>
      <c r="L88" s="2226">
        <v>650</v>
      </c>
      <c r="M88" s="2160" t="s">
        <v>6705</v>
      </c>
      <c r="N88" s="2102" t="s">
        <v>6706</v>
      </c>
      <c r="O88" s="2102"/>
      <c r="P88" s="1883"/>
      <c r="Q88" s="1883"/>
      <c r="R88" s="1883"/>
      <c r="S88" s="1883"/>
      <c r="T88" s="1883"/>
      <c r="U88" s="1883"/>
      <c r="V88" s="1883"/>
      <c r="W88" s="1883"/>
      <c r="X88" s="1883"/>
      <c r="Y88" s="1883"/>
      <c r="Z88" s="1883"/>
      <c r="AA88" s="1883"/>
      <c r="AB88" s="1883"/>
      <c r="AC88" s="1883"/>
      <c r="AD88" s="1883"/>
      <c r="AE88" s="1883"/>
      <c r="AF88" s="1883"/>
      <c r="AG88" s="1883"/>
      <c r="AH88" s="1883"/>
      <c r="AI88" s="1883"/>
      <c r="AJ88" s="1883"/>
      <c r="AK88" s="1883"/>
      <c r="AL88" s="1883"/>
      <c r="AM88" s="1883"/>
      <c r="AN88" s="1883"/>
      <c r="AO88" s="1883"/>
      <c r="AP88" s="1883"/>
      <c r="AQ88" s="1883"/>
      <c r="AR88" s="1883"/>
      <c r="AS88" s="1883"/>
      <c r="AT88" s="1883"/>
      <c r="AU88" s="1883"/>
      <c r="AV88" s="1883"/>
      <c r="AW88" s="1883"/>
      <c r="AX88" s="1883"/>
      <c r="AY88" s="1883"/>
      <c r="AZ88" s="1883"/>
      <c r="BA88" s="1883"/>
      <c r="BB88" s="1883"/>
      <c r="BC88" s="1883"/>
      <c r="BD88" s="1883"/>
      <c r="BE88" s="1883"/>
      <c r="BF88" s="1883"/>
      <c r="BG88" s="1883"/>
      <c r="BH88" s="1883"/>
      <c r="BI88" s="1883"/>
      <c r="BJ88" s="1883"/>
      <c r="BK88" s="1883"/>
      <c r="BL88" s="1883"/>
      <c r="BM88" s="1883"/>
      <c r="BN88" s="1883"/>
      <c r="BO88" s="1883"/>
      <c r="BP88" s="1883"/>
      <c r="BQ88" s="1883"/>
      <c r="BR88" s="1883"/>
      <c r="BS88" s="1883"/>
      <c r="BT88" s="1883"/>
      <c r="BU88" s="1883"/>
      <c r="BV88" s="1883"/>
      <c r="BW88" s="1883"/>
      <c r="BX88" s="1883"/>
      <c r="BY88" s="1883"/>
      <c r="BZ88" s="1883"/>
      <c r="CA88" s="1883"/>
      <c r="CB88" s="1883"/>
      <c r="CC88" s="1883"/>
      <c r="CD88" s="1883"/>
      <c r="CE88" s="1883"/>
      <c r="CF88" s="1883"/>
      <c r="CG88" s="1883"/>
      <c r="CH88" s="1883"/>
      <c r="CI88" s="1883"/>
      <c r="CJ88" s="1883"/>
      <c r="CK88" s="1883"/>
      <c r="CL88" s="1883"/>
      <c r="CM88" s="1883"/>
      <c r="CN88" s="1883"/>
      <c r="CO88" s="1883"/>
      <c r="CP88" s="1883"/>
      <c r="CQ88" s="1883"/>
      <c r="CR88" s="1883"/>
      <c r="CS88" s="1883"/>
      <c r="CT88" s="1883"/>
      <c r="CU88" s="1883"/>
      <c r="CV88" s="1883"/>
      <c r="CW88" s="1883"/>
      <c r="CX88" s="1883"/>
      <c r="CY88" s="1883"/>
      <c r="CZ88" s="1883"/>
      <c r="DA88" s="1883"/>
      <c r="DB88" s="1883"/>
      <c r="DC88" s="1883"/>
      <c r="DD88" s="1883"/>
      <c r="DE88" s="1883"/>
      <c r="DF88" s="1883"/>
      <c r="DG88" s="1883"/>
      <c r="DH88" s="1883"/>
      <c r="DI88" s="1883"/>
      <c r="DJ88" s="1883"/>
      <c r="DK88" s="1883"/>
      <c r="DL88" s="1883"/>
      <c r="DM88" s="1883"/>
      <c r="DN88" s="1883"/>
      <c r="DO88" s="1883"/>
      <c r="DP88" s="1883"/>
      <c r="DQ88" s="1883"/>
      <c r="DR88" s="1883"/>
      <c r="DS88" s="1883"/>
      <c r="DT88" s="1883"/>
      <c r="DU88" s="1883"/>
      <c r="DV88" s="1883"/>
      <c r="DW88" s="1883"/>
    </row>
    <row r="89" spans="1:127" s="1548" customFormat="1" ht="55.5" customHeight="1">
      <c r="A89" s="3793"/>
      <c r="B89" s="2101" t="str">
        <f t="shared" si="2"/>
        <v>2400001020</v>
      </c>
      <c r="C89" s="1851" t="s">
        <v>7334</v>
      </c>
      <c r="D89" s="2097"/>
      <c r="E89" s="2118"/>
      <c r="F89" s="1872" t="s">
        <v>25</v>
      </c>
      <c r="G89" s="1495"/>
      <c r="H89" s="1947"/>
      <c r="I89" s="1851"/>
      <c r="J89" s="1872"/>
      <c r="K89" s="1496" t="s">
        <v>7343</v>
      </c>
      <c r="L89" s="2226">
        <v>425</v>
      </c>
      <c r="M89" s="2160" t="s">
        <v>6705</v>
      </c>
      <c r="N89" s="2102" t="s">
        <v>6706</v>
      </c>
      <c r="O89" s="2102"/>
      <c r="P89" s="1883"/>
      <c r="Q89" s="1883"/>
      <c r="R89" s="1883"/>
      <c r="S89" s="1883"/>
      <c r="T89" s="1883"/>
      <c r="U89" s="1883"/>
      <c r="V89" s="1883"/>
      <c r="W89" s="1883"/>
      <c r="X89" s="1883"/>
      <c r="Y89" s="1883"/>
      <c r="Z89" s="1883"/>
      <c r="AA89" s="1883"/>
      <c r="AB89" s="1883"/>
      <c r="AC89" s="1883"/>
      <c r="AD89" s="1883"/>
      <c r="AE89" s="1883"/>
      <c r="AF89" s="1883"/>
      <c r="AG89" s="1883"/>
      <c r="AH89" s="1883"/>
      <c r="AI89" s="1883"/>
      <c r="AJ89" s="1883"/>
      <c r="AK89" s="1883"/>
      <c r="AL89" s="1883"/>
      <c r="AM89" s="1883"/>
      <c r="AN89" s="1883"/>
      <c r="AO89" s="1883"/>
      <c r="AP89" s="1883"/>
      <c r="AQ89" s="1883"/>
      <c r="AR89" s="1883"/>
      <c r="AS89" s="1883"/>
      <c r="AT89" s="1883"/>
      <c r="AU89" s="1883"/>
      <c r="AV89" s="1883"/>
      <c r="AW89" s="1883"/>
      <c r="AX89" s="1883"/>
      <c r="AY89" s="1883"/>
      <c r="AZ89" s="1883"/>
      <c r="BA89" s="1883"/>
      <c r="BB89" s="1883"/>
      <c r="BC89" s="1883"/>
      <c r="BD89" s="1883"/>
      <c r="BE89" s="1883"/>
      <c r="BF89" s="1883"/>
      <c r="BG89" s="1883"/>
      <c r="BH89" s="1883"/>
      <c r="BI89" s="1883"/>
      <c r="BJ89" s="1883"/>
      <c r="BK89" s="1883"/>
      <c r="BL89" s="1883"/>
      <c r="BM89" s="1883"/>
      <c r="BN89" s="1883"/>
      <c r="BO89" s="1883"/>
      <c r="BP89" s="1883"/>
      <c r="BQ89" s="1883"/>
      <c r="BR89" s="1883"/>
      <c r="BS89" s="1883"/>
      <c r="BT89" s="1883"/>
      <c r="BU89" s="1883"/>
      <c r="BV89" s="1883"/>
      <c r="BW89" s="1883"/>
      <c r="BX89" s="1883"/>
      <c r="BY89" s="1883"/>
      <c r="BZ89" s="1883"/>
      <c r="CA89" s="1883"/>
      <c r="CB89" s="1883"/>
      <c r="CC89" s="1883"/>
      <c r="CD89" s="1883"/>
      <c r="CE89" s="1883"/>
      <c r="CF89" s="1883"/>
      <c r="CG89" s="1883"/>
      <c r="CH89" s="1883"/>
      <c r="CI89" s="1883"/>
      <c r="CJ89" s="1883"/>
      <c r="CK89" s="1883"/>
      <c r="CL89" s="1883"/>
      <c r="CM89" s="1883"/>
      <c r="CN89" s="1883"/>
      <c r="CO89" s="1883"/>
      <c r="CP89" s="1883"/>
      <c r="CQ89" s="1883"/>
      <c r="CR89" s="1883"/>
      <c r="CS89" s="1883"/>
      <c r="CT89" s="1883"/>
      <c r="CU89" s="1883"/>
      <c r="CV89" s="1883"/>
      <c r="CW89" s="1883"/>
      <c r="CX89" s="1883"/>
      <c r="CY89" s="1883"/>
      <c r="CZ89" s="1883"/>
      <c r="DA89" s="1883"/>
      <c r="DB89" s="1883"/>
      <c r="DC89" s="1883"/>
      <c r="DD89" s="1883"/>
      <c r="DE89" s="1883"/>
      <c r="DF89" s="1883"/>
      <c r="DG89" s="1883"/>
      <c r="DH89" s="1883"/>
      <c r="DI89" s="1883"/>
      <c r="DJ89" s="1883"/>
      <c r="DK89" s="1883"/>
      <c r="DL89" s="1883"/>
      <c r="DM89" s="1883"/>
      <c r="DN89" s="1883"/>
      <c r="DO89" s="1883"/>
      <c r="DP89" s="1883"/>
      <c r="DQ89" s="1883"/>
      <c r="DR89" s="1883"/>
      <c r="DS89" s="1883"/>
      <c r="DT89" s="1883"/>
      <c r="DU89" s="1883"/>
      <c r="DV89" s="1883"/>
      <c r="DW89" s="1883"/>
    </row>
    <row r="90" spans="1:127" s="1548" customFormat="1" ht="55.5" customHeight="1">
      <c r="A90" s="3793"/>
      <c r="B90" s="2101" t="str">
        <f t="shared" si="2"/>
        <v>2400001008</v>
      </c>
      <c r="C90" s="1851" t="s">
        <v>7334</v>
      </c>
      <c r="D90" s="2097"/>
      <c r="E90" s="2118"/>
      <c r="F90" s="1872" t="s">
        <v>25</v>
      </c>
      <c r="G90" s="1495"/>
      <c r="H90" s="1947"/>
      <c r="I90" s="1851"/>
      <c r="J90" s="1872"/>
      <c r="K90" s="1496" t="s">
        <v>7344</v>
      </c>
      <c r="L90" s="2226">
        <v>800</v>
      </c>
      <c r="M90" s="2160" t="s">
        <v>6705</v>
      </c>
      <c r="N90" s="2102" t="s">
        <v>6706</v>
      </c>
      <c r="O90" s="2102"/>
      <c r="P90" s="1883"/>
      <c r="Q90" s="1883"/>
      <c r="R90" s="1883"/>
      <c r="S90" s="1883"/>
      <c r="T90" s="1883"/>
      <c r="U90" s="1883"/>
      <c r="V90" s="1883"/>
      <c r="W90" s="1883"/>
      <c r="X90" s="1883"/>
      <c r="Y90" s="1883"/>
      <c r="Z90" s="1883"/>
      <c r="AA90" s="1883"/>
      <c r="AB90" s="1883"/>
      <c r="AC90" s="1883"/>
      <c r="AD90" s="1883"/>
      <c r="AE90" s="1883"/>
      <c r="AF90" s="1883"/>
      <c r="AG90" s="1883"/>
      <c r="AH90" s="1883"/>
      <c r="AI90" s="1883"/>
      <c r="AJ90" s="1883"/>
      <c r="AK90" s="1883"/>
      <c r="AL90" s="1883"/>
      <c r="AM90" s="1883"/>
      <c r="AN90" s="1883"/>
      <c r="AO90" s="1883"/>
      <c r="AP90" s="1883"/>
      <c r="AQ90" s="1883"/>
      <c r="AR90" s="1883"/>
      <c r="AS90" s="1883"/>
      <c r="AT90" s="1883"/>
      <c r="AU90" s="1883"/>
      <c r="AV90" s="1883"/>
      <c r="AW90" s="1883"/>
      <c r="AX90" s="1883"/>
      <c r="AY90" s="1883"/>
      <c r="AZ90" s="1883"/>
      <c r="BA90" s="1883"/>
      <c r="BB90" s="1883"/>
      <c r="BC90" s="1883"/>
      <c r="BD90" s="1883"/>
      <c r="BE90" s="1883"/>
      <c r="BF90" s="1883"/>
      <c r="BG90" s="1883"/>
      <c r="BH90" s="1883"/>
      <c r="BI90" s="1883"/>
      <c r="BJ90" s="1883"/>
      <c r="BK90" s="1883"/>
      <c r="BL90" s="1883"/>
      <c r="BM90" s="1883"/>
      <c r="BN90" s="1883"/>
      <c r="BO90" s="1883"/>
      <c r="BP90" s="1883"/>
      <c r="BQ90" s="1883"/>
      <c r="BR90" s="1883"/>
      <c r="BS90" s="1883"/>
      <c r="BT90" s="1883"/>
      <c r="BU90" s="1883"/>
      <c r="BV90" s="1883"/>
      <c r="BW90" s="1883"/>
      <c r="BX90" s="1883"/>
      <c r="BY90" s="1883"/>
      <c r="BZ90" s="1883"/>
      <c r="CA90" s="1883"/>
      <c r="CB90" s="1883"/>
      <c r="CC90" s="1883"/>
      <c r="CD90" s="1883"/>
      <c r="CE90" s="1883"/>
      <c r="CF90" s="1883"/>
      <c r="CG90" s="1883"/>
      <c r="CH90" s="1883"/>
      <c r="CI90" s="1883"/>
      <c r="CJ90" s="1883"/>
      <c r="CK90" s="1883"/>
      <c r="CL90" s="1883"/>
      <c r="CM90" s="1883"/>
      <c r="CN90" s="1883"/>
      <c r="CO90" s="1883"/>
      <c r="CP90" s="1883"/>
      <c r="CQ90" s="1883"/>
      <c r="CR90" s="1883"/>
      <c r="CS90" s="1883"/>
      <c r="CT90" s="1883"/>
      <c r="CU90" s="1883"/>
      <c r="CV90" s="1883"/>
      <c r="CW90" s="1883"/>
      <c r="CX90" s="1883"/>
      <c r="CY90" s="1883"/>
      <c r="CZ90" s="1883"/>
      <c r="DA90" s="1883"/>
      <c r="DB90" s="1883"/>
      <c r="DC90" s="1883"/>
      <c r="DD90" s="1883"/>
      <c r="DE90" s="1883"/>
      <c r="DF90" s="1883"/>
      <c r="DG90" s="1883"/>
      <c r="DH90" s="1883"/>
      <c r="DI90" s="1883"/>
      <c r="DJ90" s="1883"/>
      <c r="DK90" s="1883"/>
      <c r="DL90" s="1883"/>
      <c r="DM90" s="1883"/>
      <c r="DN90" s="1883"/>
      <c r="DO90" s="1883"/>
      <c r="DP90" s="1883"/>
      <c r="DQ90" s="1883"/>
      <c r="DR90" s="1883"/>
      <c r="DS90" s="1883"/>
      <c r="DT90" s="1883"/>
      <c r="DU90" s="1883"/>
      <c r="DV90" s="1883"/>
      <c r="DW90" s="1883"/>
    </row>
    <row r="91" spans="1:127" s="1548" customFormat="1" ht="55.5" customHeight="1">
      <c r="A91" s="3793"/>
      <c r="B91" s="2101" t="str">
        <f t="shared" si="2"/>
        <v>2400001010</v>
      </c>
      <c r="C91" s="1851" t="s">
        <v>7334</v>
      </c>
      <c r="D91" s="2097"/>
      <c r="E91" s="1851"/>
      <c r="F91" s="1872" t="s">
        <v>25</v>
      </c>
      <c r="G91" s="1495"/>
      <c r="H91" s="1947"/>
      <c r="I91" s="1851"/>
      <c r="J91" s="1872"/>
      <c r="K91" s="1496" t="s">
        <v>7345</v>
      </c>
      <c r="L91" s="2226">
        <v>4200</v>
      </c>
      <c r="M91" s="2160" t="s">
        <v>6705</v>
      </c>
      <c r="N91" s="2102" t="s">
        <v>6706</v>
      </c>
      <c r="O91" s="2102"/>
      <c r="P91" s="1883"/>
      <c r="Q91" s="1883"/>
      <c r="R91" s="1883"/>
      <c r="S91" s="1883"/>
      <c r="T91" s="1883"/>
      <c r="U91" s="1883"/>
      <c r="V91" s="1883"/>
      <c r="W91" s="1883"/>
      <c r="X91" s="1883"/>
      <c r="Y91" s="1883"/>
      <c r="Z91" s="1883"/>
      <c r="AA91" s="1883"/>
      <c r="AB91" s="1883"/>
      <c r="AC91" s="1883"/>
      <c r="AD91" s="1883"/>
      <c r="AE91" s="1883"/>
      <c r="AF91" s="1883"/>
      <c r="AG91" s="1883"/>
      <c r="AH91" s="1883"/>
      <c r="AI91" s="1883"/>
      <c r="AJ91" s="1883"/>
      <c r="AK91" s="1883"/>
      <c r="AL91" s="1883"/>
      <c r="AM91" s="1883"/>
      <c r="AN91" s="1883"/>
      <c r="AO91" s="1883"/>
      <c r="AP91" s="1883"/>
      <c r="AQ91" s="1883"/>
      <c r="AR91" s="1883"/>
      <c r="AS91" s="1883"/>
      <c r="AT91" s="1883"/>
      <c r="AU91" s="1883"/>
      <c r="AV91" s="1883"/>
      <c r="AW91" s="1883"/>
      <c r="AX91" s="1883"/>
      <c r="AY91" s="1883"/>
      <c r="AZ91" s="1883"/>
      <c r="BA91" s="1883"/>
      <c r="BB91" s="1883"/>
      <c r="BC91" s="1883"/>
      <c r="BD91" s="1883"/>
      <c r="BE91" s="1883"/>
      <c r="BF91" s="1883"/>
      <c r="BG91" s="1883"/>
      <c r="BH91" s="1883"/>
      <c r="BI91" s="1883"/>
      <c r="BJ91" s="1883"/>
      <c r="BK91" s="1883"/>
      <c r="BL91" s="1883"/>
      <c r="BM91" s="1883"/>
      <c r="BN91" s="1883"/>
      <c r="BO91" s="1883"/>
      <c r="BP91" s="1883"/>
      <c r="BQ91" s="1883"/>
      <c r="BR91" s="1883"/>
      <c r="BS91" s="1883"/>
      <c r="BT91" s="1883"/>
      <c r="BU91" s="1883"/>
      <c r="BV91" s="1883"/>
      <c r="BW91" s="1883"/>
      <c r="BX91" s="1883"/>
      <c r="BY91" s="1883"/>
      <c r="BZ91" s="1883"/>
      <c r="CA91" s="1883"/>
      <c r="CB91" s="1883"/>
      <c r="CC91" s="1883"/>
      <c r="CD91" s="1883"/>
      <c r="CE91" s="1883"/>
      <c r="CF91" s="1883"/>
      <c r="CG91" s="1883"/>
      <c r="CH91" s="1883"/>
      <c r="CI91" s="1883"/>
      <c r="CJ91" s="1883"/>
      <c r="CK91" s="1883"/>
      <c r="CL91" s="1883"/>
      <c r="CM91" s="1883"/>
      <c r="CN91" s="1883"/>
      <c r="CO91" s="1883"/>
      <c r="CP91" s="1883"/>
      <c r="CQ91" s="1883"/>
      <c r="CR91" s="1883"/>
      <c r="CS91" s="1883"/>
      <c r="CT91" s="1883"/>
      <c r="CU91" s="1883"/>
      <c r="CV91" s="1883"/>
      <c r="CW91" s="1883"/>
      <c r="CX91" s="1883"/>
      <c r="CY91" s="1883"/>
      <c r="CZ91" s="1883"/>
      <c r="DA91" s="1883"/>
      <c r="DB91" s="1883"/>
      <c r="DC91" s="1883"/>
      <c r="DD91" s="1883"/>
      <c r="DE91" s="1883"/>
      <c r="DF91" s="1883"/>
      <c r="DG91" s="1883"/>
      <c r="DH91" s="1883"/>
      <c r="DI91" s="1883"/>
      <c r="DJ91" s="1883"/>
      <c r="DK91" s="1883"/>
      <c r="DL91" s="1883"/>
      <c r="DM91" s="1883"/>
      <c r="DN91" s="1883"/>
      <c r="DO91" s="1883"/>
      <c r="DP91" s="1883"/>
      <c r="DQ91" s="1883"/>
      <c r="DR91" s="1883"/>
      <c r="DS91" s="1883"/>
      <c r="DT91" s="1883"/>
      <c r="DU91" s="1883"/>
      <c r="DV91" s="1883"/>
      <c r="DW91" s="1883"/>
    </row>
    <row r="92" spans="1:127" s="1548" customFormat="1" ht="55.5" customHeight="1">
      <c r="A92" s="3793"/>
      <c r="B92" s="2101" t="str">
        <f t="shared" si="2"/>
        <v>2400001011</v>
      </c>
      <c r="C92" s="1851" t="s">
        <v>7334</v>
      </c>
      <c r="D92" s="2097"/>
      <c r="E92" s="1851"/>
      <c r="F92" s="1872" t="s">
        <v>25</v>
      </c>
      <c r="G92" s="1495"/>
      <c r="H92" s="1947"/>
      <c r="I92" s="1851"/>
      <c r="J92" s="1872"/>
      <c r="K92" s="1496" t="s">
        <v>7346</v>
      </c>
      <c r="L92" s="2226">
        <v>3000</v>
      </c>
      <c r="M92" s="2160" t="s">
        <v>6705</v>
      </c>
      <c r="N92" s="2102" t="s">
        <v>6706</v>
      </c>
      <c r="O92" s="2102"/>
      <c r="P92" s="1883"/>
      <c r="Q92" s="1883"/>
      <c r="R92" s="1883"/>
      <c r="S92" s="1883"/>
      <c r="T92" s="1883"/>
      <c r="U92" s="1883"/>
      <c r="V92" s="1883"/>
      <c r="W92" s="1883"/>
      <c r="X92" s="1883"/>
      <c r="Y92" s="1883"/>
      <c r="Z92" s="1883"/>
      <c r="AA92" s="1883"/>
      <c r="AB92" s="1883"/>
      <c r="AC92" s="1883"/>
      <c r="AD92" s="1883"/>
      <c r="AE92" s="1883"/>
      <c r="AF92" s="1883"/>
      <c r="AG92" s="1883"/>
      <c r="AH92" s="1883"/>
      <c r="AI92" s="1883"/>
      <c r="AJ92" s="1883"/>
      <c r="AK92" s="1883"/>
      <c r="AL92" s="1883"/>
      <c r="AM92" s="1883"/>
      <c r="AN92" s="1883"/>
      <c r="AO92" s="1883"/>
      <c r="AP92" s="1883"/>
      <c r="AQ92" s="1883"/>
      <c r="AR92" s="1883"/>
      <c r="AS92" s="1883"/>
      <c r="AT92" s="1883"/>
      <c r="AU92" s="1883"/>
      <c r="AV92" s="1883"/>
      <c r="AW92" s="1883"/>
      <c r="AX92" s="1883"/>
      <c r="AY92" s="1883"/>
      <c r="AZ92" s="1883"/>
      <c r="BA92" s="1883"/>
      <c r="BB92" s="1883"/>
      <c r="BC92" s="1883"/>
      <c r="BD92" s="1883"/>
      <c r="BE92" s="1883"/>
      <c r="BF92" s="1883"/>
      <c r="BG92" s="1883"/>
      <c r="BH92" s="1883"/>
      <c r="BI92" s="1883"/>
      <c r="BJ92" s="1883"/>
      <c r="BK92" s="1883"/>
      <c r="BL92" s="1883"/>
      <c r="BM92" s="1883"/>
      <c r="BN92" s="1883"/>
      <c r="BO92" s="1883"/>
      <c r="BP92" s="1883"/>
      <c r="BQ92" s="1883"/>
      <c r="BR92" s="1883"/>
      <c r="BS92" s="1883"/>
      <c r="BT92" s="1883"/>
      <c r="BU92" s="1883"/>
      <c r="BV92" s="1883"/>
      <c r="BW92" s="1883"/>
      <c r="BX92" s="1883"/>
      <c r="BY92" s="1883"/>
      <c r="BZ92" s="1883"/>
      <c r="CA92" s="1883"/>
      <c r="CB92" s="1883"/>
      <c r="CC92" s="1883"/>
      <c r="CD92" s="1883"/>
      <c r="CE92" s="1883"/>
      <c r="CF92" s="1883"/>
      <c r="CG92" s="1883"/>
      <c r="CH92" s="1883"/>
      <c r="CI92" s="1883"/>
      <c r="CJ92" s="1883"/>
      <c r="CK92" s="1883"/>
      <c r="CL92" s="1883"/>
      <c r="CM92" s="1883"/>
      <c r="CN92" s="1883"/>
      <c r="CO92" s="1883"/>
      <c r="CP92" s="1883"/>
      <c r="CQ92" s="1883"/>
      <c r="CR92" s="1883"/>
      <c r="CS92" s="1883"/>
      <c r="CT92" s="1883"/>
      <c r="CU92" s="1883"/>
      <c r="CV92" s="1883"/>
      <c r="CW92" s="1883"/>
      <c r="CX92" s="1883"/>
      <c r="CY92" s="1883"/>
      <c r="CZ92" s="1883"/>
      <c r="DA92" s="1883"/>
      <c r="DB92" s="1883"/>
      <c r="DC92" s="1883"/>
      <c r="DD92" s="1883"/>
      <c r="DE92" s="1883"/>
      <c r="DF92" s="1883"/>
      <c r="DG92" s="1883"/>
      <c r="DH92" s="1883"/>
      <c r="DI92" s="1883"/>
      <c r="DJ92" s="1883"/>
      <c r="DK92" s="1883"/>
      <c r="DL92" s="1883"/>
      <c r="DM92" s="1883"/>
      <c r="DN92" s="1883"/>
      <c r="DO92" s="1883"/>
      <c r="DP92" s="1883"/>
      <c r="DQ92" s="1883"/>
      <c r="DR92" s="1883"/>
      <c r="DS92" s="1883"/>
      <c r="DT92" s="1883"/>
      <c r="DU92" s="1883"/>
      <c r="DV92" s="1883"/>
      <c r="DW92" s="1883"/>
    </row>
    <row r="93" spans="1:127" s="1548" customFormat="1" ht="55.5" customHeight="1">
      <c r="A93" s="3793"/>
      <c r="B93" s="2101" t="str">
        <f t="shared" si="2"/>
        <v>2400001004</v>
      </c>
      <c r="C93" s="1851" t="s">
        <v>7334</v>
      </c>
      <c r="D93" s="2097"/>
      <c r="E93" s="1851"/>
      <c r="F93" s="1872" t="s">
        <v>25</v>
      </c>
      <c r="G93" s="1495"/>
      <c r="H93" s="1947"/>
      <c r="I93" s="1851"/>
      <c r="J93" s="1872"/>
      <c r="K93" s="1496" t="s">
        <v>7347</v>
      </c>
      <c r="L93" s="2226">
        <v>400</v>
      </c>
      <c r="M93" s="2160" t="s">
        <v>6705</v>
      </c>
      <c r="N93" s="2102" t="s">
        <v>6706</v>
      </c>
      <c r="O93" s="2102"/>
      <c r="P93" s="1883"/>
      <c r="Q93" s="1883"/>
      <c r="R93" s="1883"/>
      <c r="S93" s="1883"/>
      <c r="T93" s="1883"/>
      <c r="U93" s="1883"/>
      <c r="V93" s="1883"/>
      <c r="W93" s="1883"/>
      <c r="X93" s="1883"/>
      <c r="Y93" s="1883"/>
      <c r="Z93" s="1883"/>
      <c r="AA93" s="1883"/>
      <c r="AB93" s="1883"/>
      <c r="AC93" s="1883"/>
      <c r="AD93" s="1883"/>
      <c r="AE93" s="1883"/>
      <c r="AF93" s="1883"/>
      <c r="AG93" s="1883"/>
      <c r="AH93" s="1883"/>
      <c r="AI93" s="1883"/>
      <c r="AJ93" s="1883"/>
      <c r="AK93" s="1883"/>
      <c r="AL93" s="1883"/>
      <c r="AM93" s="1883"/>
      <c r="AN93" s="1883"/>
      <c r="AO93" s="1883"/>
      <c r="AP93" s="1883"/>
      <c r="AQ93" s="1883"/>
      <c r="AR93" s="1883"/>
      <c r="AS93" s="1883"/>
      <c r="AT93" s="1883"/>
      <c r="AU93" s="1883"/>
      <c r="AV93" s="1883"/>
      <c r="AW93" s="1883"/>
      <c r="AX93" s="1883"/>
      <c r="AY93" s="1883"/>
      <c r="AZ93" s="1883"/>
      <c r="BA93" s="1883"/>
      <c r="BB93" s="1883"/>
      <c r="BC93" s="1883"/>
      <c r="BD93" s="1883"/>
      <c r="BE93" s="1883"/>
      <c r="BF93" s="1883"/>
      <c r="BG93" s="1883"/>
      <c r="BH93" s="1883"/>
      <c r="BI93" s="1883"/>
      <c r="BJ93" s="1883"/>
      <c r="BK93" s="1883"/>
      <c r="BL93" s="1883"/>
      <c r="BM93" s="1883"/>
      <c r="BN93" s="1883"/>
      <c r="BO93" s="1883"/>
      <c r="BP93" s="1883"/>
      <c r="BQ93" s="1883"/>
      <c r="BR93" s="1883"/>
      <c r="BS93" s="1883"/>
      <c r="BT93" s="1883"/>
      <c r="BU93" s="1883"/>
      <c r="BV93" s="1883"/>
      <c r="BW93" s="1883"/>
      <c r="BX93" s="1883"/>
      <c r="BY93" s="1883"/>
      <c r="BZ93" s="1883"/>
      <c r="CA93" s="1883"/>
      <c r="CB93" s="1883"/>
      <c r="CC93" s="1883"/>
      <c r="CD93" s="1883"/>
      <c r="CE93" s="1883"/>
      <c r="CF93" s="1883"/>
      <c r="CG93" s="1883"/>
      <c r="CH93" s="1883"/>
      <c r="CI93" s="1883"/>
      <c r="CJ93" s="1883"/>
      <c r="CK93" s="1883"/>
      <c r="CL93" s="1883"/>
      <c r="CM93" s="1883"/>
      <c r="CN93" s="1883"/>
      <c r="CO93" s="1883"/>
      <c r="CP93" s="1883"/>
      <c r="CQ93" s="1883"/>
      <c r="CR93" s="1883"/>
      <c r="CS93" s="1883"/>
      <c r="CT93" s="1883"/>
      <c r="CU93" s="1883"/>
      <c r="CV93" s="1883"/>
      <c r="CW93" s="1883"/>
      <c r="CX93" s="1883"/>
      <c r="CY93" s="1883"/>
      <c r="CZ93" s="1883"/>
      <c r="DA93" s="1883"/>
      <c r="DB93" s="1883"/>
      <c r="DC93" s="1883"/>
      <c r="DD93" s="1883"/>
      <c r="DE93" s="1883"/>
      <c r="DF93" s="1883"/>
      <c r="DG93" s="1883"/>
      <c r="DH93" s="1883"/>
      <c r="DI93" s="1883"/>
      <c r="DJ93" s="1883"/>
      <c r="DK93" s="1883"/>
      <c r="DL93" s="1883"/>
      <c r="DM93" s="1883"/>
      <c r="DN93" s="1883"/>
      <c r="DO93" s="1883"/>
      <c r="DP93" s="1883"/>
      <c r="DQ93" s="1883"/>
      <c r="DR93" s="1883"/>
      <c r="DS93" s="1883"/>
      <c r="DT93" s="1883"/>
      <c r="DU93" s="1883"/>
      <c r="DV93" s="1883"/>
      <c r="DW93" s="1883"/>
    </row>
    <row r="94" spans="1:127" s="1548" customFormat="1" ht="55.5" customHeight="1">
      <c r="A94" s="3793"/>
      <c r="B94" s="2101" t="str">
        <f t="shared" si="2"/>
        <v>2400001021</v>
      </c>
      <c r="C94" s="1851" t="s">
        <v>7334</v>
      </c>
      <c r="D94" s="2097"/>
      <c r="E94" s="1851"/>
      <c r="F94" s="1872" t="s">
        <v>25</v>
      </c>
      <c r="G94" s="1495"/>
      <c r="H94" s="1947"/>
      <c r="I94" s="1851"/>
      <c r="J94" s="1872"/>
      <c r="K94" s="1496" t="s">
        <v>7348</v>
      </c>
      <c r="L94" s="2226">
        <v>2000</v>
      </c>
      <c r="M94" s="2160" t="s">
        <v>6705</v>
      </c>
      <c r="N94" s="2102" t="s">
        <v>6706</v>
      </c>
      <c r="O94" s="2102"/>
      <c r="P94" s="1883"/>
      <c r="Q94" s="1883"/>
      <c r="R94" s="1883"/>
      <c r="S94" s="1883"/>
      <c r="T94" s="1883"/>
      <c r="U94" s="1883"/>
      <c r="V94" s="1883"/>
      <c r="W94" s="1883"/>
      <c r="X94" s="1883"/>
      <c r="Y94" s="1883"/>
      <c r="Z94" s="1883"/>
      <c r="AA94" s="1883"/>
      <c r="AB94" s="1883"/>
      <c r="AC94" s="1883"/>
      <c r="AD94" s="1883"/>
      <c r="AE94" s="1883"/>
      <c r="AF94" s="1883"/>
      <c r="AG94" s="1883"/>
      <c r="AH94" s="1883"/>
      <c r="AI94" s="1883"/>
      <c r="AJ94" s="1883"/>
      <c r="AK94" s="1883"/>
      <c r="AL94" s="1883"/>
      <c r="AM94" s="1883"/>
      <c r="AN94" s="1883"/>
      <c r="AO94" s="1883"/>
      <c r="AP94" s="1883"/>
      <c r="AQ94" s="1883"/>
      <c r="AR94" s="1883"/>
      <c r="AS94" s="1883"/>
      <c r="AT94" s="1883"/>
      <c r="AU94" s="1883"/>
      <c r="AV94" s="1883"/>
      <c r="AW94" s="1883"/>
      <c r="AX94" s="1883"/>
      <c r="AY94" s="1883"/>
      <c r="AZ94" s="1883"/>
      <c r="BA94" s="1883"/>
      <c r="BB94" s="1883"/>
      <c r="BC94" s="1883"/>
      <c r="BD94" s="1883"/>
      <c r="BE94" s="1883"/>
      <c r="BF94" s="1883"/>
      <c r="BG94" s="1883"/>
      <c r="BH94" s="1883"/>
      <c r="BI94" s="1883"/>
      <c r="BJ94" s="1883"/>
      <c r="BK94" s="1883"/>
      <c r="BL94" s="1883"/>
      <c r="BM94" s="1883"/>
      <c r="BN94" s="1883"/>
      <c r="BO94" s="1883"/>
      <c r="BP94" s="1883"/>
      <c r="BQ94" s="1883"/>
      <c r="BR94" s="1883"/>
      <c r="BS94" s="1883"/>
      <c r="BT94" s="1883"/>
      <c r="BU94" s="1883"/>
      <c r="BV94" s="1883"/>
      <c r="BW94" s="1883"/>
      <c r="BX94" s="1883"/>
      <c r="BY94" s="1883"/>
      <c r="BZ94" s="1883"/>
      <c r="CA94" s="1883"/>
      <c r="CB94" s="1883"/>
      <c r="CC94" s="1883"/>
      <c r="CD94" s="1883"/>
      <c r="CE94" s="1883"/>
      <c r="CF94" s="1883"/>
      <c r="CG94" s="1883"/>
      <c r="CH94" s="1883"/>
      <c r="CI94" s="1883"/>
      <c r="CJ94" s="1883"/>
      <c r="CK94" s="1883"/>
      <c r="CL94" s="1883"/>
      <c r="CM94" s="1883"/>
      <c r="CN94" s="1883"/>
      <c r="CO94" s="1883"/>
      <c r="CP94" s="1883"/>
      <c r="CQ94" s="1883"/>
      <c r="CR94" s="1883"/>
      <c r="CS94" s="1883"/>
      <c r="CT94" s="1883"/>
      <c r="CU94" s="1883"/>
      <c r="CV94" s="1883"/>
      <c r="CW94" s="1883"/>
      <c r="CX94" s="1883"/>
      <c r="CY94" s="1883"/>
      <c r="CZ94" s="1883"/>
      <c r="DA94" s="1883"/>
      <c r="DB94" s="1883"/>
      <c r="DC94" s="1883"/>
      <c r="DD94" s="1883"/>
      <c r="DE94" s="1883"/>
      <c r="DF94" s="1883"/>
      <c r="DG94" s="1883"/>
      <c r="DH94" s="1883"/>
      <c r="DI94" s="1883"/>
      <c r="DJ94" s="1883"/>
      <c r="DK94" s="1883"/>
      <c r="DL94" s="1883"/>
      <c r="DM94" s="1883"/>
      <c r="DN94" s="1883"/>
      <c r="DO94" s="1883"/>
      <c r="DP94" s="1883"/>
      <c r="DQ94" s="1883"/>
      <c r="DR94" s="1883"/>
      <c r="DS94" s="1883"/>
      <c r="DT94" s="1883"/>
      <c r="DU94" s="1883"/>
      <c r="DV94" s="1883"/>
      <c r="DW94" s="1883"/>
    </row>
    <row r="95" spans="1:127" s="1548" customFormat="1" ht="55.5" customHeight="1">
      <c r="A95" s="3793"/>
      <c r="B95" s="2101" t="str">
        <f t="shared" si="2"/>
        <v>2400001022</v>
      </c>
      <c r="C95" s="1851" t="s">
        <v>7334</v>
      </c>
      <c r="D95" s="2097"/>
      <c r="E95" s="1851"/>
      <c r="F95" s="1872" t="s">
        <v>25</v>
      </c>
      <c r="G95" s="1495"/>
      <c r="H95" s="1947"/>
      <c r="I95" s="1851"/>
      <c r="J95" s="1872"/>
      <c r="K95" s="1496" t="s">
        <v>7349</v>
      </c>
      <c r="L95" s="2226">
        <v>800</v>
      </c>
      <c r="M95" s="2160" t="s">
        <v>6705</v>
      </c>
      <c r="N95" s="2102" t="s">
        <v>6706</v>
      </c>
      <c r="O95" s="2102"/>
      <c r="P95" s="1883"/>
      <c r="Q95" s="1883"/>
      <c r="R95" s="1883"/>
      <c r="S95" s="1883"/>
      <c r="T95" s="1883"/>
      <c r="U95" s="1883"/>
      <c r="V95" s="1883"/>
      <c r="W95" s="1883"/>
      <c r="X95" s="1883"/>
      <c r="Y95" s="1883"/>
      <c r="Z95" s="1883"/>
      <c r="AA95" s="1883"/>
      <c r="AB95" s="1883"/>
      <c r="AC95" s="1883"/>
      <c r="AD95" s="1883"/>
      <c r="AE95" s="1883"/>
      <c r="AF95" s="1883"/>
      <c r="AG95" s="1883"/>
      <c r="AH95" s="1883"/>
      <c r="AI95" s="1883"/>
      <c r="AJ95" s="1883"/>
      <c r="AK95" s="1883"/>
      <c r="AL95" s="1883"/>
      <c r="AM95" s="1883"/>
      <c r="AN95" s="1883"/>
      <c r="AO95" s="1883"/>
      <c r="AP95" s="1883"/>
      <c r="AQ95" s="1883"/>
      <c r="AR95" s="1883"/>
      <c r="AS95" s="1883"/>
      <c r="AT95" s="1883"/>
      <c r="AU95" s="1883"/>
      <c r="AV95" s="1883"/>
      <c r="AW95" s="1883"/>
      <c r="AX95" s="1883"/>
      <c r="AY95" s="1883"/>
      <c r="AZ95" s="1883"/>
      <c r="BA95" s="1883"/>
      <c r="BB95" s="1883"/>
      <c r="BC95" s="1883"/>
      <c r="BD95" s="1883"/>
      <c r="BE95" s="1883"/>
      <c r="BF95" s="1883"/>
      <c r="BG95" s="1883"/>
      <c r="BH95" s="1883"/>
      <c r="BI95" s="1883"/>
      <c r="BJ95" s="1883"/>
      <c r="BK95" s="1883"/>
      <c r="BL95" s="1883"/>
      <c r="BM95" s="1883"/>
      <c r="BN95" s="1883"/>
      <c r="BO95" s="1883"/>
      <c r="BP95" s="1883"/>
      <c r="BQ95" s="1883"/>
      <c r="BR95" s="1883"/>
      <c r="BS95" s="1883"/>
      <c r="BT95" s="1883"/>
      <c r="BU95" s="1883"/>
      <c r="BV95" s="1883"/>
      <c r="BW95" s="1883"/>
      <c r="BX95" s="1883"/>
      <c r="BY95" s="1883"/>
      <c r="BZ95" s="1883"/>
      <c r="CA95" s="1883"/>
      <c r="CB95" s="1883"/>
      <c r="CC95" s="1883"/>
      <c r="CD95" s="1883"/>
      <c r="CE95" s="1883"/>
      <c r="CF95" s="1883"/>
      <c r="CG95" s="1883"/>
      <c r="CH95" s="1883"/>
      <c r="CI95" s="1883"/>
      <c r="CJ95" s="1883"/>
      <c r="CK95" s="1883"/>
      <c r="CL95" s="1883"/>
      <c r="CM95" s="1883"/>
      <c r="CN95" s="1883"/>
      <c r="CO95" s="1883"/>
      <c r="CP95" s="1883"/>
      <c r="CQ95" s="1883"/>
      <c r="CR95" s="1883"/>
      <c r="CS95" s="1883"/>
      <c r="CT95" s="1883"/>
      <c r="CU95" s="1883"/>
      <c r="CV95" s="1883"/>
      <c r="CW95" s="1883"/>
      <c r="CX95" s="1883"/>
      <c r="CY95" s="1883"/>
      <c r="CZ95" s="1883"/>
      <c r="DA95" s="1883"/>
      <c r="DB95" s="1883"/>
      <c r="DC95" s="1883"/>
      <c r="DD95" s="1883"/>
      <c r="DE95" s="1883"/>
      <c r="DF95" s="1883"/>
      <c r="DG95" s="1883"/>
      <c r="DH95" s="1883"/>
      <c r="DI95" s="1883"/>
      <c r="DJ95" s="1883"/>
      <c r="DK95" s="1883"/>
      <c r="DL95" s="1883"/>
      <c r="DM95" s="1883"/>
      <c r="DN95" s="1883"/>
      <c r="DO95" s="1883"/>
      <c r="DP95" s="1883"/>
      <c r="DQ95" s="1883"/>
      <c r="DR95" s="1883"/>
      <c r="DS95" s="1883"/>
      <c r="DT95" s="1883"/>
      <c r="DU95" s="1883"/>
      <c r="DV95" s="1883"/>
      <c r="DW95" s="1883"/>
    </row>
    <row r="96" spans="1:127" s="1548" customFormat="1" ht="55.5" customHeight="1">
      <c r="A96" s="3793"/>
      <c r="B96" s="2101" t="str">
        <f t="shared" si="2"/>
        <v>2400001023</v>
      </c>
      <c r="C96" s="1851" t="s">
        <v>7334</v>
      </c>
      <c r="D96" s="2097"/>
      <c r="E96" s="1851"/>
      <c r="F96" s="1872" t="s">
        <v>25</v>
      </c>
      <c r="G96" s="1495"/>
      <c r="H96" s="1947"/>
      <c r="I96" s="1851"/>
      <c r="J96" s="1872"/>
      <c r="K96" s="1496" t="s">
        <v>7350</v>
      </c>
      <c r="L96" s="2226">
        <v>200</v>
      </c>
      <c r="M96" s="2160" t="s">
        <v>6705</v>
      </c>
      <c r="N96" s="2102" t="s">
        <v>6706</v>
      </c>
      <c r="O96" s="2102"/>
      <c r="P96" s="1883"/>
      <c r="Q96" s="1883"/>
      <c r="R96" s="1883"/>
      <c r="S96" s="1883"/>
      <c r="T96" s="1883"/>
      <c r="U96" s="1883"/>
      <c r="V96" s="1883"/>
      <c r="W96" s="1883"/>
      <c r="X96" s="1883"/>
      <c r="Y96" s="1883"/>
      <c r="Z96" s="1883"/>
      <c r="AA96" s="1883"/>
      <c r="AB96" s="1883"/>
      <c r="AC96" s="1883"/>
      <c r="AD96" s="1883"/>
      <c r="AE96" s="1883"/>
      <c r="AF96" s="1883"/>
      <c r="AG96" s="1883"/>
      <c r="AH96" s="1883"/>
      <c r="AI96" s="1883"/>
      <c r="AJ96" s="1883"/>
      <c r="AK96" s="1883"/>
      <c r="AL96" s="1883"/>
      <c r="AM96" s="1883"/>
      <c r="AN96" s="1883"/>
      <c r="AO96" s="1883"/>
      <c r="AP96" s="1883"/>
      <c r="AQ96" s="1883"/>
      <c r="AR96" s="1883"/>
      <c r="AS96" s="1883"/>
      <c r="AT96" s="1883"/>
      <c r="AU96" s="1883"/>
      <c r="AV96" s="1883"/>
      <c r="AW96" s="1883"/>
      <c r="AX96" s="1883"/>
      <c r="AY96" s="1883"/>
      <c r="AZ96" s="1883"/>
      <c r="BA96" s="1883"/>
      <c r="BB96" s="1883"/>
      <c r="BC96" s="1883"/>
      <c r="BD96" s="1883"/>
      <c r="BE96" s="1883"/>
      <c r="BF96" s="1883"/>
      <c r="BG96" s="1883"/>
      <c r="BH96" s="1883"/>
      <c r="BI96" s="1883"/>
      <c r="BJ96" s="1883"/>
      <c r="BK96" s="1883"/>
      <c r="BL96" s="1883"/>
      <c r="BM96" s="1883"/>
      <c r="BN96" s="1883"/>
      <c r="BO96" s="1883"/>
      <c r="BP96" s="1883"/>
      <c r="BQ96" s="1883"/>
      <c r="BR96" s="1883"/>
      <c r="BS96" s="1883"/>
      <c r="BT96" s="1883"/>
      <c r="BU96" s="1883"/>
      <c r="BV96" s="1883"/>
      <c r="BW96" s="1883"/>
      <c r="BX96" s="1883"/>
      <c r="BY96" s="1883"/>
      <c r="BZ96" s="1883"/>
      <c r="CA96" s="1883"/>
      <c r="CB96" s="1883"/>
      <c r="CC96" s="1883"/>
      <c r="CD96" s="1883"/>
      <c r="CE96" s="1883"/>
      <c r="CF96" s="1883"/>
      <c r="CG96" s="1883"/>
      <c r="CH96" s="1883"/>
      <c r="CI96" s="1883"/>
      <c r="CJ96" s="1883"/>
      <c r="CK96" s="1883"/>
      <c r="CL96" s="1883"/>
      <c r="CM96" s="1883"/>
      <c r="CN96" s="1883"/>
      <c r="CO96" s="1883"/>
      <c r="CP96" s="1883"/>
      <c r="CQ96" s="1883"/>
      <c r="CR96" s="1883"/>
      <c r="CS96" s="1883"/>
      <c r="CT96" s="1883"/>
      <c r="CU96" s="1883"/>
      <c r="CV96" s="1883"/>
      <c r="CW96" s="1883"/>
      <c r="CX96" s="1883"/>
      <c r="CY96" s="1883"/>
      <c r="CZ96" s="1883"/>
      <c r="DA96" s="1883"/>
      <c r="DB96" s="1883"/>
      <c r="DC96" s="1883"/>
      <c r="DD96" s="1883"/>
      <c r="DE96" s="1883"/>
      <c r="DF96" s="1883"/>
      <c r="DG96" s="1883"/>
      <c r="DH96" s="1883"/>
      <c r="DI96" s="1883"/>
      <c r="DJ96" s="1883"/>
      <c r="DK96" s="1883"/>
      <c r="DL96" s="1883"/>
      <c r="DM96" s="1883"/>
      <c r="DN96" s="1883"/>
      <c r="DO96" s="1883"/>
      <c r="DP96" s="1883"/>
      <c r="DQ96" s="1883"/>
      <c r="DR96" s="1883"/>
      <c r="DS96" s="1883"/>
      <c r="DT96" s="1883"/>
      <c r="DU96" s="1883"/>
      <c r="DV96" s="1883"/>
      <c r="DW96" s="1883"/>
    </row>
    <row r="97" spans="1:127" s="1548" customFormat="1" ht="55.5" customHeight="1">
      <c r="A97" s="3793"/>
      <c r="B97" s="2101" t="str">
        <f t="shared" si="2"/>
        <v>2400001024</v>
      </c>
      <c r="C97" s="1851" t="s">
        <v>7334</v>
      </c>
      <c r="D97" s="2097"/>
      <c r="E97" s="1851"/>
      <c r="F97" s="1872" t="s">
        <v>25</v>
      </c>
      <c r="G97" s="1495"/>
      <c r="H97" s="1947"/>
      <c r="I97" s="1851"/>
      <c r="J97" s="1872"/>
      <c r="K97" s="1496" t="s">
        <v>7351</v>
      </c>
      <c r="L97" s="2226">
        <v>175</v>
      </c>
      <c r="M97" s="2160" t="s">
        <v>6705</v>
      </c>
      <c r="N97" s="2102" t="s">
        <v>6706</v>
      </c>
      <c r="O97" s="2102"/>
      <c r="P97" s="1883"/>
      <c r="Q97" s="1883"/>
      <c r="R97" s="1883"/>
      <c r="S97" s="1883"/>
      <c r="T97" s="1883"/>
      <c r="U97" s="1883"/>
      <c r="V97" s="1883"/>
      <c r="W97" s="1883"/>
      <c r="X97" s="1883"/>
      <c r="Y97" s="1883"/>
      <c r="Z97" s="1883"/>
      <c r="AA97" s="1883"/>
      <c r="AB97" s="1883"/>
      <c r="AC97" s="1883"/>
      <c r="AD97" s="1883"/>
      <c r="AE97" s="1883"/>
      <c r="AF97" s="1883"/>
      <c r="AG97" s="1883"/>
      <c r="AH97" s="1883"/>
      <c r="AI97" s="1883"/>
      <c r="AJ97" s="1883"/>
      <c r="AK97" s="1883"/>
      <c r="AL97" s="1883"/>
      <c r="AM97" s="1883"/>
      <c r="AN97" s="1883"/>
      <c r="AO97" s="1883"/>
      <c r="AP97" s="1883"/>
      <c r="AQ97" s="1883"/>
      <c r="AR97" s="1883"/>
      <c r="AS97" s="1883"/>
      <c r="AT97" s="1883"/>
      <c r="AU97" s="1883"/>
      <c r="AV97" s="1883"/>
      <c r="AW97" s="1883"/>
      <c r="AX97" s="1883"/>
      <c r="AY97" s="1883"/>
      <c r="AZ97" s="1883"/>
      <c r="BA97" s="1883"/>
      <c r="BB97" s="1883"/>
      <c r="BC97" s="1883"/>
      <c r="BD97" s="1883"/>
      <c r="BE97" s="1883"/>
      <c r="BF97" s="1883"/>
      <c r="BG97" s="1883"/>
      <c r="BH97" s="1883"/>
      <c r="BI97" s="1883"/>
      <c r="BJ97" s="1883"/>
      <c r="BK97" s="1883"/>
      <c r="BL97" s="1883"/>
      <c r="BM97" s="1883"/>
      <c r="BN97" s="1883"/>
      <c r="BO97" s="1883"/>
      <c r="BP97" s="1883"/>
      <c r="BQ97" s="1883"/>
      <c r="BR97" s="1883"/>
      <c r="BS97" s="1883"/>
      <c r="BT97" s="1883"/>
      <c r="BU97" s="1883"/>
      <c r="BV97" s="1883"/>
      <c r="BW97" s="1883"/>
      <c r="BX97" s="1883"/>
      <c r="BY97" s="1883"/>
      <c r="BZ97" s="1883"/>
      <c r="CA97" s="1883"/>
      <c r="CB97" s="1883"/>
      <c r="CC97" s="1883"/>
      <c r="CD97" s="1883"/>
      <c r="CE97" s="1883"/>
      <c r="CF97" s="1883"/>
      <c r="CG97" s="1883"/>
      <c r="CH97" s="1883"/>
      <c r="CI97" s="1883"/>
      <c r="CJ97" s="1883"/>
      <c r="CK97" s="1883"/>
      <c r="CL97" s="1883"/>
      <c r="CM97" s="1883"/>
      <c r="CN97" s="1883"/>
      <c r="CO97" s="1883"/>
      <c r="CP97" s="1883"/>
      <c r="CQ97" s="1883"/>
      <c r="CR97" s="1883"/>
      <c r="CS97" s="1883"/>
      <c r="CT97" s="1883"/>
      <c r="CU97" s="1883"/>
      <c r="CV97" s="1883"/>
      <c r="CW97" s="1883"/>
      <c r="CX97" s="1883"/>
      <c r="CY97" s="1883"/>
      <c r="CZ97" s="1883"/>
      <c r="DA97" s="1883"/>
      <c r="DB97" s="1883"/>
      <c r="DC97" s="1883"/>
      <c r="DD97" s="1883"/>
      <c r="DE97" s="1883"/>
      <c r="DF97" s="1883"/>
      <c r="DG97" s="1883"/>
      <c r="DH97" s="1883"/>
      <c r="DI97" s="1883"/>
      <c r="DJ97" s="1883"/>
      <c r="DK97" s="1883"/>
      <c r="DL97" s="1883"/>
      <c r="DM97" s="1883"/>
      <c r="DN97" s="1883"/>
      <c r="DO97" s="1883"/>
      <c r="DP97" s="1883"/>
      <c r="DQ97" s="1883"/>
      <c r="DR97" s="1883"/>
      <c r="DS97" s="1883"/>
      <c r="DT97" s="1883"/>
      <c r="DU97" s="1883"/>
      <c r="DV97" s="1883"/>
      <c r="DW97" s="1883"/>
    </row>
    <row r="98" spans="1:127" s="1548" customFormat="1" ht="55.5" customHeight="1">
      <c r="A98" s="3793"/>
      <c r="B98" s="2101" t="str">
        <f t="shared" si="2"/>
        <v>2400001005</v>
      </c>
      <c r="C98" s="1851" t="s">
        <v>7334</v>
      </c>
      <c r="D98" s="2097"/>
      <c r="E98" s="1851"/>
      <c r="F98" s="1872" t="s">
        <v>25</v>
      </c>
      <c r="G98" s="1495"/>
      <c r="H98" s="1947"/>
      <c r="I98" s="1851"/>
      <c r="J98" s="1872"/>
      <c r="K98" s="1546" t="s">
        <v>7352</v>
      </c>
      <c r="L98" s="2226">
        <v>375</v>
      </c>
      <c r="M98" s="2160" t="s">
        <v>6705</v>
      </c>
      <c r="N98" s="2053" t="s">
        <v>6706</v>
      </c>
      <c r="O98" s="2102"/>
      <c r="P98" s="1883"/>
      <c r="Q98" s="1883"/>
      <c r="R98" s="1883"/>
      <c r="S98" s="1883"/>
      <c r="T98" s="1883"/>
      <c r="U98" s="1883"/>
      <c r="V98" s="1883"/>
      <c r="W98" s="1883"/>
      <c r="X98" s="1883"/>
      <c r="Y98" s="1883"/>
      <c r="Z98" s="1883"/>
      <c r="AA98" s="1883"/>
      <c r="AB98" s="1883"/>
      <c r="AC98" s="1883"/>
      <c r="AD98" s="1883"/>
      <c r="AE98" s="1883"/>
      <c r="AF98" s="1883"/>
      <c r="AG98" s="1883"/>
      <c r="AH98" s="1883"/>
      <c r="AI98" s="1883"/>
      <c r="AJ98" s="1883"/>
      <c r="AK98" s="1883"/>
      <c r="AL98" s="1883"/>
      <c r="AM98" s="1883"/>
      <c r="AN98" s="1883"/>
      <c r="AO98" s="1883"/>
      <c r="AP98" s="1883"/>
      <c r="AQ98" s="1883"/>
      <c r="AR98" s="1883"/>
      <c r="AS98" s="1883"/>
      <c r="AT98" s="1883"/>
      <c r="AU98" s="1883"/>
      <c r="AV98" s="1883"/>
      <c r="AW98" s="1883"/>
      <c r="AX98" s="1883"/>
      <c r="AY98" s="1883"/>
      <c r="AZ98" s="1883"/>
      <c r="BA98" s="1883"/>
      <c r="BB98" s="1883"/>
      <c r="BC98" s="1883"/>
      <c r="BD98" s="1883"/>
      <c r="BE98" s="1883"/>
      <c r="BF98" s="1883"/>
      <c r="BG98" s="1883"/>
      <c r="BH98" s="1883"/>
      <c r="BI98" s="1883"/>
      <c r="BJ98" s="1883"/>
      <c r="BK98" s="1883"/>
      <c r="BL98" s="1883"/>
      <c r="BM98" s="1883"/>
      <c r="BN98" s="1883"/>
      <c r="BO98" s="1883"/>
      <c r="BP98" s="1883"/>
      <c r="BQ98" s="1883"/>
      <c r="BR98" s="1883"/>
      <c r="BS98" s="1883"/>
      <c r="BT98" s="1883"/>
      <c r="BU98" s="1883"/>
      <c r="BV98" s="1883"/>
      <c r="BW98" s="1883"/>
      <c r="BX98" s="1883"/>
      <c r="BY98" s="1883"/>
      <c r="BZ98" s="1883"/>
      <c r="CA98" s="1883"/>
      <c r="CB98" s="1883"/>
      <c r="CC98" s="1883"/>
      <c r="CD98" s="1883"/>
      <c r="CE98" s="1883"/>
      <c r="CF98" s="1883"/>
      <c r="CG98" s="1883"/>
      <c r="CH98" s="1883"/>
      <c r="CI98" s="1883"/>
      <c r="CJ98" s="1883"/>
      <c r="CK98" s="1883"/>
      <c r="CL98" s="1883"/>
      <c r="CM98" s="1883"/>
      <c r="CN98" s="1883"/>
      <c r="CO98" s="1883"/>
      <c r="CP98" s="1883"/>
      <c r="CQ98" s="1883"/>
      <c r="CR98" s="1883"/>
      <c r="CS98" s="1883"/>
      <c r="CT98" s="1883"/>
      <c r="CU98" s="1883"/>
      <c r="CV98" s="1883"/>
      <c r="CW98" s="1883"/>
      <c r="CX98" s="1883"/>
      <c r="CY98" s="1883"/>
      <c r="CZ98" s="1883"/>
      <c r="DA98" s="1883"/>
      <c r="DB98" s="1883"/>
      <c r="DC98" s="1883"/>
      <c r="DD98" s="1883"/>
      <c r="DE98" s="1883"/>
      <c r="DF98" s="1883"/>
      <c r="DG98" s="1883"/>
      <c r="DH98" s="1883"/>
      <c r="DI98" s="1883"/>
      <c r="DJ98" s="1883"/>
      <c r="DK98" s="1883"/>
      <c r="DL98" s="1883"/>
      <c r="DM98" s="1883"/>
      <c r="DN98" s="1883"/>
      <c r="DO98" s="1883"/>
      <c r="DP98" s="1883"/>
      <c r="DQ98" s="1883"/>
      <c r="DR98" s="1883"/>
      <c r="DS98" s="1883"/>
      <c r="DT98" s="1883"/>
      <c r="DU98" s="1883"/>
      <c r="DV98" s="1883"/>
      <c r="DW98" s="1883"/>
    </row>
    <row r="99" spans="1:127" s="1548" customFormat="1" ht="55.5" customHeight="1">
      <c r="A99" s="2192">
        <v>33</v>
      </c>
      <c r="B99" s="2101" t="str">
        <f t="shared" si="2"/>
        <v>2000002656</v>
      </c>
      <c r="C99" s="1921" t="s">
        <v>3856</v>
      </c>
      <c r="D99" s="2201">
        <v>3950</v>
      </c>
      <c r="E99" s="1921" t="s">
        <v>7353</v>
      </c>
      <c r="F99" s="1921" t="s">
        <v>54</v>
      </c>
      <c r="G99" s="1921" t="s">
        <v>7354</v>
      </c>
      <c r="H99" s="1921"/>
      <c r="I99" s="1921" t="s">
        <v>19</v>
      </c>
      <c r="J99" s="1921" t="s">
        <v>199</v>
      </c>
      <c r="K99" s="1845" t="s">
        <v>7355</v>
      </c>
      <c r="L99" s="2222">
        <v>3950</v>
      </c>
      <c r="M99" s="2200" t="s">
        <v>7356</v>
      </c>
      <c r="N99" s="2223"/>
      <c r="O99" s="2224"/>
      <c r="P99" s="2150"/>
      <c r="Q99" s="2150"/>
      <c r="R99" s="2150"/>
      <c r="S99" s="2150"/>
      <c r="T99" s="2150"/>
      <c r="U99" s="2150"/>
      <c r="V99" s="2150"/>
      <c r="W99" s="2150"/>
      <c r="X99" s="2150"/>
      <c r="Y99" s="2150"/>
      <c r="Z99" s="2150"/>
      <c r="AA99" s="2150"/>
      <c r="AB99" s="2150"/>
      <c r="AC99" s="2150"/>
      <c r="AD99" s="2150"/>
      <c r="AE99" s="2150"/>
      <c r="AF99" s="2150"/>
      <c r="AG99" s="2150"/>
      <c r="AH99" s="2150"/>
      <c r="AI99" s="2150"/>
      <c r="AJ99" s="2150"/>
      <c r="AK99" s="2150"/>
      <c r="AL99" s="2150"/>
      <c r="AM99" s="2150"/>
      <c r="AN99" s="2150"/>
      <c r="AO99" s="2150"/>
      <c r="AP99" s="2150"/>
      <c r="AQ99" s="2150"/>
      <c r="AR99" s="2150"/>
      <c r="AS99" s="2150"/>
      <c r="AT99" s="2150"/>
      <c r="AU99" s="2150"/>
      <c r="AV99" s="2150"/>
      <c r="AW99" s="2150"/>
      <c r="AX99" s="2150"/>
      <c r="AY99" s="2150"/>
      <c r="AZ99" s="2150"/>
      <c r="BA99" s="2150"/>
      <c r="BB99" s="2150"/>
      <c r="BC99" s="2150"/>
      <c r="BD99" s="2150"/>
      <c r="BE99" s="2150"/>
      <c r="BF99" s="2150"/>
      <c r="BG99" s="2150"/>
      <c r="BH99" s="2150"/>
      <c r="BI99" s="2150"/>
      <c r="BJ99" s="2150"/>
      <c r="BK99" s="2150"/>
      <c r="BL99" s="2150"/>
      <c r="BM99" s="2150"/>
      <c r="BN99" s="2150"/>
      <c r="BO99" s="2150"/>
      <c r="BP99" s="2150"/>
      <c r="BQ99" s="2150"/>
      <c r="BR99" s="2150"/>
      <c r="BS99" s="2150"/>
      <c r="BT99" s="2150"/>
      <c r="BU99" s="2150"/>
      <c r="BV99" s="2150"/>
      <c r="BW99" s="2150"/>
      <c r="BX99" s="2150"/>
      <c r="BY99" s="2150"/>
      <c r="BZ99" s="2150"/>
      <c r="CA99" s="2150"/>
      <c r="CB99" s="2150"/>
      <c r="CC99" s="2150"/>
      <c r="CD99" s="2150"/>
      <c r="CE99" s="2150"/>
      <c r="CF99" s="2150"/>
      <c r="CG99" s="2150"/>
      <c r="CH99" s="2150"/>
      <c r="CI99" s="2150"/>
      <c r="CJ99" s="2150"/>
      <c r="CK99" s="2150"/>
      <c r="CL99" s="2150"/>
      <c r="CM99" s="2150"/>
      <c r="CN99" s="2150"/>
      <c r="CO99" s="2150"/>
      <c r="CP99" s="2150"/>
      <c r="CQ99" s="2150"/>
      <c r="CR99" s="2150"/>
      <c r="CS99" s="2150"/>
      <c r="CT99" s="2150"/>
      <c r="CU99" s="2150"/>
      <c r="CV99" s="2150"/>
      <c r="CW99" s="2150"/>
      <c r="CX99" s="2150"/>
      <c r="CY99" s="2150"/>
      <c r="CZ99" s="2150"/>
      <c r="DA99" s="2150"/>
      <c r="DB99" s="2150"/>
      <c r="DC99" s="2150"/>
      <c r="DD99" s="2150"/>
      <c r="DE99" s="2150"/>
      <c r="DF99" s="2150"/>
      <c r="DG99" s="2150"/>
      <c r="DH99" s="2150"/>
      <c r="DI99" s="2150"/>
      <c r="DJ99" s="2150"/>
      <c r="DK99" s="2150"/>
      <c r="DL99" s="2150"/>
      <c r="DM99" s="2150"/>
      <c r="DN99" s="2150"/>
      <c r="DO99" s="2150"/>
      <c r="DP99" s="2150"/>
      <c r="DQ99" s="2150"/>
      <c r="DR99" s="2150"/>
      <c r="DS99" s="2150"/>
      <c r="DT99" s="2150"/>
      <c r="DU99" s="2150"/>
      <c r="DV99" s="2150"/>
      <c r="DW99" s="2150"/>
    </row>
    <row r="100" spans="1:127" s="1548" customFormat="1" ht="55.5" customHeight="1">
      <c r="A100" s="3806">
        <v>34</v>
      </c>
      <c r="B100" s="2101" t="str">
        <f t="shared" si="2"/>
        <v>2000002618</v>
      </c>
      <c r="C100" s="1921" t="s">
        <v>211</v>
      </c>
      <c r="D100" s="2201">
        <v>4000</v>
      </c>
      <c r="E100" s="1921" t="s">
        <v>7357</v>
      </c>
      <c r="F100" s="1921" t="s">
        <v>61</v>
      </c>
      <c r="G100" s="1921" t="s">
        <v>4659</v>
      </c>
      <c r="H100" s="1921"/>
      <c r="I100" s="1921" t="s">
        <v>19</v>
      </c>
      <c r="J100" s="1921" t="s">
        <v>74</v>
      </c>
      <c r="K100" s="1845" t="s">
        <v>7358</v>
      </c>
      <c r="L100" s="2195">
        <v>1400</v>
      </c>
      <c r="M100" s="2200" t="s">
        <v>6705</v>
      </c>
      <c r="N100" s="1748" t="s">
        <v>6706</v>
      </c>
      <c r="O100" s="2221"/>
    </row>
    <row r="101" spans="1:127" s="1548" customFormat="1" ht="55.5" customHeight="1">
      <c r="A101" s="3806"/>
      <c r="B101" s="2101" t="str">
        <f t="shared" ref="B101:B109" si="3">TEXT(LEFT(K101,10),"0000000000")</f>
        <v>2000002616</v>
      </c>
      <c r="C101" s="1921" t="s">
        <v>211</v>
      </c>
      <c r="D101" s="2201"/>
      <c r="E101" s="1921"/>
      <c r="F101" s="1495" t="s">
        <v>61</v>
      </c>
      <c r="G101" s="1495"/>
      <c r="H101" s="1495"/>
      <c r="I101" s="1495"/>
      <c r="J101" s="1495" t="s">
        <v>74</v>
      </c>
      <c r="K101" s="1600" t="s">
        <v>7359</v>
      </c>
      <c r="L101" s="2204">
        <v>1500</v>
      </c>
      <c r="M101" s="2200" t="s">
        <v>6705</v>
      </c>
      <c r="N101" s="1748" t="s">
        <v>6706</v>
      </c>
      <c r="O101" s="2221"/>
    </row>
    <row r="102" spans="1:127" s="1548" customFormat="1" ht="55.5" customHeight="1">
      <c r="A102" s="3806"/>
      <c r="B102" s="2101" t="str">
        <f t="shared" si="3"/>
        <v>2000002646</v>
      </c>
      <c r="C102" s="1921" t="s">
        <v>211</v>
      </c>
      <c r="D102" s="2203"/>
      <c r="E102" s="1495"/>
      <c r="F102" s="1495" t="s">
        <v>61</v>
      </c>
      <c r="G102" s="1495"/>
      <c r="H102" s="1495"/>
      <c r="I102" s="1495"/>
      <c r="J102" s="1495" t="s">
        <v>74</v>
      </c>
      <c r="K102" s="1600" t="s">
        <v>7360</v>
      </c>
      <c r="L102" s="2204">
        <v>1000</v>
      </c>
      <c r="M102" s="2200" t="s">
        <v>6705</v>
      </c>
      <c r="N102" s="1748" t="s">
        <v>6706</v>
      </c>
      <c r="O102" s="2221"/>
    </row>
    <row r="103" spans="1:127" s="1548" customFormat="1" ht="55.5" customHeight="1">
      <c r="A103" s="3807">
        <v>35</v>
      </c>
      <c r="B103" s="2101" t="str">
        <f t="shared" si="3"/>
        <v>2200001859</v>
      </c>
      <c r="C103" s="1921" t="s">
        <v>112</v>
      </c>
      <c r="D103" s="2201">
        <v>11650</v>
      </c>
      <c r="E103" s="2118" t="s">
        <v>7361</v>
      </c>
      <c r="F103" s="1921" t="s">
        <v>84</v>
      </c>
      <c r="G103" s="1921" t="s">
        <v>7362</v>
      </c>
      <c r="H103" s="2159" t="s">
        <v>7363</v>
      </c>
      <c r="I103" s="1921" t="s">
        <v>19</v>
      </c>
      <c r="J103" s="1921" t="s">
        <v>1138</v>
      </c>
      <c r="K103" s="1845" t="s">
        <v>7364</v>
      </c>
      <c r="L103" s="2195">
        <v>2935</v>
      </c>
      <c r="M103" s="2200" t="s">
        <v>5454</v>
      </c>
      <c r="N103" s="1748"/>
      <c r="O103" s="1939"/>
      <c r="P103" s="1883"/>
      <c r="Q103" s="1883"/>
      <c r="R103" s="1883"/>
      <c r="S103" s="1883"/>
      <c r="T103" s="1883"/>
      <c r="U103" s="1883"/>
      <c r="V103" s="1883"/>
      <c r="W103" s="1883"/>
      <c r="X103" s="1883"/>
      <c r="Y103" s="1883"/>
      <c r="Z103" s="1883"/>
      <c r="AA103" s="1883"/>
      <c r="AB103" s="1883"/>
      <c r="AC103" s="1883"/>
      <c r="AD103" s="1883"/>
      <c r="AE103" s="1883"/>
      <c r="AF103" s="1883"/>
      <c r="AG103" s="1883"/>
      <c r="AH103" s="1883"/>
      <c r="AI103" s="1883"/>
      <c r="AJ103" s="1883"/>
      <c r="AK103" s="1883"/>
      <c r="AL103" s="1883"/>
      <c r="AM103" s="1883"/>
      <c r="AN103" s="1883"/>
      <c r="AO103" s="1883"/>
      <c r="AP103" s="1883"/>
      <c r="AQ103" s="1883"/>
      <c r="AR103" s="1883"/>
      <c r="AS103" s="1883"/>
      <c r="AT103" s="1883"/>
      <c r="AU103" s="1883"/>
      <c r="AV103" s="1883"/>
      <c r="AW103" s="1883"/>
      <c r="AX103" s="1883"/>
      <c r="AY103" s="1883"/>
      <c r="AZ103" s="1883"/>
      <c r="BA103" s="1883"/>
      <c r="BB103" s="1883"/>
      <c r="BC103" s="1883"/>
      <c r="BD103" s="1883"/>
      <c r="BE103" s="1883"/>
      <c r="BF103" s="1883"/>
      <c r="BG103" s="1883"/>
      <c r="BH103" s="1883"/>
      <c r="BI103" s="1883"/>
      <c r="BJ103" s="1883"/>
      <c r="BK103" s="1883"/>
      <c r="BL103" s="1883"/>
      <c r="BM103" s="1883"/>
      <c r="BN103" s="1883"/>
      <c r="BO103" s="1883"/>
      <c r="BP103" s="1883"/>
      <c r="BQ103" s="1883"/>
      <c r="BR103" s="1883"/>
      <c r="BS103" s="1883"/>
      <c r="BT103" s="1883"/>
      <c r="BU103" s="1883"/>
      <c r="BV103" s="1883"/>
      <c r="BW103" s="1883"/>
      <c r="BX103" s="1883"/>
      <c r="BY103" s="1883"/>
      <c r="BZ103" s="1883"/>
      <c r="CA103" s="1883"/>
      <c r="CB103" s="1883"/>
      <c r="CC103" s="1883"/>
      <c r="CD103" s="1883"/>
      <c r="CE103" s="1883"/>
      <c r="CF103" s="1883"/>
      <c r="CG103" s="1883"/>
      <c r="CH103" s="1883"/>
      <c r="CI103" s="1883"/>
      <c r="CJ103" s="1883"/>
      <c r="CK103" s="1883"/>
      <c r="CL103" s="1883"/>
      <c r="CM103" s="1883"/>
      <c r="CN103" s="1883"/>
      <c r="CO103" s="1883"/>
      <c r="CP103" s="1883"/>
      <c r="CQ103" s="1883"/>
      <c r="CR103" s="1883"/>
      <c r="CS103" s="1883"/>
      <c r="CT103" s="1883"/>
      <c r="CU103" s="1883"/>
      <c r="CV103" s="1883"/>
      <c r="CW103" s="1883"/>
      <c r="CX103" s="1883"/>
      <c r="CY103" s="1883"/>
      <c r="CZ103" s="1883"/>
      <c r="DA103" s="1883"/>
      <c r="DB103" s="1883"/>
      <c r="DC103" s="1883"/>
      <c r="DD103" s="1883"/>
      <c r="DE103" s="1883"/>
      <c r="DF103" s="1883"/>
      <c r="DG103" s="1883"/>
      <c r="DH103" s="1883"/>
      <c r="DI103" s="1883"/>
      <c r="DJ103" s="1883"/>
      <c r="DK103" s="1883"/>
      <c r="DL103" s="1883"/>
      <c r="DM103" s="1883"/>
      <c r="DN103" s="1883"/>
      <c r="DO103" s="1883"/>
      <c r="DP103" s="1883"/>
      <c r="DQ103" s="1883"/>
      <c r="DR103" s="1883"/>
      <c r="DS103" s="1883"/>
      <c r="DT103" s="1883"/>
      <c r="DU103" s="1883"/>
      <c r="DV103" s="1883"/>
      <c r="DW103" s="1883"/>
    </row>
    <row r="104" spans="1:127" s="1548" customFormat="1" ht="55.5" customHeight="1">
      <c r="A104" s="3807"/>
      <c r="B104" s="2101" t="str">
        <f t="shared" si="3"/>
        <v>2200001862</v>
      </c>
      <c r="C104" s="1851" t="s">
        <v>112</v>
      </c>
      <c r="D104" s="2178"/>
      <c r="E104" s="2118"/>
      <c r="F104" s="1872" t="s">
        <v>84</v>
      </c>
      <c r="G104" s="1921"/>
      <c r="H104" s="2159"/>
      <c r="I104" s="2118"/>
      <c r="J104" s="1872" t="s">
        <v>1138</v>
      </c>
      <c r="K104" s="1497" t="s">
        <v>7365</v>
      </c>
      <c r="L104" s="2199">
        <v>2965</v>
      </c>
      <c r="M104" s="2200" t="s">
        <v>7366</v>
      </c>
      <c r="N104" s="2102"/>
      <c r="O104" s="2102"/>
      <c r="P104" s="1883"/>
      <c r="Q104" s="1883"/>
      <c r="R104" s="1883"/>
      <c r="S104" s="1883"/>
      <c r="T104" s="1883"/>
      <c r="U104" s="1883"/>
      <c r="V104" s="1883"/>
      <c r="W104" s="1883"/>
      <c r="X104" s="1883"/>
      <c r="Y104" s="1883"/>
      <c r="Z104" s="1883"/>
      <c r="AA104" s="1883"/>
      <c r="AB104" s="1883"/>
      <c r="AC104" s="1883"/>
      <c r="AD104" s="1883"/>
      <c r="AE104" s="1883"/>
      <c r="AF104" s="1883"/>
      <c r="AG104" s="1883"/>
      <c r="AH104" s="1883"/>
      <c r="AI104" s="1883"/>
      <c r="AJ104" s="1883"/>
      <c r="AK104" s="1883"/>
      <c r="AL104" s="1883"/>
      <c r="AM104" s="1883"/>
      <c r="AN104" s="1883"/>
      <c r="AO104" s="1883"/>
      <c r="AP104" s="1883"/>
      <c r="AQ104" s="1883"/>
      <c r="AR104" s="1883"/>
      <c r="AS104" s="1883"/>
      <c r="AT104" s="1883"/>
      <c r="AU104" s="1883"/>
      <c r="AV104" s="1883"/>
      <c r="AW104" s="1883"/>
      <c r="AX104" s="1883"/>
      <c r="AY104" s="1883"/>
      <c r="AZ104" s="1883"/>
      <c r="BA104" s="1883"/>
      <c r="BB104" s="1883"/>
      <c r="BC104" s="1883"/>
      <c r="BD104" s="1883"/>
      <c r="BE104" s="1883"/>
      <c r="BF104" s="1883"/>
      <c r="BG104" s="1883"/>
      <c r="BH104" s="1883"/>
      <c r="BI104" s="1883"/>
      <c r="BJ104" s="1883"/>
      <c r="BK104" s="1883"/>
      <c r="BL104" s="1883"/>
      <c r="BM104" s="1883"/>
      <c r="BN104" s="1883"/>
      <c r="BO104" s="1883"/>
      <c r="BP104" s="1883"/>
      <c r="BQ104" s="1883"/>
      <c r="BR104" s="1883"/>
      <c r="BS104" s="1883"/>
      <c r="BT104" s="1883"/>
      <c r="BU104" s="1883"/>
      <c r="BV104" s="1883"/>
      <c r="BW104" s="1883"/>
      <c r="BX104" s="1883"/>
      <c r="BY104" s="1883"/>
      <c r="BZ104" s="1883"/>
      <c r="CA104" s="1883"/>
      <c r="CB104" s="1883"/>
      <c r="CC104" s="1883"/>
      <c r="CD104" s="1883"/>
      <c r="CE104" s="1883"/>
      <c r="CF104" s="1883"/>
      <c r="CG104" s="1883"/>
      <c r="CH104" s="1883"/>
      <c r="CI104" s="1883"/>
      <c r="CJ104" s="1883"/>
      <c r="CK104" s="1883"/>
      <c r="CL104" s="1883"/>
      <c r="CM104" s="1883"/>
      <c r="CN104" s="1883"/>
      <c r="CO104" s="1883"/>
      <c r="CP104" s="1883"/>
      <c r="CQ104" s="1883"/>
      <c r="CR104" s="1883"/>
      <c r="CS104" s="1883"/>
      <c r="CT104" s="1883"/>
      <c r="CU104" s="1883"/>
      <c r="CV104" s="1883"/>
      <c r="CW104" s="1883"/>
      <c r="CX104" s="1883"/>
      <c r="CY104" s="1883"/>
      <c r="CZ104" s="1883"/>
      <c r="DA104" s="1883"/>
      <c r="DB104" s="1883"/>
      <c r="DC104" s="1883"/>
      <c r="DD104" s="1883"/>
      <c r="DE104" s="1883"/>
      <c r="DF104" s="1883"/>
      <c r="DG104" s="1883"/>
      <c r="DH104" s="1883"/>
      <c r="DI104" s="1883"/>
      <c r="DJ104" s="1883"/>
      <c r="DK104" s="1883"/>
      <c r="DL104" s="1883"/>
      <c r="DM104" s="1883"/>
      <c r="DN104" s="1883"/>
      <c r="DO104" s="1883"/>
      <c r="DP104" s="1883"/>
      <c r="DQ104" s="1883"/>
      <c r="DR104" s="1883"/>
      <c r="DS104" s="1883"/>
      <c r="DT104" s="1883"/>
      <c r="DU104" s="1883"/>
      <c r="DV104" s="1883"/>
      <c r="DW104" s="1883"/>
    </row>
    <row r="105" spans="1:127" s="1548" customFormat="1" ht="55.5" customHeight="1">
      <c r="A105" s="3807"/>
      <c r="B105" s="2101" t="str">
        <f t="shared" si="3"/>
        <v>2000002652</v>
      </c>
      <c r="C105" s="1851" t="s">
        <v>112</v>
      </c>
      <c r="D105" s="2097"/>
      <c r="E105" s="1851"/>
      <c r="F105" s="1872" t="s">
        <v>84</v>
      </c>
      <c r="G105" s="1495"/>
      <c r="H105" s="1947"/>
      <c r="I105" s="1851"/>
      <c r="J105" s="1872" t="s">
        <v>1138</v>
      </c>
      <c r="K105" s="1628" t="s">
        <v>7321</v>
      </c>
      <c r="L105" s="2207">
        <v>5750</v>
      </c>
      <c r="M105" s="2160" t="s">
        <v>6705</v>
      </c>
      <c r="N105" s="2102"/>
      <c r="O105" s="2102"/>
      <c r="P105" s="1883"/>
      <c r="Q105" s="1883"/>
      <c r="R105" s="1883"/>
      <c r="S105" s="1883"/>
      <c r="T105" s="1883"/>
      <c r="U105" s="1883"/>
      <c r="V105" s="1883"/>
      <c r="W105" s="1883"/>
      <c r="X105" s="1883"/>
      <c r="Y105" s="1883"/>
      <c r="Z105" s="1883"/>
      <c r="AA105" s="1883"/>
      <c r="AB105" s="1883"/>
      <c r="AC105" s="1883"/>
      <c r="AD105" s="1883"/>
      <c r="AE105" s="1883"/>
      <c r="AF105" s="1883"/>
      <c r="AG105" s="1883"/>
      <c r="AH105" s="1883"/>
      <c r="AI105" s="1883"/>
      <c r="AJ105" s="1883"/>
      <c r="AK105" s="1883"/>
      <c r="AL105" s="1883"/>
      <c r="AM105" s="1883"/>
      <c r="AN105" s="1883"/>
      <c r="AO105" s="1883"/>
      <c r="AP105" s="1883"/>
      <c r="AQ105" s="1883"/>
      <c r="AR105" s="1883"/>
      <c r="AS105" s="1883"/>
      <c r="AT105" s="1883"/>
      <c r="AU105" s="1883"/>
      <c r="AV105" s="1883"/>
      <c r="AW105" s="1883"/>
      <c r="AX105" s="1883"/>
      <c r="AY105" s="1883"/>
      <c r="AZ105" s="1883"/>
      <c r="BA105" s="1883"/>
      <c r="BB105" s="1883"/>
      <c r="BC105" s="1883"/>
      <c r="BD105" s="1883"/>
      <c r="BE105" s="1883"/>
      <c r="BF105" s="1883"/>
      <c r="BG105" s="1883"/>
      <c r="BH105" s="1883"/>
      <c r="BI105" s="1883"/>
      <c r="BJ105" s="1883"/>
      <c r="BK105" s="1883"/>
      <c r="BL105" s="1883"/>
      <c r="BM105" s="1883"/>
      <c r="BN105" s="1883"/>
      <c r="BO105" s="1883"/>
      <c r="BP105" s="1883"/>
      <c r="BQ105" s="1883"/>
      <c r="BR105" s="1883"/>
      <c r="BS105" s="1883"/>
      <c r="BT105" s="1883"/>
      <c r="BU105" s="1883"/>
      <c r="BV105" s="1883"/>
      <c r="BW105" s="1883"/>
      <c r="BX105" s="1883"/>
      <c r="BY105" s="1883"/>
      <c r="BZ105" s="1883"/>
      <c r="CA105" s="1883"/>
      <c r="CB105" s="1883"/>
      <c r="CC105" s="1883"/>
      <c r="CD105" s="1883"/>
      <c r="CE105" s="1883"/>
      <c r="CF105" s="1883"/>
      <c r="CG105" s="1883"/>
      <c r="CH105" s="1883"/>
      <c r="CI105" s="1883"/>
      <c r="CJ105" s="1883"/>
      <c r="CK105" s="1883"/>
      <c r="CL105" s="1883"/>
      <c r="CM105" s="1883"/>
      <c r="CN105" s="1883"/>
      <c r="CO105" s="1883"/>
      <c r="CP105" s="1883"/>
      <c r="CQ105" s="1883"/>
      <c r="CR105" s="1883"/>
      <c r="CS105" s="1883"/>
      <c r="CT105" s="1883"/>
      <c r="CU105" s="1883"/>
      <c r="CV105" s="1883"/>
      <c r="CW105" s="1883"/>
      <c r="CX105" s="1883"/>
      <c r="CY105" s="1883"/>
      <c r="CZ105" s="1883"/>
      <c r="DA105" s="1883"/>
      <c r="DB105" s="1883"/>
      <c r="DC105" s="1883"/>
      <c r="DD105" s="1883"/>
      <c r="DE105" s="1883"/>
      <c r="DF105" s="1883"/>
      <c r="DG105" s="1883"/>
      <c r="DH105" s="1883"/>
      <c r="DI105" s="1883"/>
      <c r="DJ105" s="1883"/>
      <c r="DK105" s="1883"/>
      <c r="DL105" s="1883"/>
      <c r="DM105" s="1883"/>
      <c r="DN105" s="1883"/>
      <c r="DO105" s="1883"/>
      <c r="DP105" s="1883"/>
      <c r="DQ105" s="1883"/>
      <c r="DR105" s="1883"/>
      <c r="DS105" s="1883"/>
      <c r="DT105" s="1883"/>
      <c r="DU105" s="1883"/>
      <c r="DV105" s="1883"/>
      <c r="DW105" s="1883"/>
    </row>
    <row r="106" spans="1:127" s="1548" customFormat="1" ht="55.5" customHeight="1">
      <c r="A106" s="3773">
        <v>36</v>
      </c>
      <c r="B106" s="2101" t="str">
        <f t="shared" si="3"/>
        <v>2000002656</v>
      </c>
      <c r="C106" s="1921" t="s">
        <v>3460</v>
      </c>
      <c r="D106" s="2201">
        <v>4000</v>
      </c>
      <c r="E106" s="1921" t="s">
        <v>7361</v>
      </c>
      <c r="F106" s="1921" t="s">
        <v>61</v>
      </c>
      <c r="G106" s="1921" t="s">
        <v>7367</v>
      </c>
      <c r="H106" s="2159" t="s">
        <v>7363</v>
      </c>
      <c r="I106" s="1921" t="s">
        <v>19</v>
      </c>
      <c r="J106" s="1921" t="s">
        <v>199</v>
      </c>
      <c r="K106" s="1845" t="s">
        <v>7368</v>
      </c>
      <c r="L106" s="2222">
        <v>2050</v>
      </c>
      <c r="M106" s="2200" t="s">
        <v>5454</v>
      </c>
      <c r="N106" s="2228"/>
      <c r="O106" s="2224"/>
      <c r="P106" s="2150"/>
      <c r="Q106" s="2150"/>
      <c r="R106" s="2150"/>
      <c r="S106" s="2150"/>
      <c r="T106" s="2150"/>
      <c r="U106" s="2150"/>
      <c r="V106" s="2150"/>
      <c r="W106" s="2150"/>
      <c r="X106" s="2150"/>
      <c r="Y106" s="2150"/>
      <c r="Z106" s="2150"/>
      <c r="AA106" s="2150"/>
      <c r="AB106" s="2150"/>
      <c r="AC106" s="2150"/>
      <c r="AD106" s="2150"/>
      <c r="AE106" s="2150"/>
      <c r="AF106" s="2150"/>
      <c r="AG106" s="2150"/>
      <c r="AH106" s="2150"/>
      <c r="AI106" s="2150"/>
      <c r="AJ106" s="2150"/>
      <c r="AK106" s="2150"/>
      <c r="AL106" s="2150"/>
      <c r="AM106" s="2150"/>
      <c r="AN106" s="2150"/>
      <c r="AO106" s="2150"/>
      <c r="AP106" s="2150"/>
      <c r="AQ106" s="2150"/>
      <c r="AR106" s="2150"/>
      <c r="AS106" s="2150"/>
      <c r="AT106" s="2150"/>
      <c r="AU106" s="2150"/>
      <c r="AV106" s="2150"/>
      <c r="AW106" s="2150"/>
      <c r="AX106" s="2150"/>
      <c r="AY106" s="2150"/>
      <c r="AZ106" s="2150"/>
      <c r="BA106" s="2150"/>
      <c r="BB106" s="2150"/>
      <c r="BC106" s="2150"/>
      <c r="BD106" s="2150"/>
      <c r="BE106" s="2150"/>
      <c r="BF106" s="2150"/>
      <c r="BG106" s="2150"/>
      <c r="BH106" s="2150"/>
      <c r="BI106" s="2150"/>
      <c r="BJ106" s="2150"/>
      <c r="BK106" s="2150"/>
      <c r="BL106" s="2150"/>
      <c r="BM106" s="2150"/>
      <c r="BN106" s="2150"/>
      <c r="BO106" s="2150"/>
      <c r="BP106" s="2150"/>
      <c r="BQ106" s="2150"/>
      <c r="BR106" s="2150"/>
      <c r="BS106" s="2150"/>
      <c r="BT106" s="2150"/>
      <c r="BU106" s="2150"/>
      <c r="BV106" s="2150"/>
      <c r="BW106" s="2150"/>
      <c r="BX106" s="2150"/>
      <c r="BY106" s="2150"/>
      <c r="BZ106" s="2150"/>
      <c r="CA106" s="2150"/>
      <c r="CB106" s="2150"/>
      <c r="CC106" s="2150"/>
      <c r="CD106" s="2150"/>
      <c r="CE106" s="2150"/>
      <c r="CF106" s="2150"/>
      <c r="CG106" s="2150"/>
      <c r="CH106" s="2150"/>
      <c r="CI106" s="2150"/>
      <c r="CJ106" s="2150"/>
      <c r="CK106" s="2150"/>
      <c r="CL106" s="2150"/>
      <c r="CM106" s="2150"/>
      <c r="CN106" s="2150"/>
      <c r="CO106" s="2150"/>
      <c r="CP106" s="2150"/>
      <c r="CQ106" s="2150"/>
      <c r="CR106" s="2150"/>
      <c r="CS106" s="2150"/>
      <c r="CT106" s="2150"/>
      <c r="CU106" s="2150"/>
      <c r="CV106" s="2150"/>
      <c r="CW106" s="2150"/>
      <c r="CX106" s="2150"/>
      <c r="CY106" s="2150"/>
      <c r="CZ106" s="2150"/>
      <c r="DA106" s="2150"/>
      <c r="DB106" s="2150"/>
      <c r="DC106" s="2150"/>
      <c r="DD106" s="2150"/>
      <c r="DE106" s="2150"/>
      <c r="DF106" s="2150"/>
      <c r="DG106" s="2150"/>
      <c r="DH106" s="2150"/>
      <c r="DI106" s="2150"/>
      <c r="DJ106" s="2150"/>
      <c r="DK106" s="2150"/>
      <c r="DL106" s="2150"/>
      <c r="DM106" s="2150"/>
      <c r="DN106" s="2150"/>
      <c r="DO106" s="2150"/>
      <c r="DP106" s="2150"/>
      <c r="DQ106" s="2150"/>
      <c r="DR106" s="2150"/>
      <c r="DS106" s="2150"/>
      <c r="DT106" s="2150"/>
      <c r="DU106" s="2150"/>
      <c r="DV106" s="2150"/>
      <c r="DW106" s="2150"/>
    </row>
    <row r="107" spans="1:127" s="1548" customFormat="1" ht="55.5" customHeight="1">
      <c r="A107" s="3767"/>
      <c r="B107" s="2101" t="str">
        <f t="shared" si="3"/>
        <v>2000002640</v>
      </c>
      <c r="C107" s="1495" t="s">
        <v>3460</v>
      </c>
      <c r="D107" s="2201"/>
      <c r="E107" s="1921"/>
      <c r="F107" s="1495" t="s">
        <v>61</v>
      </c>
      <c r="G107" s="1921"/>
      <c r="H107" s="1921"/>
      <c r="I107" s="1495" t="s">
        <v>19</v>
      </c>
      <c r="J107" s="1495" t="s">
        <v>5325</v>
      </c>
      <c r="K107" s="1600" t="s">
        <v>6897</v>
      </c>
      <c r="L107" s="2204">
        <v>2000</v>
      </c>
      <c r="M107" s="2200" t="s">
        <v>6705</v>
      </c>
      <c r="N107" s="1748" t="s">
        <v>6706</v>
      </c>
      <c r="O107" s="2224"/>
      <c r="P107" s="2150"/>
      <c r="Q107" s="2150"/>
      <c r="R107" s="2150"/>
      <c r="S107" s="2150"/>
      <c r="T107" s="2150"/>
      <c r="U107" s="2150"/>
      <c r="V107" s="2150"/>
      <c r="W107" s="2150"/>
      <c r="X107" s="2150"/>
      <c r="Y107" s="2150"/>
      <c r="Z107" s="2150"/>
      <c r="AA107" s="2150"/>
      <c r="AB107" s="2150"/>
      <c r="AC107" s="2150"/>
      <c r="AD107" s="2150"/>
      <c r="AE107" s="2150"/>
      <c r="AF107" s="2150"/>
      <c r="AG107" s="2150"/>
      <c r="AH107" s="2150"/>
      <c r="AI107" s="2150"/>
      <c r="AJ107" s="2150"/>
      <c r="AK107" s="2150"/>
      <c r="AL107" s="2150"/>
      <c r="AM107" s="2150"/>
      <c r="AN107" s="2150"/>
      <c r="AO107" s="2150"/>
      <c r="AP107" s="2150"/>
      <c r="AQ107" s="2150"/>
      <c r="AR107" s="2150"/>
      <c r="AS107" s="2150"/>
      <c r="AT107" s="2150"/>
      <c r="AU107" s="2150"/>
      <c r="AV107" s="2150"/>
      <c r="AW107" s="2150"/>
      <c r="AX107" s="2150"/>
      <c r="AY107" s="2150"/>
      <c r="AZ107" s="2150"/>
      <c r="BA107" s="2150"/>
      <c r="BB107" s="2150"/>
      <c r="BC107" s="2150"/>
      <c r="BD107" s="2150"/>
      <c r="BE107" s="2150"/>
      <c r="BF107" s="2150"/>
      <c r="BG107" s="2150"/>
      <c r="BH107" s="2150"/>
      <c r="BI107" s="2150"/>
      <c r="BJ107" s="2150"/>
      <c r="BK107" s="2150"/>
      <c r="BL107" s="2150"/>
      <c r="BM107" s="2150"/>
      <c r="BN107" s="2150"/>
      <c r="BO107" s="2150"/>
      <c r="BP107" s="2150"/>
      <c r="BQ107" s="2150"/>
      <c r="BR107" s="2150"/>
      <c r="BS107" s="2150"/>
      <c r="BT107" s="2150"/>
      <c r="BU107" s="2150"/>
      <c r="BV107" s="2150"/>
      <c r="BW107" s="2150"/>
      <c r="BX107" s="2150"/>
      <c r="BY107" s="2150"/>
      <c r="BZ107" s="2150"/>
      <c r="CA107" s="2150"/>
      <c r="CB107" s="2150"/>
      <c r="CC107" s="2150"/>
      <c r="CD107" s="2150"/>
      <c r="CE107" s="2150"/>
      <c r="CF107" s="2150"/>
      <c r="CG107" s="2150"/>
      <c r="CH107" s="2150"/>
      <c r="CI107" s="2150"/>
      <c r="CJ107" s="2150"/>
      <c r="CK107" s="2150"/>
      <c r="CL107" s="2150"/>
      <c r="CM107" s="2150"/>
      <c r="CN107" s="2150"/>
      <c r="CO107" s="2150"/>
      <c r="CP107" s="2150"/>
      <c r="CQ107" s="2150"/>
      <c r="CR107" s="2150"/>
      <c r="CS107" s="2150"/>
      <c r="CT107" s="2150"/>
      <c r="CU107" s="2150"/>
      <c r="CV107" s="2150"/>
      <c r="CW107" s="2150"/>
      <c r="CX107" s="2150"/>
      <c r="CY107" s="2150"/>
      <c r="CZ107" s="2150"/>
      <c r="DA107" s="2150"/>
      <c r="DB107" s="2150"/>
      <c r="DC107" s="2150"/>
      <c r="DD107" s="2150"/>
      <c r="DE107" s="2150"/>
      <c r="DF107" s="2150"/>
      <c r="DG107" s="2150"/>
      <c r="DH107" s="2150"/>
      <c r="DI107" s="2150"/>
      <c r="DJ107" s="2150"/>
      <c r="DK107" s="2150"/>
      <c r="DL107" s="2150"/>
      <c r="DM107" s="2150"/>
      <c r="DN107" s="2150"/>
      <c r="DO107" s="2150"/>
      <c r="DP107" s="2150"/>
      <c r="DQ107" s="2150"/>
      <c r="DR107" s="2150"/>
      <c r="DS107" s="2150"/>
      <c r="DT107" s="2150"/>
      <c r="DU107" s="2150"/>
      <c r="DV107" s="2150"/>
      <c r="DW107" s="2150"/>
    </row>
    <row r="108" spans="1:127" s="2150" customFormat="1" ht="78.75" customHeight="1">
      <c r="A108" s="3773">
        <v>37</v>
      </c>
      <c r="B108" s="2101" t="str">
        <f t="shared" si="3"/>
        <v>2000002623</v>
      </c>
      <c r="C108" s="2118" t="s">
        <v>4786</v>
      </c>
      <c r="D108" s="2178">
        <v>5800</v>
      </c>
      <c r="E108" s="2118" t="s">
        <v>7369</v>
      </c>
      <c r="F108" s="1921" t="s">
        <v>16</v>
      </c>
      <c r="G108" s="1921" t="s">
        <v>7370</v>
      </c>
      <c r="H108" s="2159"/>
      <c r="I108" s="2118" t="s">
        <v>19</v>
      </c>
      <c r="J108" s="1921" t="s">
        <v>4348</v>
      </c>
      <c r="K108" s="1845" t="s">
        <v>7371</v>
      </c>
      <c r="L108" s="2179">
        <v>5000</v>
      </c>
      <c r="M108" s="2200" t="s">
        <v>6705</v>
      </c>
      <c r="N108" s="2237" t="s">
        <v>7338</v>
      </c>
      <c r="O108" s="2238"/>
      <c r="P108" s="2181"/>
    </row>
    <row r="109" spans="1:127" s="1548" customFormat="1" ht="67.5" customHeight="1">
      <c r="A109" s="3767"/>
      <c r="B109" s="2239" t="str">
        <f t="shared" si="3"/>
        <v>2000002661</v>
      </c>
      <c r="C109" s="1875" t="s">
        <v>4786</v>
      </c>
      <c r="D109" s="2240"/>
      <c r="E109" s="1851"/>
      <c r="F109" s="1495" t="s">
        <v>16</v>
      </c>
      <c r="G109" s="1495"/>
      <c r="H109" s="1495"/>
      <c r="I109" s="1495"/>
      <c r="J109" s="1495" t="s">
        <v>123</v>
      </c>
      <c r="K109" s="1600" t="s">
        <v>7372</v>
      </c>
      <c r="L109" s="2183">
        <v>800</v>
      </c>
      <c r="M109" s="2200" t="s">
        <v>6705</v>
      </c>
      <c r="N109" s="2208"/>
      <c r="O109" s="1780"/>
      <c r="P109" s="1807"/>
    </row>
    <row r="110" spans="1:127" s="1777" customFormat="1" ht="67.5" customHeight="1">
      <c r="A110" s="2230" t="s">
        <v>7373</v>
      </c>
      <c r="B110" s="2229"/>
      <c r="C110" s="2229"/>
      <c r="D110" s="2229"/>
      <c r="E110" s="2001"/>
      <c r="F110" s="1926"/>
      <c r="G110" s="111"/>
      <c r="H110" s="2001"/>
      <c r="I110" s="109"/>
      <c r="J110" s="109"/>
      <c r="K110" s="1877"/>
      <c r="L110" s="2218"/>
      <c r="M110" s="2163"/>
      <c r="N110" s="2041"/>
      <c r="O110" s="612"/>
      <c r="P110" s="2164"/>
      <c r="Q110" s="1880"/>
      <c r="R110" s="1880"/>
      <c r="S110" s="1880"/>
      <c r="T110" s="1880"/>
      <c r="U110" s="1880"/>
      <c r="V110" s="1880"/>
      <c r="W110" s="1880"/>
      <c r="X110" s="1880"/>
      <c r="Y110" s="1880"/>
      <c r="Z110" s="1880"/>
      <c r="AA110" s="1880"/>
      <c r="AB110" s="1880"/>
      <c r="AC110" s="1880"/>
      <c r="AD110" s="1880"/>
      <c r="AE110" s="1880"/>
      <c r="AF110" s="1880"/>
      <c r="AG110" s="1880"/>
      <c r="AH110" s="1880"/>
      <c r="AI110" s="1880"/>
      <c r="AJ110" s="1880"/>
      <c r="AK110" s="1880"/>
      <c r="AL110" s="1880"/>
      <c r="AM110" s="1880"/>
      <c r="AN110" s="1880"/>
      <c r="AO110" s="1880"/>
      <c r="AP110" s="1880"/>
      <c r="AQ110" s="1880"/>
      <c r="AR110" s="1880"/>
      <c r="AS110" s="1880"/>
      <c r="AT110" s="1880"/>
      <c r="AU110" s="1880"/>
      <c r="AV110" s="1880"/>
      <c r="AW110" s="1880"/>
      <c r="AX110" s="1880"/>
      <c r="AY110" s="1880"/>
      <c r="AZ110" s="1880"/>
      <c r="BA110" s="1880"/>
      <c r="BB110" s="1880"/>
      <c r="BC110" s="1880"/>
      <c r="BD110" s="1880"/>
      <c r="BE110" s="1880"/>
      <c r="BF110" s="1880"/>
      <c r="BG110" s="1880"/>
      <c r="BH110" s="1880"/>
      <c r="BI110" s="1880"/>
      <c r="BJ110" s="1880"/>
      <c r="BK110" s="1880"/>
      <c r="BL110" s="1880"/>
      <c r="BM110" s="1880"/>
      <c r="BN110" s="1880"/>
      <c r="BO110" s="1880"/>
      <c r="BP110" s="1880"/>
      <c r="BQ110" s="1880"/>
      <c r="BR110" s="1880"/>
      <c r="BS110" s="1880"/>
      <c r="BT110" s="1880"/>
      <c r="BU110" s="1880"/>
      <c r="BV110" s="1880"/>
      <c r="BW110" s="1880"/>
      <c r="BX110" s="1880"/>
      <c r="BY110" s="1880"/>
      <c r="BZ110" s="1880"/>
      <c r="CA110" s="1880"/>
      <c r="CB110" s="1880"/>
      <c r="CC110" s="1880"/>
      <c r="CD110" s="1880"/>
      <c r="CE110" s="1880"/>
      <c r="CF110" s="1880"/>
      <c r="CG110" s="1880"/>
      <c r="CH110" s="1880"/>
      <c r="CI110" s="1880"/>
      <c r="CJ110" s="1880"/>
      <c r="CK110" s="1880"/>
      <c r="CL110" s="1880"/>
      <c r="CM110" s="1880"/>
      <c r="CN110" s="1880"/>
      <c r="CO110" s="1880"/>
      <c r="CP110" s="1880"/>
      <c r="CQ110" s="1880"/>
      <c r="CR110" s="1880"/>
      <c r="CS110" s="1880"/>
      <c r="CT110" s="1880"/>
      <c r="CU110" s="1880"/>
      <c r="CV110" s="1880"/>
      <c r="CW110" s="1880"/>
      <c r="CX110" s="1880"/>
      <c r="CY110" s="1880"/>
      <c r="CZ110" s="1880"/>
      <c r="DA110" s="1880"/>
      <c r="DB110" s="1880"/>
      <c r="DC110" s="1880"/>
      <c r="DD110" s="1880"/>
      <c r="DE110" s="1880"/>
      <c r="DF110" s="1880"/>
      <c r="DG110" s="1880"/>
      <c r="DH110" s="1880"/>
      <c r="DI110" s="1880"/>
      <c r="DJ110" s="1880"/>
      <c r="DK110" s="1880"/>
      <c r="DL110" s="1880"/>
      <c r="DM110" s="1880"/>
      <c r="DN110" s="1880"/>
      <c r="DO110" s="1880"/>
      <c r="DP110" s="1880"/>
      <c r="DQ110" s="1880"/>
      <c r="DR110" s="1880"/>
      <c r="DS110" s="1880"/>
      <c r="DT110" s="1880"/>
      <c r="DU110" s="1880"/>
      <c r="DV110" s="1880"/>
      <c r="DW110" s="1880"/>
    </row>
    <row r="111" spans="1:127" s="2167" customFormat="1" ht="69" customHeight="1">
      <c r="A111" s="3799">
        <v>37</v>
      </c>
      <c r="B111" s="2231" t="str">
        <f t="shared" ref="B111:B128" si="4">TEXT(LEFT(K111,10),"0000000000")</f>
        <v>2000002643</v>
      </c>
      <c r="C111" s="2241" t="s">
        <v>3924</v>
      </c>
      <c r="D111" s="2242">
        <v>7200</v>
      </c>
      <c r="E111" s="2115" t="s">
        <v>6735</v>
      </c>
      <c r="F111" s="2113" t="s">
        <v>3401</v>
      </c>
      <c r="G111" s="2171" t="s">
        <v>6742</v>
      </c>
      <c r="H111" s="2115"/>
      <c r="I111" s="2114" t="s">
        <v>19</v>
      </c>
      <c r="J111" s="2114" t="s">
        <v>1138</v>
      </c>
      <c r="K111" s="2146" t="s">
        <v>7374</v>
      </c>
      <c r="L111" s="2243">
        <v>2700</v>
      </c>
      <c r="M111" s="2163" t="s">
        <v>6705</v>
      </c>
      <c r="N111" s="1772" t="s">
        <v>6706</v>
      </c>
      <c r="O111" s="2132"/>
      <c r="P111" s="2116"/>
      <c r="Q111" s="2116"/>
      <c r="R111" s="2116"/>
      <c r="S111" s="2116"/>
      <c r="T111" s="2116"/>
      <c r="U111" s="2116"/>
      <c r="V111" s="2116"/>
      <c r="W111" s="2116"/>
      <c r="X111" s="2116"/>
      <c r="Y111" s="2116"/>
      <c r="Z111" s="2116"/>
      <c r="AA111" s="2116"/>
      <c r="AB111" s="2116"/>
      <c r="AC111" s="2116"/>
      <c r="AD111" s="2116"/>
      <c r="AE111" s="2116"/>
      <c r="AF111" s="2116"/>
      <c r="AG111" s="2116"/>
      <c r="AH111" s="2116"/>
      <c r="AI111" s="2116"/>
      <c r="AJ111" s="2116"/>
      <c r="AK111" s="2116"/>
      <c r="AL111" s="2116"/>
      <c r="AM111" s="2116"/>
      <c r="AN111" s="2116"/>
      <c r="AO111" s="2116"/>
      <c r="AP111" s="2116"/>
      <c r="AQ111" s="2116"/>
      <c r="AR111" s="2116"/>
      <c r="AS111" s="2116"/>
      <c r="AT111" s="2116"/>
      <c r="AU111" s="2116"/>
      <c r="AV111" s="2116"/>
      <c r="AW111" s="2116"/>
      <c r="AX111" s="2116"/>
      <c r="AY111" s="2116"/>
      <c r="AZ111" s="2116"/>
      <c r="BA111" s="2116"/>
      <c r="BB111" s="2116"/>
      <c r="BC111" s="2116"/>
      <c r="BD111" s="2116"/>
      <c r="BE111" s="2116"/>
      <c r="BF111" s="2116"/>
      <c r="BG111" s="2116"/>
      <c r="BH111" s="2116"/>
      <c r="BI111" s="2116"/>
      <c r="BJ111" s="2116"/>
      <c r="BK111" s="2116"/>
      <c r="BL111" s="2116"/>
      <c r="BM111" s="2116"/>
      <c r="BN111" s="2116"/>
      <c r="BO111" s="2116"/>
      <c r="BP111" s="2116"/>
      <c r="BQ111" s="2116"/>
      <c r="BR111" s="2116"/>
      <c r="BS111" s="2116"/>
      <c r="BT111" s="2116"/>
      <c r="BU111" s="2116"/>
      <c r="BV111" s="2116"/>
      <c r="BW111" s="2116"/>
      <c r="BX111" s="2116"/>
      <c r="BY111" s="2116"/>
      <c r="BZ111" s="2116"/>
      <c r="CA111" s="2116"/>
      <c r="CB111" s="2116"/>
      <c r="CC111" s="2116"/>
      <c r="CD111" s="2116"/>
      <c r="CE111" s="2116"/>
      <c r="CF111" s="2116"/>
      <c r="CG111" s="2116"/>
      <c r="CH111" s="2116"/>
      <c r="CI111" s="2116"/>
      <c r="CJ111" s="2116"/>
      <c r="CK111" s="2116"/>
      <c r="CL111" s="2116"/>
      <c r="CM111" s="2116"/>
      <c r="CN111" s="2116"/>
      <c r="CO111" s="2116"/>
      <c r="CP111" s="2116"/>
      <c r="CQ111" s="2116"/>
      <c r="CR111" s="2116"/>
      <c r="CS111" s="2116"/>
      <c r="CT111" s="2116"/>
      <c r="CU111" s="2116"/>
      <c r="CV111" s="2116"/>
      <c r="CW111" s="2116"/>
      <c r="CX111" s="2116"/>
      <c r="CY111" s="2116"/>
      <c r="CZ111" s="2116"/>
      <c r="DA111" s="2116"/>
      <c r="DB111" s="2116"/>
      <c r="DC111" s="2116"/>
      <c r="DD111" s="2116"/>
      <c r="DE111" s="2116"/>
      <c r="DF111" s="2116"/>
      <c r="DG111" s="2116"/>
      <c r="DH111" s="2116"/>
      <c r="DI111" s="2116"/>
      <c r="DJ111" s="2116"/>
      <c r="DK111" s="2116"/>
      <c r="DL111" s="2116"/>
      <c r="DM111" s="2116"/>
      <c r="DN111" s="2116"/>
      <c r="DO111" s="2116"/>
      <c r="DP111" s="2116"/>
      <c r="DQ111" s="2116"/>
      <c r="DR111" s="2116"/>
      <c r="DS111" s="2116"/>
      <c r="DT111" s="2116"/>
      <c r="DU111" s="2116"/>
      <c r="DV111" s="2116"/>
      <c r="DW111" s="2116"/>
    </row>
    <row r="112" spans="1:127" s="2167" customFormat="1" ht="69" customHeight="1">
      <c r="A112" s="3799"/>
      <c r="B112" s="2174" t="str">
        <f t="shared" si="4"/>
        <v>2000002624</v>
      </c>
      <c r="C112" s="102" t="s">
        <v>3924</v>
      </c>
      <c r="D112" s="2244"/>
      <c r="E112" s="735"/>
      <c r="F112" s="1926" t="s">
        <v>3401</v>
      </c>
      <c r="G112" s="111"/>
      <c r="H112" s="2001"/>
      <c r="I112" s="735"/>
      <c r="J112" s="109" t="s">
        <v>1138</v>
      </c>
      <c r="K112" s="2139" t="s">
        <v>7375</v>
      </c>
      <c r="L112" s="2245">
        <v>2000</v>
      </c>
      <c r="M112" s="2163" t="s">
        <v>6705</v>
      </c>
      <c r="N112" s="1772" t="s">
        <v>6718</v>
      </c>
      <c r="O112" s="2132"/>
      <c r="P112" s="2116"/>
      <c r="Q112" s="2116"/>
      <c r="R112" s="2116"/>
      <c r="S112" s="2116"/>
      <c r="T112" s="2116"/>
      <c r="U112" s="2116"/>
      <c r="V112" s="2116"/>
      <c r="W112" s="2116"/>
      <c r="X112" s="2116"/>
      <c r="Y112" s="2116"/>
      <c r="Z112" s="2116"/>
      <c r="AA112" s="2116"/>
      <c r="AB112" s="2116"/>
      <c r="AC112" s="2116"/>
      <c r="AD112" s="2116"/>
      <c r="AE112" s="2116"/>
      <c r="AF112" s="2116"/>
      <c r="AG112" s="2116"/>
      <c r="AH112" s="2116"/>
      <c r="AI112" s="2116"/>
      <c r="AJ112" s="2116"/>
      <c r="AK112" s="2116"/>
      <c r="AL112" s="2116"/>
      <c r="AM112" s="2116"/>
      <c r="AN112" s="2116"/>
      <c r="AO112" s="2116"/>
      <c r="AP112" s="2116"/>
      <c r="AQ112" s="2116"/>
      <c r="AR112" s="2116"/>
      <c r="AS112" s="2116"/>
      <c r="AT112" s="2116"/>
      <c r="AU112" s="2116"/>
      <c r="AV112" s="2116"/>
      <c r="AW112" s="2116"/>
      <c r="AX112" s="2116"/>
      <c r="AY112" s="2116"/>
      <c r="AZ112" s="2116"/>
      <c r="BA112" s="2116"/>
      <c r="BB112" s="2116"/>
      <c r="BC112" s="2116"/>
      <c r="BD112" s="2116"/>
      <c r="BE112" s="2116"/>
      <c r="BF112" s="2116"/>
      <c r="BG112" s="2116"/>
      <c r="BH112" s="2116"/>
      <c r="BI112" s="2116"/>
      <c r="BJ112" s="2116"/>
      <c r="BK112" s="2116"/>
      <c r="BL112" s="2116"/>
      <c r="BM112" s="2116"/>
      <c r="BN112" s="2116"/>
      <c r="BO112" s="2116"/>
      <c r="BP112" s="2116"/>
      <c r="BQ112" s="2116"/>
      <c r="BR112" s="2116"/>
      <c r="BS112" s="2116"/>
      <c r="BT112" s="2116"/>
      <c r="BU112" s="2116"/>
      <c r="BV112" s="2116"/>
      <c r="BW112" s="2116"/>
      <c r="BX112" s="2116"/>
      <c r="BY112" s="2116"/>
      <c r="BZ112" s="2116"/>
      <c r="CA112" s="2116"/>
      <c r="CB112" s="2116"/>
      <c r="CC112" s="2116"/>
      <c r="CD112" s="2116"/>
      <c r="CE112" s="2116"/>
      <c r="CF112" s="2116"/>
      <c r="CG112" s="2116"/>
      <c r="CH112" s="2116"/>
      <c r="CI112" s="2116"/>
      <c r="CJ112" s="2116"/>
      <c r="CK112" s="2116"/>
      <c r="CL112" s="2116"/>
      <c r="CM112" s="2116"/>
      <c r="CN112" s="2116"/>
      <c r="CO112" s="2116"/>
      <c r="CP112" s="2116"/>
      <c r="CQ112" s="2116"/>
      <c r="CR112" s="2116"/>
      <c r="CS112" s="2116"/>
      <c r="CT112" s="2116"/>
      <c r="CU112" s="2116"/>
      <c r="CV112" s="2116"/>
      <c r="CW112" s="2116"/>
      <c r="CX112" s="2116"/>
      <c r="CY112" s="2116"/>
      <c r="CZ112" s="2116"/>
      <c r="DA112" s="2116"/>
      <c r="DB112" s="2116"/>
      <c r="DC112" s="2116"/>
      <c r="DD112" s="2116"/>
      <c r="DE112" s="2116"/>
      <c r="DF112" s="2116"/>
      <c r="DG112" s="2116"/>
      <c r="DH112" s="2116"/>
      <c r="DI112" s="2116"/>
      <c r="DJ112" s="2116"/>
      <c r="DK112" s="2116"/>
      <c r="DL112" s="2116"/>
      <c r="DM112" s="2116"/>
      <c r="DN112" s="2116"/>
      <c r="DO112" s="2116"/>
      <c r="DP112" s="2116"/>
      <c r="DQ112" s="2116"/>
      <c r="DR112" s="2116"/>
      <c r="DS112" s="2116"/>
      <c r="DT112" s="2116"/>
      <c r="DU112" s="2116"/>
      <c r="DV112" s="2116"/>
      <c r="DW112" s="2116"/>
    </row>
    <row r="113" spans="1:127" s="1777" customFormat="1" ht="69" customHeight="1">
      <c r="A113" s="3800"/>
      <c r="B113" s="2174" t="str">
        <f t="shared" si="4"/>
        <v>2200001858</v>
      </c>
      <c r="C113" s="102" t="s">
        <v>3924</v>
      </c>
      <c r="D113" s="2244"/>
      <c r="E113" s="735"/>
      <c r="F113" s="1926" t="s">
        <v>3401</v>
      </c>
      <c r="G113" s="111"/>
      <c r="H113" s="2001"/>
      <c r="I113" s="735"/>
      <c r="J113" s="109" t="s">
        <v>1138</v>
      </c>
      <c r="K113" s="2139" t="s">
        <v>7298</v>
      </c>
      <c r="L113" s="2245">
        <v>2600</v>
      </c>
      <c r="M113" s="2163" t="s">
        <v>7376</v>
      </c>
      <c r="N113" s="1772"/>
      <c r="O113" s="2048"/>
      <c r="P113" s="1880"/>
      <c r="Q113" s="1880"/>
      <c r="R113" s="1880"/>
      <c r="S113" s="1880"/>
      <c r="T113" s="1880"/>
      <c r="U113" s="1880"/>
      <c r="V113" s="1880"/>
      <c r="W113" s="1880"/>
      <c r="X113" s="1880"/>
      <c r="Y113" s="1880"/>
      <c r="Z113" s="1880"/>
      <c r="AA113" s="1880"/>
      <c r="AB113" s="1880"/>
      <c r="AC113" s="1880"/>
      <c r="AD113" s="1880"/>
      <c r="AE113" s="1880"/>
      <c r="AF113" s="1880"/>
      <c r="AG113" s="1880"/>
      <c r="AH113" s="1880"/>
      <c r="AI113" s="1880"/>
      <c r="AJ113" s="1880"/>
      <c r="AK113" s="1880"/>
      <c r="AL113" s="1880"/>
      <c r="AM113" s="1880"/>
      <c r="AN113" s="1880"/>
      <c r="AO113" s="1880"/>
      <c r="AP113" s="1880"/>
      <c r="AQ113" s="1880"/>
      <c r="AR113" s="1880"/>
      <c r="AS113" s="1880"/>
      <c r="AT113" s="1880"/>
      <c r="AU113" s="1880"/>
      <c r="AV113" s="1880"/>
      <c r="AW113" s="1880"/>
      <c r="AX113" s="1880"/>
      <c r="AY113" s="1880"/>
      <c r="AZ113" s="1880"/>
      <c r="BA113" s="1880"/>
      <c r="BB113" s="1880"/>
      <c r="BC113" s="1880"/>
      <c r="BD113" s="1880"/>
      <c r="BE113" s="1880"/>
      <c r="BF113" s="1880"/>
      <c r="BG113" s="1880"/>
      <c r="BH113" s="1880"/>
      <c r="BI113" s="1880"/>
      <c r="BJ113" s="1880"/>
      <c r="BK113" s="1880"/>
      <c r="BL113" s="1880"/>
      <c r="BM113" s="1880"/>
      <c r="BN113" s="1880"/>
      <c r="BO113" s="1880"/>
      <c r="BP113" s="1880"/>
      <c r="BQ113" s="1880"/>
      <c r="BR113" s="1880"/>
      <c r="BS113" s="1880"/>
      <c r="BT113" s="1880"/>
      <c r="BU113" s="1880"/>
      <c r="BV113" s="1880"/>
      <c r="BW113" s="1880"/>
      <c r="BX113" s="1880"/>
      <c r="BY113" s="1880"/>
      <c r="BZ113" s="1880"/>
      <c r="CA113" s="1880"/>
      <c r="CB113" s="1880"/>
      <c r="CC113" s="1880"/>
      <c r="CD113" s="1880"/>
      <c r="CE113" s="1880"/>
      <c r="CF113" s="1880"/>
      <c r="CG113" s="1880"/>
      <c r="CH113" s="1880"/>
      <c r="CI113" s="1880"/>
      <c r="CJ113" s="1880"/>
      <c r="CK113" s="1880"/>
      <c r="CL113" s="1880"/>
      <c r="CM113" s="1880"/>
      <c r="CN113" s="1880"/>
      <c r="CO113" s="1880"/>
      <c r="CP113" s="1880"/>
      <c r="CQ113" s="1880"/>
      <c r="CR113" s="1880"/>
      <c r="CS113" s="1880"/>
      <c r="CT113" s="1880"/>
      <c r="CU113" s="1880"/>
      <c r="CV113" s="1880"/>
      <c r="CW113" s="1880"/>
      <c r="CX113" s="1880"/>
      <c r="CY113" s="1880"/>
      <c r="CZ113" s="1880"/>
      <c r="DA113" s="1880"/>
      <c r="DB113" s="1880"/>
      <c r="DC113" s="1880"/>
      <c r="DD113" s="1880"/>
      <c r="DE113" s="1880"/>
      <c r="DF113" s="1880"/>
      <c r="DG113" s="1880"/>
      <c r="DH113" s="1880"/>
      <c r="DI113" s="1880"/>
      <c r="DJ113" s="1880"/>
      <c r="DK113" s="1880"/>
      <c r="DL113" s="1880"/>
      <c r="DM113" s="1880"/>
      <c r="DN113" s="1880"/>
      <c r="DO113" s="1880"/>
      <c r="DP113" s="1880"/>
      <c r="DQ113" s="1880"/>
      <c r="DR113" s="1880"/>
      <c r="DS113" s="1880"/>
      <c r="DT113" s="1880"/>
      <c r="DU113" s="1880"/>
      <c r="DV113" s="1880"/>
      <c r="DW113" s="1880"/>
    </row>
    <row r="114" spans="1:127" s="2167" customFormat="1" ht="64.5" customHeight="1">
      <c r="A114" s="3801">
        <v>40</v>
      </c>
      <c r="B114" s="2174" t="str">
        <f t="shared" si="4"/>
        <v>2000002641</v>
      </c>
      <c r="C114" s="2114" t="s">
        <v>3399</v>
      </c>
      <c r="D114" s="2246">
        <v>9250</v>
      </c>
      <c r="E114" s="2114" t="s">
        <v>7377</v>
      </c>
      <c r="F114" s="2114" t="s">
        <v>3401</v>
      </c>
      <c r="G114" s="2114" t="s">
        <v>7378</v>
      </c>
      <c r="H114" s="2114" t="s">
        <v>6709</v>
      </c>
      <c r="I114" s="2114" t="s">
        <v>19</v>
      </c>
      <c r="J114" s="2114" t="s">
        <v>123</v>
      </c>
      <c r="K114" s="2173" t="s">
        <v>7379</v>
      </c>
      <c r="L114" s="2247">
        <v>300</v>
      </c>
      <c r="M114" s="2152" t="s">
        <v>6705</v>
      </c>
      <c r="N114" s="2103" t="s">
        <v>6706</v>
      </c>
      <c r="O114" s="2168"/>
    </row>
    <row r="115" spans="1:127" s="1777" customFormat="1" ht="64.5" customHeight="1">
      <c r="A115" s="3802"/>
      <c r="B115" s="2174" t="str">
        <f t="shared" si="4"/>
        <v>2000002642</v>
      </c>
      <c r="C115" s="109" t="s">
        <v>3399</v>
      </c>
      <c r="D115" s="2248"/>
      <c r="E115" s="109"/>
      <c r="F115" s="109" t="s">
        <v>3401</v>
      </c>
      <c r="G115" s="109"/>
      <c r="H115" s="109"/>
      <c r="I115" s="109"/>
      <c r="J115" s="109" t="s">
        <v>123</v>
      </c>
      <c r="K115" s="1923" t="s">
        <v>7380</v>
      </c>
      <c r="L115" s="2249">
        <v>250</v>
      </c>
      <c r="M115" s="2152" t="s">
        <v>6705</v>
      </c>
      <c r="N115" s="2103" t="s">
        <v>6706</v>
      </c>
      <c r="O115" s="2041"/>
    </row>
    <row r="116" spans="1:127" s="1777" customFormat="1" ht="64.5" customHeight="1">
      <c r="A116" s="3802"/>
      <c r="B116" s="2174" t="str">
        <f t="shared" si="4"/>
        <v>2200001856</v>
      </c>
      <c r="C116" s="109" t="s">
        <v>3399</v>
      </c>
      <c r="D116" s="2248"/>
      <c r="E116" s="109"/>
      <c r="F116" s="109" t="s">
        <v>3401</v>
      </c>
      <c r="G116" s="109"/>
      <c r="H116" s="109"/>
      <c r="I116" s="109"/>
      <c r="J116" s="106" t="s">
        <v>63</v>
      </c>
      <c r="K116" s="670" t="s">
        <v>7381</v>
      </c>
      <c r="L116" s="2250">
        <v>600</v>
      </c>
      <c r="M116" s="2163" t="s">
        <v>7293</v>
      </c>
      <c r="N116" s="2041"/>
      <c r="O116" s="2041"/>
    </row>
    <row r="117" spans="1:127" s="1777" customFormat="1" ht="49.5" customHeight="1">
      <c r="A117" s="3802"/>
      <c r="B117" s="2174" t="str">
        <f t="shared" si="4"/>
        <v>2000002665</v>
      </c>
      <c r="C117" s="109" t="s">
        <v>3399</v>
      </c>
      <c r="D117" s="2248"/>
      <c r="E117" s="109"/>
      <c r="F117" s="109" t="s">
        <v>3401</v>
      </c>
      <c r="G117" s="109"/>
      <c r="H117" s="109"/>
      <c r="I117" s="109"/>
      <c r="J117" s="109" t="s">
        <v>63</v>
      </c>
      <c r="K117" s="1877" t="s">
        <v>7382</v>
      </c>
      <c r="L117" s="2249">
        <v>7600</v>
      </c>
      <c r="M117" s="2152" t="s">
        <v>6705</v>
      </c>
      <c r="N117" s="2041" t="s">
        <v>6727</v>
      </c>
      <c r="O117" s="2041"/>
    </row>
    <row r="118" spans="1:127" s="1777" customFormat="1" ht="66" customHeight="1">
      <c r="A118" s="3803"/>
      <c r="B118" s="2174" t="str">
        <f t="shared" si="4"/>
        <v>2000002622</v>
      </c>
      <c r="C118" s="109" t="s">
        <v>3399</v>
      </c>
      <c r="D118" s="2248"/>
      <c r="E118" s="109"/>
      <c r="F118" s="109" t="s">
        <v>3401</v>
      </c>
      <c r="G118" s="109"/>
      <c r="H118" s="109"/>
      <c r="I118" s="109"/>
      <c r="J118" s="109" t="s">
        <v>63</v>
      </c>
      <c r="K118" s="696" t="s">
        <v>7383</v>
      </c>
      <c r="L118" s="2249">
        <v>500</v>
      </c>
      <c r="M118" s="2152" t="s">
        <v>6705</v>
      </c>
      <c r="N118" s="2046" t="s">
        <v>6706</v>
      </c>
      <c r="O118" s="2041"/>
    </row>
    <row r="119" spans="1:127" s="1777" customFormat="1" ht="66" customHeight="1">
      <c r="A119" s="3801">
        <v>35</v>
      </c>
      <c r="B119" s="2174" t="str">
        <f t="shared" si="4"/>
        <v>2000002599</v>
      </c>
      <c r="C119" s="2169" t="s">
        <v>52</v>
      </c>
      <c r="D119" s="2251">
        <v>4620</v>
      </c>
      <c r="E119" s="2112" t="s">
        <v>7384</v>
      </c>
      <c r="F119" s="2114" t="s">
        <v>16</v>
      </c>
      <c r="G119" s="2114" t="s">
        <v>7385</v>
      </c>
      <c r="H119" s="2114"/>
      <c r="I119" s="2112" t="s">
        <v>19</v>
      </c>
      <c r="J119" s="2112" t="s">
        <v>1138</v>
      </c>
      <c r="K119" s="2173" t="s">
        <v>7386</v>
      </c>
      <c r="L119" s="2252">
        <v>300</v>
      </c>
      <c r="M119" s="2163" t="s">
        <v>6705</v>
      </c>
      <c r="N119" s="1772" t="s">
        <v>6706</v>
      </c>
      <c r="O119" s="2253"/>
      <c r="P119" s="2166"/>
      <c r="Q119" s="2166"/>
      <c r="R119" s="2166"/>
      <c r="S119" s="2166"/>
      <c r="T119" s="2166"/>
      <c r="U119" s="2166"/>
      <c r="V119" s="2166"/>
      <c r="W119" s="2166"/>
      <c r="X119" s="2166"/>
      <c r="Y119" s="2166"/>
      <c r="Z119" s="2166"/>
      <c r="AA119" s="2166"/>
      <c r="AB119" s="2166"/>
      <c r="AC119" s="2166"/>
      <c r="AD119" s="2166"/>
      <c r="AE119" s="2166"/>
      <c r="AF119" s="2166"/>
      <c r="AG119" s="2166"/>
      <c r="AH119" s="2166"/>
      <c r="AI119" s="2166"/>
      <c r="AJ119" s="2166"/>
      <c r="AK119" s="2166"/>
      <c r="AL119" s="2166"/>
      <c r="AM119" s="2166"/>
      <c r="AN119" s="2166"/>
      <c r="AO119" s="2166"/>
      <c r="AP119" s="2166"/>
      <c r="AQ119" s="2166"/>
      <c r="AR119" s="2166"/>
      <c r="AS119" s="2166"/>
      <c r="AT119" s="2166"/>
      <c r="AU119" s="2166"/>
      <c r="AV119" s="2166"/>
      <c r="AW119" s="2166"/>
      <c r="AX119" s="2166"/>
      <c r="AY119" s="2166"/>
      <c r="AZ119" s="2166"/>
      <c r="BA119" s="2166"/>
      <c r="BB119" s="2166"/>
      <c r="BC119" s="2166"/>
      <c r="BD119" s="2166"/>
      <c r="BE119" s="2166"/>
      <c r="BF119" s="2166"/>
      <c r="BG119" s="2166"/>
      <c r="BH119" s="2166"/>
      <c r="BI119" s="2166"/>
      <c r="BJ119" s="2166"/>
      <c r="BK119" s="2166"/>
      <c r="BL119" s="2166"/>
      <c r="BM119" s="2166"/>
      <c r="BN119" s="2166"/>
      <c r="BO119" s="2166"/>
      <c r="BP119" s="2166"/>
      <c r="BQ119" s="2166"/>
      <c r="BR119" s="2166"/>
      <c r="BS119" s="2166"/>
      <c r="BT119" s="2166"/>
      <c r="BU119" s="2166"/>
      <c r="BV119" s="2166"/>
      <c r="BW119" s="2166"/>
      <c r="BX119" s="2166"/>
      <c r="BY119" s="2166"/>
      <c r="BZ119" s="2166"/>
      <c r="CA119" s="2166"/>
      <c r="CB119" s="2166"/>
      <c r="CC119" s="2166"/>
      <c r="CD119" s="2166"/>
      <c r="CE119" s="2166"/>
      <c r="CF119" s="2166"/>
      <c r="CG119" s="2166"/>
      <c r="CH119" s="2166"/>
      <c r="CI119" s="2166"/>
      <c r="CJ119" s="2166"/>
      <c r="CK119" s="2166"/>
      <c r="CL119" s="2166"/>
      <c r="CM119" s="2166"/>
      <c r="CN119" s="2166"/>
      <c r="CO119" s="2166"/>
      <c r="CP119" s="2166"/>
      <c r="CQ119" s="2166"/>
      <c r="CR119" s="2166"/>
      <c r="CS119" s="2166"/>
      <c r="CT119" s="2166"/>
      <c r="CU119" s="2166"/>
      <c r="CV119" s="2166"/>
      <c r="CW119" s="2166"/>
      <c r="CX119" s="2166"/>
      <c r="CY119" s="2166"/>
      <c r="CZ119" s="2166"/>
      <c r="DA119" s="2166"/>
      <c r="DB119" s="2166"/>
      <c r="DC119" s="2166"/>
      <c r="DD119" s="2166"/>
      <c r="DE119" s="2166"/>
      <c r="DF119" s="2166"/>
      <c r="DG119" s="2166"/>
      <c r="DH119" s="2166"/>
      <c r="DI119" s="2166"/>
      <c r="DJ119" s="2166"/>
      <c r="DK119" s="2166"/>
      <c r="DL119" s="2166"/>
      <c r="DM119" s="2166"/>
      <c r="DN119" s="2166"/>
      <c r="DO119" s="2166"/>
      <c r="DP119" s="2166"/>
      <c r="DQ119" s="2166"/>
      <c r="DR119" s="2166"/>
      <c r="DS119" s="2166"/>
      <c r="DT119" s="2166"/>
      <c r="DU119" s="2166"/>
      <c r="DV119" s="2166"/>
      <c r="DW119" s="2166"/>
    </row>
    <row r="120" spans="1:127" s="1777" customFormat="1" ht="66" customHeight="1">
      <c r="A120" s="3802"/>
      <c r="B120" s="2174" t="str">
        <f t="shared" si="4"/>
        <v>2200001851</v>
      </c>
      <c r="C120" s="111" t="s">
        <v>52</v>
      </c>
      <c r="D120" s="2254"/>
      <c r="E120" s="735"/>
      <c r="F120" s="1926" t="s">
        <v>16</v>
      </c>
      <c r="G120" s="109"/>
      <c r="H120" s="2001"/>
      <c r="I120" s="735"/>
      <c r="J120" s="735" t="s">
        <v>1138</v>
      </c>
      <c r="K120" s="2139" t="s">
        <v>7387</v>
      </c>
      <c r="L120" s="2245">
        <v>1140</v>
      </c>
      <c r="M120" s="2163" t="s">
        <v>6733</v>
      </c>
      <c r="N120" s="2046"/>
      <c r="O120" s="1772"/>
      <c r="P120" s="2164"/>
      <c r="Q120" s="1880"/>
      <c r="R120" s="1880"/>
      <c r="S120" s="1880"/>
      <c r="T120" s="1880"/>
      <c r="U120" s="1880"/>
      <c r="V120" s="1880"/>
      <c r="W120" s="1880"/>
      <c r="X120" s="1880"/>
      <c r="Y120" s="1880"/>
      <c r="Z120" s="1880"/>
      <c r="AA120" s="1880"/>
      <c r="AB120" s="1880"/>
      <c r="AC120" s="1880"/>
      <c r="AD120" s="1880"/>
      <c r="AE120" s="1880"/>
      <c r="AF120" s="1880"/>
      <c r="AG120" s="1880"/>
      <c r="AH120" s="1880"/>
      <c r="AI120" s="1880"/>
      <c r="AJ120" s="1880"/>
      <c r="AK120" s="1880"/>
      <c r="AL120" s="1880"/>
      <c r="AM120" s="1880"/>
      <c r="AN120" s="1880"/>
      <c r="AO120" s="1880"/>
      <c r="AP120" s="1880"/>
      <c r="AQ120" s="1880"/>
      <c r="AR120" s="1880"/>
      <c r="AS120" s="1880"/>
      <c r="AT120" s="1880"/>
      <c r="AU120" s="1880"/>
      <c r="AV120" s="1880"/>
      <c r="AW120" s="1880"/>
      <c r="AX120" s="1880"/>
      <c r="AY120" s="1880"/>
      <c r="AZ120" s="1880"/>
      <c r="BA120" s="1880"/>
      <c r="BB120" s="1880"/>
      <c r="BC120" s="1880"/>
      <c r="BD120" s="1880"/>
      <c r="BE120" s="1880"/>
      <c r="BF120" s="1880"/>
      <c r="BG120" s="1880"/>
      <c r="BH120" s="1880"/>
      <c r="BI120" s="1880"/>
      <c r="BJ120" s="1880"/>
      <c r="BK120" s="1880"/>
      <c r="BL120" s="1880"/>
      <c r="BM120" s="1880"/>
      <c r="BN120" s="1880"/>
      <c r="BO120" s="1880"/>
      <c r="BP120" s="1880"/>
      <c r="BQ120" s="1880"/>
      <c r="BR120" s="1880"/>
      <c r="BS120" s="1880"/>
      <c r="BT120" s="1880"/>
      <c r="BU120" s="1880"/>
      <c r="BV120" s="1880"/>
      <c r="BW120" s="1880"/>
      <c r="BX120" s="1880"/>
      <c r="BY120" s="1880"/>
      <c r="BZ120" s="1880"/>
      <c r="CA120" s="1880"/>
      <c r="CB120" s="1880"/>
      <c r="CC120" s="1880"/>
      <c r="CD120" s="1880"/>
      <c r="CE120" s="1880"/>
      <c r="CF120" s="1880"/>
      <c r="CG120" s="1880"/>
      <c r="CH120" s="1880"/>
      <c r="CI120" s="1880"/>
      <c r="CJ120" s="1880"/>
      <c r="CK120" s="1880"/>
      <c r="CL120" s="1880"/>
      <c r="CM120" s="1880"/>
      <c r="CN120" s="1880"/>
      <c r="CO120" s="1880"/>
      <c r="CP120" s="1880"/>
      <c r="CQ120" s="1880"/>
      <c r="CR120" s="1880"/>
      <c r="CS120" s="1880"/>
      <c r="CT120" s="1880"/>
      <c r="CU120" s="1880"/>
      <c r="CV120" s="1880"/>
      <c r="CW120" s="1880"/>
      <c r="CX120" s="1880"/>
      <c r="CY120" s="1880"/>
      <c r="CZ120" s="1880"/>
      <c r="DA120" s="1880"/>
      <c r="DB120" s="1880"/>
      <c r="DC120" s="1880"/>
      <c r="DD120" s="1880"/>
      <c r="DE120" s="1880"/>
      <c r="DF120" s="1880"/>
      <c r="DG120" s="1880"/>
      <c r="DH120" s="1880"/>
      <c r="DI120" s="1880"/>
      <c r="DJ120" s="1880"/>
      <c r="DK120" s="1880"/>
      <c r="DL120" s="1880"/>
      <c r="DM120" s="1880"/>
      <c r="DN120" s="1880"/>
      <c r="DO120" s="1880"/>
      <c r="DP120" s="1880"/>
      <c r="DQ120" s="1880"/>
      <c r="DR120" s="1880"/>
      <c r="DS120" s="1880"/>
      <c r="DT120" s="1880"/>
      <c r="DU120" s="1880"/>
      <c r="DV120" s="1880"/>
      <c r="DW120" s="1880"/>
    </row>
    <row r="121" spans="1:127" s="1777" customFormat="1" ht="66" customHeight="1">
      <c r="A121" s="3803"/>
      <c r="B121" s="2174" t="str">
        <f t="shared" si="4"/>
        <v>2000002658</v>
      </c>
      <c r="C121" s="109" t="s">
        <v>52</v>
      </c>
      <c r="D121" s="2254"/>
      <c r="E121" s="735"/>
      <c r="F121" s="1926" t="s">
        <v>16</v>
      </c>
      <c r="G121" s="1926"/>
      <c r="H121" s="735"/>
      <c r="I121" s="735"/>
      <c r="J121" s="735" t="s">
        <v>1138</v>
      </c>
      <c r="K121" s="2139" t="s">
        <v>7388</v>
      </c>
      <c r="L121" s="2245">
        <v>3200</v>
      </c>
      <c r="M121" s="2163" t="s">
        <v>6705</v>
      </c>
      <c r="N121" s="1772" t="s">
        <v>6706</v>
      </c>
      <c r="O121" s="2048"/>
      <c r="P121" s="1880"/>
      <c r="Q121" s="1880"/>
      <c r="R121" s="1880"/>
      <c r="S121" s="1880"/>
      <c r="T121" s="1880"/>
      <c r="U121" s="1880"/>
      <c r="V121" s="1880"/>
      <c r="W121" s="1880"/>
      <c r="X121" s="1880"/>
      <c r="Y121" s="1880"/>
      <c r="Z121" s="1880"/>
      <c r="AA121" s="1880"/>
      <c r="AB121" s="1880"/>
      <c r="AC121" s="1880"/>
      <c r="AD121" s="1880"/>
      <c r="AE121" s="1880"/>
      <c r="AF121" s="1880"/>
      <c r="AG121" s="1880"/>
      <c r="AH121" s="1880"/>
      <c r="AI121" s="1880"/>
      <c r="AJ121" s="1880"/>
      <c r="AK121" s="1880"/>
      <c r="AL121" s="1880"/>
      <c r="AM121" s="1880"/>
      <c r="AN121" s="1880"/>
      <c r="AO121" s="1880"/>
      <c r="AP121" s="1880"/>
      <c r="AQ121" s="1880"/>
      <c r="AR121" s="1880"/>
      <c r="AS121" s="1880"/>
      <c r="AT121" s="1880"/>
      <c r="AU121" s="1880"/>
      <c r="AV121" s="1880"/>
      <c r="AW121" s="1880"/>
      <c r="AX121" s="1880"/>
      <c r="AY121" s="1880"/>
      <c r="AZ121" s="1880"/>
      <c r="BA121" s="1880"/>
      <c r="BB121" s="1880"/>
      <c r="BC121" s="1880"/>
      <c r="BD121" s="1880"/>
      <c r="BE121" s="1880"/>
      <c r="BF121" s="1880"/>
      <c r="BG121" s="1880"/>
      <c r="BH121" s="1880"/>
      <c r="BI121" s="1880"/>
      <c r="BJ121" s="1880"/>
      <c r="BK121" s="1880"/>
      <c r="BL121" s="1880"/>
      <c r="BM121" s="1880"/>
      <c r="BN121" s="1880"/>
      <c r="BO121" s="1880"/>
      <c r="BP121" s="1880"/>
      <c r="BQ121" s="1880"/>
      <c r="BR121" s="1880"/>
      <c r="BS121" s="1880"/>
      <c r="BT121" s="1880"/>
      <c r="BU121" s="1880"/>
      <c r="BV121" s="1880"/>
      <c r="BW121" s="1880"/>
      <c r="BX121" s="1880"/>
      <c r="BY121" s="1880"/>
      <c r="BZ121" s="1880"/>
      <c r="CA121" s="1880"/>
      <c r="CB121" s="1880"/>
      <c r="CC121" s="1880"/>
      <c r="CD121" s="1880"/>
      <c r="CE121" s="1880"/>
      <c r="CF121" s="1880"/>
      <c r="CG121" s="1880"/>
      <c r="CH121" s="1880"/>
      <c r="CI121" s="1880"/>
      <c r="CJ121" s="1880"/>
      <c r="CK121" s="1880"/>
      <c r="CL121" s="1880"/>
      <c r="CM121" s="1880"/>
      <c r="CN121" s="1880"/>
      <c r="CO121" s="1880"/>
      <c r="CP121" s="1880"/>
      <c r="CQ121" s="1880"/>
      <c r="CR121" s="1880"/>
      <c r="CS121" s="1880"/>
      <c r="CT121" s="1880"/>
      <c r="CU121" s="1880"/>
      <c r="CV121" s="1880"/>
      <c r="CW121" s="1880"/>
      <c r="CX121" s="1880"/>
      <c r="CY121" s="1880"/>
      <c r="CZ121" s="1880"/>
      <c r="DA121" s="1880"/>
      <c r="DB121" s="1880"/>
      <c r="DC121" s="1880"/>
      <c r="DD121" s="1880"/>
      <c r="DE121" s="1880"/>
      <c r="DF121" s="1880"/>
      <c r="DG121" s="1880"/>
      <c r="DH121" s="1880"/>
      <c r="DI121" s="1880"/>
      <c r="DJ121" s="1880"/>
      <c r="DK121" s="1880"/>
      <c r="DL121" s="1880"/>
      <c r="DM121" s="1880"/>
      <c r="DN121" s="1880"/>
      <c r="DO121" s="1880"/>
      <c r="DP121" s="1880"/>
      <c r="DQ121" s="1880"/>
      <c r="DR121" s="1880"/>
      <c r="DS121" s="1880"/>
      <c r="DT121" s="1880"/>
      <c r="DU121" s="1880"/>
      <c r="DV121" s="1880"/>
      <c r="DW121" s="1880"/>
    </row>
    <row r="122" spans="1:127" s="2167" customFormat="1" ht="66" customHeight="1">
      <c r="A122" s="3804">
        <v>42</v>
      </c>
      <c r="B122" s="2174" t="str">
        <f t="shared" si="4"/>
        <v>2000002645</v>
      </c>
      <c r="C122" s="2114" t="s">
        <v>3573</v>
      </c>
      <c r="D122" s="2246">
        <v>4000</v>
      </c>
      <c r="E122" s="2114" t="s">
        <v>7377</v>
      </c>
      <c r="F122" s="2114" t="s">
        <v>84</v>
      </c>
      <c r="G122" s="2114" t="s">
        <v>7389</v>
      </c>
      <c r="H122" s="2114"/>
      <c r="I122" s="2114" t="s">
        <v>19</v>
      </c>
      <c r="J122" s="2114" t="s">
        <v>74</v>
      </c>
      <c r="K122" s="2173" t="s">
        <v>7390</v>
      </c>
      <c r="L122" s="2255">
        <v>700</v>
      </c>
      <c r="M122" s="2152" t="s">
        <v>6705</v>
      </c>
      <c r="N122" s="2103" t="s">
        <v>6706</v>
      </c>
      <c r="O122" s="2168"/>
    </row>
    <row r="123" spans="1:127" s="2167" customFormat="1" ht="66" customHeight="1">
      <c r="A123" s="3805"/>
      <c r="B123" s="2174" t="str">
        <f t="shared" si="4"/>
        <v>2000002636</v>
      </c>
      <c r="C123" s="109" t="s">
        <v>3573</v>
      </c>
      <c r="D123" s="2246"/>
      <c r="E123" s="2114"/>
      <c r="F123" s="102" t="s">
        <v>84</v>
      </c>
      <c r="G123" s="2114"/>
      <c r="H123" s="2114"/>
      <c r="I123" s="2114"/>
      <c r="J123" s="109" t="s">
        <v>74</v>
      </c>
      <c r="K123" s="696" t="s">
        <v>7391</v>
      </c>
      <c r="L123" s="2256">
        <v>145</v>
      </c>
      <c r="M123" s="2152" t="s">
        <v>6705</v>
      </c>
      <c r="N123" s="2103" t="s">
        <v>6739</v>
      </c>
      <c r="O123" s="2168"/>
    </row>
    <row r="124" spans="1:127" s="1777" customFormat="1" ht="66" customHeight="1">
      <c r="A124" s="3805"/>
      <c r="B124" s="2174" t="str">
        <f t="shared" si="4"/>
        <v>2200001861</v>
      </c>
      <c r="C124" s="109" t="s">
        <v>3573</v>
      </c>
      <c r="D124" s="1148"/>
      <c r="E124" s="109"/>
      <c r="F124" s="102" t="s">
        <v>84</v>
      </c>
      <c r="G124" s="109"/>
      <c r="H124" s="109"/>
      <c r="I124" s="2114"/>
      <c r="J124" s="2114" t="s">
        <v>101</v>
      </c>
      <c r="K124" s="696" t="s">
        <v>7392</v>
      </c>
      <c r="L124" s="2177">
        <v>3200</v>
      </c>
      <c r="M124" s="2163" t="s">
        <v>5454</v>
      </c>
      <c r="N124" s="2257"/>
      <c r="O124" s="2104"/>
    </row>
    <row r="125" spans="1:127" s="1777" customFormat="1" ht="66" customHeight="1">
      <c r="A125" s="3795">
        <v>36</v>
      </c>
      <c r="B125" s="2174" t="str">
        <f t="shared" si="4"/>
        <v>2000002655</v>
      </c>
      <c r="C125" s="2114" t="s">
        <v>5288</v>
      </c>
      <c r="D125" s="2246">
        <v>4300</v>
      </c>
      <c r="E125" s="2114" t="s">
        <v>6707</v>
      </c>
      <c r="F125" s="2114" t="s">
        <v>89</v>
      </c>
      <c r="G125" s="2114" t="s">
        <v>7393</v>
      </c>
      <c r="H125" s="2114" t="s">
        <v>6709</v>
      </c>
      <c r="I125" s="2114" t="s">
        <v>19</v>
      </c>
      <c r="J125" s="2114" t="s">
        <v>74</v>
      </c>
      <c r="K125" s="2173" t="s">
        <v>7394</v>
      </c>
      <c r="L125" s="2247">
        <v>1600</v>
      </c>
      <c r="M125" s="2163" t="s">
        <v>6705</v>
      </c>
      <c r="N125" s="1772" t="s">
        <v>6706</v>
      </c>
      <c r="O125" s="2258"/>
    </row>
    <row r="126" spans="1:127" s="1777" customFormat="1" ht="66" customHeight="1">
      <c r="A126" s="3795"/>
      <c r="B126" s="2174" t="str">
        <f t="shared" si="4"/>
        <v>2000002653</v>
      </c>
      <c r="C126" s="2114" t="s">
        <v>5288</v>
      </c>
      <c r="D126" s="2246"/>
      <c r="E126" s="2114"/>
      <c r="F126" s="109" t="s">
        <v>89</v>
      </c>
      <c r="G126" s="109"/>
      <c r="H126" s="109"/>
      <c r="I126" s="109"/>
      <c r="J126" s="109" t="s">
        <v>74</v>
      </c>
      <c r="K126" s="696" t="s">
        <v>7395</v>
      </c>
      <c r="L126" s="2249">
        <v>400</v>
      </c>
      <c r="M126" s="2163" t="s">
        <v>6705</v>
      </c>
      <c r="N126" s="2172" t="s">
        <v>6706</v>
      </c>
      <c r="O126" s="2258"/>
    </row>
    <row r="127" spans="1:127" s="1777" customFormat="1" ht="66" customHeight="1">
      <c r="A127" s="3795"/>
      <c r="B127" s="2174" t="str">
        <f t="shared" si="4"/>
        <v>2000002654</v>
      </c>
      <c r="C127" s="2114" t="s">
        <v>5288</v>
      </c>
      <c r="D127" s="2246"/>
      <c r="E127" s="2114"/>
      <c r="F127" s="109" t="s">
        <v>89</v>
      </c>
      <c r="G127" s="109"/>
      <c r="H127" s="109"/>
      <c r="I127" s="109"/>
      <c r="J127" s="109" t="s">
        <v>74</v>
      </c>
      <c r="K127" s="696" t="s">
        <v>7396</v>
      </c>
      <c r="L127" s="2249">
        <v>1900</v>
      </c>
      <c r="M127" s="2163" t="s">
        <v>6705</v>
      </c>
      <c r="N127" s="1772" t="s">
        <v>6706</v>
      </c>
      <c r="O127" s="2258"/>
    </row>
    <row r="128" spans="1:127" s="1777" customFormat="1" ht="66" customHeight="1">
      <c r="A128" s="3795"/>
      <c r="B128" s="2174" t="str">
        <f t="shared" si="4"/>
        <v>2000002645</v>
      </c>
      <c r="C128" s="2114" t="s">
        <v>5288</v>
      </c>
      <c r="D128" s="2248"/>
      <c r="E128" s="109"/>
      <c r="F128" s="109" t="s">
        <v>89</v>
      </c>
      <c r="G128" s="109"/>
      <c r="H128" s="109"/>
      <c r="I128" s="109"/>
      <c r="J128" s="109" t="s">
        <v>74</v>
      </c>
      <c r="K128" s="696" t="s">
        <v>7397</v>
      </c>
      <c r="L128" s="2249">
        <v>400</v>
      </c>
      <c r="M128" s="2163" t="s">
        <v>6705</v>
      </c>
      <c r="N128" s="1772" t="s">
        <v>6706</v>
      </c>
      <c r="O128" s="2258"/>
    </row>
    <row r="129" spans="1:15" s="1777" customFormat="1" ht="66" customHeight="1">
      <c r="A129" s="2170"/>
      <c r="B129" s="2103"/>
      <c r="C129" s="102"/>
      <c r="D129" s="1167"/>
      <c r="E129" s="735"/>
      <c r="F129" s="875"/>
      <c r="G129" s="109"/>
      <c r="H129" s="109"/>
      <c r="I129" s="2114"/>
      <c r="J129" s="2114"/>
      <c r="K129" s="696"/>
      <c r="L129" s="2177"/>
      <c r="M129" s="2163"/>
      <c r="N129" s="2213"/>
      <c r="O129" s="2104"/>
    </row>
    <row r="130" spans="1:15" s="1777" customFormat="1" ht="66" customHeight="1">
      <c r="A130" s="2170"/>
      <c r="B130" s="2103"/>
      <c r="C130" s="102"/>
      <c r="D130" s="1167"/>
      <c r="E130" s="735"/>
      <c r="F130" s="875"/>
      <c r="G130" s="109"/>
      <c r="H130" s="109"/>
      <c r="I130" s="2114"/>
      <c r="J130" s="2114"/>
      <c r="K130" s="696"/>
      <c r="L130" s="2177"/>
      <c r="M130" s="2163"/>
      <c r="N130" s="2104"/>
      <c r="O130" s="2104"/>
    </row>
    <row r="131" spans="1:15" s="1777" customFormat="1" ht="66" customHeight="1">
      <c r="A131" s="2170"/>
      <c r="B131" s="2103"/>
      <c r="C131" s="102"/>
      <c r="D131" s="1167"/>
      <c r="E131" s="735"/>
      <c r="F131" s="875"/>
      <c r="G131" s="109"/>
      <c r="H131" s="109"/>
      <c r="I131" s="2114"/>
      <c r="J131" s="2114"/>
      <c r="K131" s="696"/>
      <c r="L131" s="2177"/>
      <c r="M131" s="2163"/>
      <c r="N131" s="2104"/>
      <c r="O131" s="2104"/>
    </row>
    <row r="132" spans="1:15" s="2167" customFormat="1" ht="49.5" customHeight="1"/>
    <row r="133" spans="1:15" s="2167" customFormat="1" ht="49.5" customHeight="1"/>
    <row r="134" spans="1:15" s="1777" customFormat="1" ht="58.5" customHeight="1"/>
    <row r="135" spans="1:15" s="1777" customFormat="1" ht="58.5" customHeight="1"/>
    <row r="136" spans="1:15" s="1777" customFormat="1" ht="58.5" customHeight="1"/>
    <row r="137" spans="1:15" s="1777" customFormat="1" ht="58.5" customHeight="1"/>
    <row r="138" spans="1:15" s="1777" customFormat="1" ht="58.5" customHeight="1">
      <c r="A138" s="738"/>
      <c r="B138" s="2104"/>
      <c r="C138" s="102"/>
      <c r="D138" s="1167"/>
      <c r="E138" s="109"/>
      <c r="F138" s="102"/>
      <c r="G138" s="109"/>
      <c r="H138" s="109"/>
      <c r="I138" s="109"/>
      <c r="J138" s="109"/>
      <c r="K138" s="143"/>
      <c r="L138" s="102"/>
      <c r="M138" s="102"/>
      <c r="N138" s="2104"/>
      <c r="O138" s="2104"/>
    </row>
    <row r="139" spans="1:15" s="1777" customFormat="1" ht="58.5" customHeight="1">
      <c r="A139" s="738"/>
      <c r="B139" s="2104"/>
      <c r="C139" s="102"/>
      <c r="D139" s="1167"/>
      <c r="E139" s="109"/>
      <c r="F139" s="102"/>
      <c r="G139" s="109"/>
      <c r="H139" s="109"/>
      <c r="I139" s="109"/>
      <c r="J139" s="109"/>
      <c r="K139" s="143"/>
      <c r="L139" s="102"/>
      <c r="M139" s="102"/>
      <c r="N139" s="2104"/>
      <c r="O139" s="2104"/>
    </row>
    <row r="140" spans="1:15" s="1777" customFormat="1" ht="58.5" customHeight="1">
      <c r="A140" s="738"/>
      <c r="B140" s="2104"/>
      <c r="C140" s="102"/>
      <c r="D140" s="1167"/>
      <c r="E140" s="109"/>
      <c r="F140" s="102"/>
      <c r="G140" s="109"/>
      <c r="H140" s="109"/>
      <c r="I140" s="109"/>
      <c r="J140" s="109"/>
      <c r="K140" s="143"/>
      <c r="L140" s="102"/>
      <c r="M140" s="102"/>
      <c r="N140" s="2104"/>
      <c r="O140" s="2104"/>
    </row>
    <row r="141" spans="1:15" s="1777" customFormat="1" ht="58.5" customHeight="1">
      <c r="A141" s="738"/>
      <c r="B141" s="2104"/>
      <c r="C141" s="102"/>
      <c r="D141" s="1167"/>
      <c r="E141" s="109"/>
      <c r="F141" s="102"/>
      <c r="G141" s="109"/>
      <c r="H141" s="109"/>
      <c r="I141" s="109"/>
      <c r="J141" s="109"/>
      <c r="K141" s="143"/>
      <c r="L141" s="102"/>
      <c r="M141" s="102"/>
      <c r="N141" s="2104"/>
      <c r="O141" s="2104"/>
    </row>
    <row r="142" spans="1:15" s="1777" customFormat="1" ht="58.5" customHeight="1">
      <c r="A142" s="738"/>
      <c r="B142" s="2104"/>
      <c r="C142" s="102"/>
      <c r="D142" s="1167"/>
      <c r="E142" s="109"/>
      <c r="F142" s="102"/>
      <c r="G142" s="109"/>
      <c r="H142" s="109"/>
      <c r="I142" s="109"/>
      <c r="J142" s="109"/>
      <c r="K142" s="143"/>
      <c r="L142" s="102"/>
      <c r="M142" s="102"/>
      <c r="N142" s="2104"/>
      <c r="O142" s="2104"/>
    </row>
  </sheetData>
  <autoFilter ref="A4:DW4" xr:uid="{84866184-F735-47A3-867E-509D88C61238}"/>
  <mergeCells count="37">
    <mergeCell ref="A100:A102"/>
    <mergeCell ref="A103:A105"/>
    <mergeCell ref="O35:O36"/>
    <mergeCell ref="A37:A38"/>
    <mergeCell ref="A39:A41"/>
    <mergeCell ref="A43:A45"/>
    <mergeCell ref="A73:A74"/>
    <mergeCell ref="A50:A56"/>
    <mergeCell ref="A84:A98"/>
    <mergeCell ref="A68:A70"/>
    <mergeCell ref="A71:A72"/>
    <mergeCell ref="A125:A128"/>
    <mergeCell ref="A64:A67"/>
    <mergeCell ref="A106:A107"/>
    <mergeCell ref="A111:A113"/>
    <mergeCell ref="A22:A25"/>
    <mergeCell ref="A35:A36"/>
    <mergeCell ref="A62:A63"/>
    <mergeCell ref="A75:A76"/>
    <mergeCell ref="A108:A109"/>
    <mergeCell ref="A60:A61"/>
    <mergeCell ref="A119:A121"/>
    <mergeCell ref="A46:A47"/>
    <mergeCell ref="A78:A83"/>
    <mergeCell ref="A57:A58"/>
    <mergeCell ref="A122:A124"/>
    <mergeCell ref="A114:A118"/>
    <mergeCell ref="A12:A15"/>
    <mergeCell ref="A16:A19"/>
    <mergeCell ref="A20:A21"/>
    <mergeCell ref="A27:A31"/>
    <mergeCell ref="A32:A34"/>
    <mergeCell ref="A2:O2"/>
    <mergeCell ref="A3:C3"/>
    <mergeCell ref="A5:A6"/>
    <mergeCell ref="A7:A8"/>
    <mergeCell ref="A9:A10"/>
  </mergeCells>
  <conditionalFormatting sqref="A1:A3">
    <cfRule type="duplicateValues" dxfId="81" priority="11"/>
  </conditionalFormatting>
  <conditionalFormatting sqref="A4">
    <cfRule type="duplicateValues" dxfId="80" priority="7"/>
  </conditionalFormatting>
  <conditionalFormatting sqref="B138:B1048576 B1:B109 B111:B131">
    <cfRule type="duplicateValues" dxfId="79" priority="5"/>
    <cfRule type="duplicateValues" dxfId="78" priority="6"/>
  </conditionalFormatting>
  <conditionalFormatting sqref="C4">
    <cfRule type="duplicateValues" dxfId="77" priority="8"/>
    <cfRule type="duplicateValues" dxfId="76" priority="9"/>
    <cfRule type="duplicateValues" dxfId="75" priority="10"/>
  </conditionalFormatting>
  <pageMargins left="0.7" right="0.7" top="0.75" bottom="0.75" header="0.3" footer="0.3"/>
  <pageSetup paperSize="9" scale="40" orientation="landscape"/>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D93CE2-0A1C-43E8-BE1A-FB50966E0CA8}">
  <sheetPr filterMode="1">
    <tabColor theme="6"/>
    <pageSetUpPr fitToPage="1"/>
  </sheetPr>
  <dimension ref="A1:DY140"/>
  <sheetViews>
    <sheetView topLeftCell="A2" zoomScale="70" zoomScaleNormal="70" workbookViewId="0">
      <pane xSplit="4" ySplit="3" topLeftCell="E30" activePane="bottomRight" state="frozen"/>
      <selection pane="topRight" activeCell="E39" sqref="E39"/>
      <selection pane="bottomLeft" activeCell="E39" sqref="E39"/>
      <selection pane="bottomRight" activeCell="E39" sqref="E39"/>
    </sheetView>
  </sheetViews>
  <sheetFormatPr defaultColWidth="32.140625" defaultRowHeight="58.5" customHeight="1"/>
  <cols>
    <col min="1" max="1" width="9.42578125" style="359" customWidth="1"/>
    <col min="2" max="2" width="36.28515625" style="359" customWidth="1"/>
    <col min="3" max="3" width="32.140625" style="1" customWidth="1"/>
    <col min="4" max="4" width="17" style="1138" customWidth="1"/>
    <col min="5" max="5" width="30.42578125" style="271" customWidth="1"/>
    <col min="6" max="6" width="27.42578125" style="1" customWidth="1"/>
    <col min="7" max="7" width="25.7109375" style="271" customWidth="1"/>
    <col min="8" max="8" width="33.28515625" style="271" customWidth="1"/>
    <col min="9" max="10" width="32.140625" style="271" customWidth="1"/>
    <col min="11" max="11" width="83" style="9" customWidth="1"/>
    <col min="12" max="12" width="32.28515625" style="2407" customWidth="1"/>
    <col min="13" max="13" width="46.42578125" style="9" customWidth="1"/>
    <col min="14" max="14" width="26.28515625" style="1" customWidth="1"/>
    <col min="15" max="15" width="18.7109375" style="763" customWidth="1"/>
    <col min="16" max="16" width="35.42578125" style="3" customWidth="1"/>
    <col min="17" max="16384" width="32.140625" style="3"/>
  </cols>
  <sheetData>
    <row r="1" spans="1:129" ht="58.5" customHeight="1">
      <c r="C1" s="10"/>
      <c r="D1" s="3624"/>
      <c r="E1" s="3624"/>
      <c r="F1" s="3624"/>
      <c r="G1" s="3624"/>
      <c r="H1" s="3624"/>
      <c r="I1" s="3624"/>
      <c r="J1" s="3624"/>
      <c r="K1" s="3624"/>
      <c r="L1" s="3624"/>
      <c r="M1" s="3624"/>
      <c r="O1" s="1848"/>
    </row>
    <row r="2" spans="1:129" ht="64.5" customHeight="1">
      <c r="A2" s="3810" t="s">
        <v>7398</v>
      </c>
      <c r="B2" s="3810"/>
      <c r="C2" s="3789"/>
      <c r="D2" s="3789"/>
      <c r="E2" s="3789"/>
      <c r="F2" s="3789"/>
      <c r="G2" s="3789"/>
      <c r="H2" s="3789"/>
      <c r="I2" s="3789"/>
      <c r="J2" s="3789"/>
      <c r="K2" s="3789"/>
      <c r="L2" s="3789"/>
      <c r="M2" s="3811"/>
      <c r="N2" s="2395"/>
      <c r="O2" s="2395"/>
      <c r="P2" s="287"/>
    </row>
    <row r="3" spans="1:129" s="1777" customFormat="1" ht="37.5" customHeight="1">
      <c r="A3" s="3712" t="s">
        <v>3388</v>
      </c>
      <c r="B3" s="3712"/>
      <c r="C3" s="3712"/>
      <c r="D3" s="1960">
        <f>SUBTOTAL(9,D5:D143)</f>
        <v>13920</v>
      </c>
      <c r="E3" s="1815"/>
      <c r="F3" s="1961"/>
      <c r="G3" s="1815"/>
      <c r="H3" s="1815"/>
      <c r="I3" s="1815"/>
      <c r="J3" s="1815"/>
      <c r="K3" s="1816">
        <f ca="1">TODAY()</f>
        <v>45960</v>
      </c>
      <c r="L3" s="1960">
        <f>SUBTOTAL(9,L5:L143)</f>
        <v>7213</v>
      </c>
      <c r="M3" s="143"/>
      <c r="N3" s="1816"/>
      <c r="O3" s="1961"/>
      <c r="P3" s="218"/>
    </row>
    <row r="4" spans="1:129" s="2077" customFormat="1" ht="53.25" customHeight="1">
      <c r="A4" s="2109" t="s">
        <v>1</v>
      </c>
      <c r="B4" s="2109" t="s">
        <v>5190</v>
      </c>
      <c r="C4" s="2396" t="s">
        <v>2</v>
      </c>
      <c r="D4" s="2397" t="s">
        <v>3</v>
      </c>
      <c r="E4" s="2396" t="s">
        <v>3389</v>
      </c>
      <c r="F4" s="2396" t="s">
        <v>5</v>
      </c>
      <c r="G4" s="2111" t="s">
        <v>3390</v>
      </c>
      <c r="H4" s="2396" t="s">
        <v>7</v>
      </c>
      <c r="I4" s="2111" t="s">
        <v>8</v>
      </c>
      <c r="J4" s="2396" t="s">
        <v>9</v>
      </c>
      <c r="K4" s="2396" t="s">
        <v>5928</v>
      </c>
      <c r="L4" s="2404" t="s">
        <v>6262</v>
      </c>
      <c r="M4" s="2396" t="s">
        <v>11</v>
      </c>
      <c r="N4" s="2396" t="s">
        <v>12</v>
      </c>
      <c r="O4" s="2398" t="s">
        <v>13</v>
      </c>
      <c r="P4" s="2399" t="e">
        <f>SUM(#REF!)</f>
        <v>#REF!</v>
      </c>
    </row>
    <row r="5" spans="1:129" s="2122" customFormat="1" ht="56.25" hidden="1" customHeight="1">
      <c r="A5" s="3812">
        <v>1</v>
      </c>
      <c r="B5" s="1909" t="str">
        <f>TEXT(LEFT(K5,10),"0000000000")</f>
        <v>2000002506</v>
      </c>
      <c r="C5" s="2159" t="s">
        <v>3629</v>
      </c>
      <c r="D5" s="2400">
        <v>24000</v>
      </c>
      <c r="E5" s="2118" t="s">
        <v>7399</v>
      </c>
      <c r="F5" s="2401" t="s">
        <v>3416</v>
      </c>
      <c r="G5" s="1921" t="s">
        <v>7400</v>
      </c>
      <c r="H5" s="2159" t="s">
        <v>226</v>
      </c>
      <c r="I5" s="2118" t="s">
        <v>19</v>
      </c>
      <c r="J5" s="2118" t="s">
        <v>20</v>
      </c>
      <c r="K5" s="2161" t="s">
        <v>7401</v>
      </c>
      <c r="L5" s="2413">
        <v>860</v>
      </c>
      <c r="M5" s="2402" t="s">
        <v>7402</v>
      </c>
      <c r="N5" s="2391"/>
      <c r="O5" s="2403"/>
      <c r="DY5" s="2122" t="s">
        <v>4799</v>
      </c>
    </row>
    <row r="6" spans="1:129" s="1883" customFormat="1" ht="50.25" hidden="1" customHeight="1">
      <c r="A6" s="3812"/>
      <c r="B6" s="1748" t="str">
        <f t="shared" ref="B6:B69" si="0">TEXT(LEFT(K6,10),"0000000000")</f>
        <v>2000002493</v>
      </c>
      <c r="C6" s="1947" t="s">
        <v>3629</v>
      </c>
      <c r="D6" s="1915"/>
      <c r="E6" s="1851"/>
      <c r="F6" s="1935" t="s">
        <v>3416</v>
      </c>
      <c r="G6" s="1495"/>
      <c r="H6" s="1947"/>
      <c r="I6" s="1851" t="s">
        <v>19</v>
      </c>
      <c r="J6" s="1851" t="s">
        <v>20</v>
      </c>
      <c r="K6" s="1628" t="s">
        <v>7403</v>
      </c>
      <c r="L6" s="2408">
        <v>13000</v>
      </c>
      <c r="M6" s="1497"/>
      <c r="N6" s="1630"/>
      <c r="O6" s="1882"/>
    </row>
    <row r="7" spans="1:129" s="1883" customFormat="1" ht="50.25" hidden="1" customHeight="1">
      <c r="A7" s="3812"/>
      <c r="B7" s="1748" t="str">
        <f t="shared" si="0"/>
        <v>2200001811</v>
      </c>
      <c r="C7" s="1947" t="s">
        <v>3629</v>
      </c>
      <c r="D7" s="1915"/>
      <c r="E7" s="1851"/>
      <c r="F7" s="1935" t="s">
        <v>3416</v>
      </c>
      <c r="G7" s="1495"/>
      <c r="H7" s="1947"/>
      <c r="I7" s="1851" t="s">
        <v>19</v>
      </c>
      <c r="J7" s="1851" t="s">
        <v>6555</v>
      </c>
      <c r="K7" s="1628" t="s">
        <v>7404</v>
      </c>
      <c r="L7" s="2408">
        <v>4800</v>
      </c>
      <c r="M7" s="1497"/>
      <c r="N7" s="1630"/>
      <c r="O7" s="1882"/>
    </row>
    <row r="8" spans="1:129" s="1883" customFormat="1" ht="50.25" hidden="1" customHeight="1">
      <c r="A8" s="3812"/>
      <c r="B8" s="1748" t="str">
        <f t="shared" si="0"/>
        <v>2200001812</v>
      </c>
      <c r="C8" s="1947" t="s">
        <v>3629</v>
      </c>
      <c r="D8" s="1915"/>
      <c r="E8" s="1851"/>
      <c r="F8" s="1935" t="s">
        <v>3416</v>
      </c>
      <c r="G8" s="1495"/>
      <c r="H8" s="1947"/>
      <c r="I8" s="1851" t="s">
        <v>19</v>
      </c>
      <c r="J8" s="1851" t="s">
        <v>6555</v>
      </c>
      <c r="K8" s="1628" t="s">
        <v>7405</v>
      </c>
      <c r="L8" s="2408">
        <v>5017</v>
      </c>
      <c r="M8" s="1497"/>
      <c r="N8" s="1630"/>
      <c r="O8" s="1882"/>
    </row>
    <row r="9" spans="1:129" s="1883" customFormat="1" ht="50.25" hidden="1" customHeight="1">
      <c r="A9" s="3813"/>
      <c r="B9" s="1748" t="str">
        <f t="shared" si="0"/>
        <v>2200001813</v>
      </c>
      <c r="C9" s="1947" t="s">
        <v>3629</v>
      </c>
      <c r="D9" s="1915"/>
      <c r="E9" s="1851"/>
      <c r="F9" s="1935" t="s">
        <v>3416</v>
      </c>
      <c r="G9" s="1495"/>
      <c r="H9" s="1947"/>
      <c r="I9" s="1851" t="s">
        <v>19</v>
      </c>
      <c r="J9" s="1851" t="s">
        <v>6555</v>
      </c>
      <c r="K9" s="1628" t="s">
        <v>7406</v>
      </c>
      <c r="L9" s="2408">
        <v>645</v>
      </c>
      <c r="M9" s="1497"/>
      <c r="N9" s="1630"/>
      <c r="O9" s="1882"/>
    </row>
    <row r="10" spans="1:129" s="1777" customFormat="1" ht="314.25" hidden="1" customHeight="1">
      <c r="A10" s="1850">
        <v>2</v>
      </c>
      <c r="B10" s="1850"/>
      <c r="C10" s="1851" t="s">
        <v>7407</v>
      </c>
      <c r="D10" s="1915">
        <v>13475</v>
      </c>
      <c r="E10" s="1851" t="s">
        <v>7408</v>
      </c>
      <c r="F10" s="1935" t="s">
        <v>25</v>
      </c>
      <c r="G10" s="1495" t="s">
        <v>7409</v>
      </c>
      <c r="H10" s="1947" t="s">
        <v>226</v>
      </c>
      <c r="I10" s="1851" t="s">
        <v>19</v>
      </c>
      <c r="J10" s="1851" t="s">
        <v>3513</v>
      </c>
      <c r="K10" s="1628" t="s">
        <v>7410</v>
      </c>
      <c r="L10" s="2408">
        <v>13475</v>
      </c>
      <c r="M10" s="1497" t="s">
        <v>7411</v>
      </c>
      <c r="N10" s="1630"/>
      <c r="O10" s="1882"/>
      <c r="P10" s="1883"/>
      <c r="Q10" s="1883"/>
      <c r="R10" s="1883"/>
      <c r="S10" s="1883"/>
      <c r="T10" s="1883"/>
      <c r="U10" s="1883"/>
      <c r="V10" s="1883"/>
      <c r="W10" s="1883"/>
      <c r="X10" s="1883"/>
      <c r="Y10" s="1883"/>
      <c r="Z10" s="1883"/>
      <c r="AA10" s="1883"/>
      <c r="AB10" s="1883"/>
      <c r="AC10" s="1883"/>
      <c r="AD10" s="1883"/>
      <c r="AE10" s="1883"/>
      <c r="AF10" s="1883"/>
      <c r="AG10" s="1883"/>
      <c r="AH10" s="1883"/>
      <c r="AI10" s="1883"/>
      <c r="AJ10" s="1883"/>
      <c r="AK10" s="1883"/>
      <c r="AL10" s="1883"/>
      <c r="AM10" s="1883"/>
      <c r="AN10" s="1883"/>
      <c r="AO10" s="1883"/>
      <c r="AP10" s="1883"/>
      <c r="AQ10" s="1883"/>
      <c r="AR10" s="1883"/>
      <c r="AS10" s="1883"/>
      <c r="AT10" s="1883"/>
      <c r="AU10" s="1883"/>
      <c r="AV10" s="1883"/>
      <c r="AW10" s="1883"/>
      <c r="AX10" s="1883"/>
      <c r="AY10" s="1883"/>
      <c r="AZ10" s="1883"/>
      <c r="BA10" s="1883"/>
      <c r="BB10" s="1883"/>
      <c r="BC10" s="1883"/>
      <c r="BD10" s="1883"/>
      <c r="BE10" s="1883"/>
      <c r="BF10" s="1883"/>
      <c r="BG10" s="1883"/>
      <c r="BH10" s="1883"/>
      <c r="BI10" s="1883"/>
      <c r="BJ10" s="1883"/>
      <c r="BK10" s="1883"/>
      <c r="BL10" s="1883"/>
      <c r="BM10" s="1883"/>
      <c r="BN10" s="1883"/>
      <c r="BO10" s="1883"/>
      <c r="BP10" s="1883"/>
      <c r="BQ10" s="1883"/>
      <c r="BR10" s="1883"/>
      <c r="BS10" s="1883"/>
      <c r="BT10" s="1883"/>
      <c r="BU10" s="1883"/>
      <c r="BV10" s="1883"/>
      <c r="BW10" s="1883"/>
      <c r="BX10" s="1883"/>
      <c r="BY10" s="1883"/>
      <c r="BZ10" s="1883"/>
      <c r="CA10" s="1883"/>
      <c r="CB10" s="1883"/>
      <c r="CC10" s="1883"/>
      <c r="CD10" s="1883"/>
      <c r="CE10" s="1883"/>
      <c r="CF10" s="1883"/>
      <c r="CG10" s="1883"/>
      <c r="CH10" s="1883"/>
      <c r="CI10" s="1883"/>
      <c r="CJ10" s="1883"/>
      <c r="CK10" s="1883"/>
      <c r="CL10" s="1883"/>
      <c r="CM10" s="1883"/>
      <c r="CN10" s="1883"/>
      <c r="CO10" s="1883"/>
      <c r="CP10" s="1883"/>
      <c r="CQ10" s="1883"/>
      <c r="CR10" s="1883"/>
      <c r="CS10" s="1883"/>
      <c r="CT10" s="1883"/>
      <c r="CU10" s="1883"/>
      <c r="CV10" s="1883"/>
      <c r="CW10" s="1883"/>
      <c r="CX10" s="1883"/>
      <c r="CY10" s="1883"/>
      <c r="CZ10" s="1883"/>
      <c r="DA10" s="1883"/>
      <c r="DB10" s="1883"/>
      <c r="DC10" s="1883"/>
      <c r="DD10" s="1883"/>
      <c r="DE10" s="1883"/>
      <c r="DF10" s="1883"/>
      <c r="DG10" s="1883"/>
      <c r="DH10" s="1883"/>
      <c r="DI10" s="1883"/>
      <c r="DJ10" s="1883"/>
      <c r="DK10" s="1883"/>
      <c r="DL10" s="1883"/>
      <c r="DM10" s="1883"/>
      <c r="DN10" s="1883"/>
      <c r="DO10" s="1883"/>
      <c r="DP10" s="1883"/>
      <c r="DQ10" s="1883"/>
      <c r="DR10" s="1883"/>
      <c r="DS10" s="1883"/>
      <c r="DT10" s="1883"/>
      <c r="DU10" s="1883"/>
      <c r="DV10" s="1883"/>
      <c r="DW10" s="1883"/>
      <c r="DX10" s="1883"/>
      <c r="DY10" s="1883"/>
    </row>
    <row r="11" spans="1:129" s="2116" customFormat="1" ht="46.5" hidden="1" customHeight="1">
      <c r="A11" s="3735">
        <v>3</v>
      </c>
      <c r="B11" s="1909" t="str">
        <f t="shared" si="0"/>
        <v>2000002507</v>
      </c>
      <c r="C11" s="2118" t="s">
        <v>3109</v>
      </c>
      <c r="D11" s="2400">
        <v>18000</v>
      </c>
      <c r="E11" s="2118" t="s">
        <v>7412</v>
      </c>
      <c r="F11" s="2401" t="s">
        <v>3401</v>
      </c>
      <c r="G11" s="1921" t="s">
        <v>7413</v>
      </c>
      <c r="H11" s="2159" t="s">
        <v>226</v>
      </c>
      <c r="I11" s="2118" t="s">
        <v>19</v>
      </c>
      <c r="J11" s="2118" t="s">
        <v>63</v>
      </c>
      <c r="K11" s="2161" t="s">
        <v>7414</v>
      </c>
      <c r="L11" s="2413">
        <v>500</v>
      </c>
      <c r="M11" s="2402"/>
      <c r="N11" s="2391"/>
      <c r="O11" s="2403"/>
      <c r="P11" s="2122"/>
      <c r="Q11" s="2122"/>
      <c r="R11" s="2122"/>
      <c r="S11" s="2122"/>
      <c r="T11" s="2122"/>
      <c r="U11" s="2122"/>
      <c r="V11" s="2122"/>
      <c r="W11" s="2122"/>
      <c r="X11" s="2122"/>
      <c r="Y11" s="2122"/>
      <c r="Z11" s="2122"/>
      <c r="AA11" s="2122"/>
      <c r="AB11" s="2122"/>
      <c r="AC11" s="2122"/>
      <c r="AD11" s="2122"/>
      <c r="AE11" s="2122"/>
      <c r="AF11" s="2122"/>
      <c r="AG11" s="2122"/>
      <c r="AH11" s="2122"/>
      <c r="AI11" s="2122"/>
      <c r="AJ11" s="2122"/>
      <c r="AK11" s="2122"/>
      <c r="AL11" s="2122"/>
      <c r="AM11" s="2122"/>
      <c r="AN11" s="2122"/>
      <c r="AO11" s="2122"/>
      <c r="AP11" s="2122"/>
      <c r="AQ11" s="2122"/>
      <c r="AR11" s="2122"/>
      <c r="AS11" s="2122"/>
      <c r="AT11" s="2122"/>
      <c r="AU11" s="2122"/>
      <c r="AV11" s="2122"/>
      <c r="AW11" s="2122"/>
      <c r="AX11" s="2122"/>
      <c r="AY11" s="2122"/>
      <c r="AZ11" s="2122"/>
      <c r="BA11" s="2122"/>
      <c r="BB11" s="2122"/>
      <c r="BC11" s="2122"/>
      <c r="BD11" s="2122"/>
      <c r="BE11" s="2122"/>
      <c r="BF11" s="2122"/>
      <c r="BG11" s="2122"/>
      <c r="BH11" s="2122"/>
      <c r="BI11" s="2122"/>
      <c r="BJ11" s="2122"/>
      <c r="BK11" s="2122"/>
      <c r="BL11" s="2122"/>
      <c r="BM11" s="2122"/>
      <c r="BN11" s="2122"/>
      <c r="BO11" s="2122"/>
      <c r="BP11" s="2122"/>
      <c r="BQ11" s="2122"/>
      <c r="BR11" s="2122"/>
      <c r="BS11" s="2122"/>
      <c r="BT11" s="2122"/>
      <c r="BU11" s="2122"/>
      <c r="BV11" s="2122"/>
      <c r="BW11" s="2122"/>
      <c r="BX11" s="2122"/>
      <c r="BY11" s="2122"/>
      <c r="BZ11" s="2122"/>
      <c r="CA11" s="2122"/>
      <c r="CB11" s="2122"/>
      <c r="CC11" s="2122"/>
      <c r="CD11" s="2122"/>
      <c r="CE11" s="2122"/>
      <c r="CF11" s="2122"/>
      <c r="CG11" s="2122"/>
      <c r="CH11" s="2122"/>
      <c r="CI11" s="2122"/>
      <c r="CJ11" s="2122"/>
      <c r="CK11" s="2122"/>
      <c r="CL11" s="2122"/>
      <c r="CM11" s="2122"/>
      <c r="CN11" s="2122"/>
      <c r="CO11" s="2122"/>
      <c r="CP11" s="2122"/>
      <c r="CQ11" s="2122"/>
      <c r="CR11" s="2122"/>
      <c r="CS11" s="2122"/>
      <c r="CT11" s="2122"/>
      <c r="CU11" s="2122"/>
      <c r="CV11" s="2122"/>
      <c r="CW11" s="2122"/>
      <c r="CX11" s="2122"/>
      <c r="CY11" s="2122"/>
      <c r="CZ11" s="2122"/>
      <c r="DA11" s="2122"/>
      <c r="DB11" s="2122"/>
      <c r="DC11" s="2122"/>
      <c r="DD11" s="2122"/>
      <c r="DE11" s="2122"/>
      <c r="DF11" s="2122"/>
      <c r="DG11" s="2122"/>
      <c r="DH11" s="2122"/>
      <c r="DI11" s="2122"/>
      <c r="DJ11" s="2122"/>
      <c r="DK11" s="2122"/>
      <c r="DL11" s="2122"/>
      <c r="DM11" s="2122"/>
      <c r="DN11" s="2122"/>
      <c r="DO11" s="2122"/>
      <c r="DP11" s="2122"/>
      <c r="DQ11" s="2122"/>
      <c r="DR11" s="2122"/>
      <c r="DS11" s="2122"/>
      <c r="DT11" s="2122"/>
      <c r="DU11" s="2122"/>
      <c r="DV11" s="2122"/>
      <c r="DW11" s="2122"/>
      <c r="DX11" s="2122"/>
      <c r="DY11" s="2122"/>
    </row>
    <row r="12" spans="1:129" s="1880" customFormat="1" ht="46.5" hidden="1" customHeight="1">
      <c r="A12" s="3736"/>
      <c r="B12" s="1748" t="str">
        <f t="shared" si="0"/>
        <v>2000002508</v>
      </c>
      <c r="C12" s="1851" t="s">
        <v>3109</v>
      </c>
      <c r="D12" s="1915"/>
      <c r="E12" s="1851"/>
      <c r="F12" s="1935" t="s">
        <v>3401</v>
      </c>
      <c r="G12" s="1495"/>
      <c r="H12" s="1947"/>
      <c r="I12" s="1851" t="s">
        <v>19</v>
      </c>
      <c r="J12" s="1851" t="s">
        <v>63</v>
      </c>
      <c r="K12" s="1628" t="s">
        <v>7415</v>
      </c>
      <c r="L12" s="2408">
        <v>3000</v>
      </c>
      <c r="M12" s="1497"/>
      <c r="N12" s="1630"/>
      <c r="O12" s="1882"/>
      <c r="P12" s="1883"/>
      <c r="Q12" s="1883"/>
      <c r="R12" s="1883"/>
      <c r="S12" s="1883"/>
      <c r="T12" s="1883"/>
      <c r="U12" s="1883"/>
      <c r="V12" s="1883"/>
      <c r="W12" s="1883"/>
      <c r="X12" s="1883"/>
      <c r="Y12" s="1883"/>
      <c r="Z12" s="1883"/>
      <c r="AA12" s="1883"/>
      <c r="AB12" s="1883"/>
      <c r="AC12" s="1883"/>
      <c r="AD12" s="1883"/>
      <c r="AE12" s="1883"/>
      <c r="AF12" s="1883"/>
      <c r="AG12" s="1883"/>
      <c r="AH12" s="1883"/>
      <c r="AI12" s="1883"/>
      <c r="AJ12" s="1883"/>
      <c r="AK12" s="1883"/>
      <c r="AL12" s="1883"/>
      <c r="AM12" s="1883"/>
      <c r="AN12" s="1883"/>
      <c r="AO12" s="1883"/>
      <c r="AP12" s="1883"/>
      <c r="AQ12" s="1883"/>
      <c r="AR12" s="1883"/>
      <c r="AS12" s="1883"/>
      <c r="AT12" s="1883"/>
      <c r="AU12" s="1883"/>
      <c r="AV12" s="1883"/>
      <c r="AW12" s="1883"/>
      <c r="AX12" s="1883"/>
      <c r="AY12" s="1883"/>
      <c r="AZ12" s="1883"/>
      <c r="BA12" s="1883"/>
      <c r="BB12" s="1883"/>
      <c r="BC12" s="1883"/>
      <c r="BD12" s="1883"/>
      <c r="BE12" s="1883"/>
      <c r="BF12" s="1883"/>
      <c r="BG12" s="1883"/>
      <c r="BH12" s="1883"/>
      <c r="BI12" s="1883"/>
      <c r="BJ12" s="1883"/>
      <c r="BK12" s="1883"/>
      <c r="BL12" s="1883"/>
      <c r="BM12" s="1883"/>
      <c r="BN12" s="1883"/>
      <c r="BO12" s="1883"/>
      <c r="BP12" s="1883"/>
      <c r="BQ12" s="1883"/>
      <c r="BR12" s="1883"/>
      <c r="BS12" s="1883"/>
      <c r="BT12" s="1883"/>
      <c r="BU12" s="1883"/>
      <c r="BV12" s="1883"/>
      <c r="BW12" s="1883"/>
      <c r="BX12" s="1883"/>
      <c r="BY12" s="1883"/>
      <c r="BZ12" s="1883"/>
      <c r="CA12" s="1883"/>
      <c r="CB12" s="1883"/>
      <c r="CC12" s="1883"/>
      <c r="CD12" s="1883"/>
      <c r="CE12" s="1883"/>
      <c r="CF12" s="1883"/>
      <c r="CG12" s="1883"/>
      <c r="CH12" s="1883"/>
      <c r="CI12" s="1883"/>
      <c r="CJ12" s="1883"/>
      <c r="CK12" s="1883"/>
      <c r="CL12" s="1883"/>
      <c r="CM12" s="1883"/>
      <c r="CN12" s="1883"/>
      <c r="CO12" s="1883"/>
      <c r="CP12" s="1883"/>
      <c r="CQ12" s="1883"/>
      <c r="CR12" s="1883"/>
      <c r="CS12" s="1883"/>
      <c r="CT12" s="1883"/>
      <c r="CU12" s="1883"/>
      <c r="CV12" s="1883"/>
      <c r="CW12" s="1883"/>
      <c r="CX12" s="1883"/>
      <c r="CY12" s="1883"/>
      <c r="CZ12" s="1883"/>
      <c r="DA12" s="1883"/>
      <c r="DB12" s="1883"/>
      <c r="DC12" s="1883"/>
      <c r="DD12" s="1883"/>
      <c r="DE12" s="1883"/>
      <c r="DF12" s="1883"/>
      <c r="DG12" s="1883"/>
      <c r="DH12" s="1883"/>
      <c r="DI12" s="1883"/>
      <c r="DJ12" s="1883"/>
      <c r="DK12" s="1883"/>
      <c r="DL12" s="1883"/>
      <c r="DM12" s="1883"/>
      <c r="DN12" s="1883"/>
      <c r="DO12" s="1883"/>
      <c r="DP12" s="1883"/>
      <c r="DQ12" s="1883"/>
      <c r="DR12" s="1883"/>
      <c r="DS12" s="1883"/>
      <c r="DT12" s="1883"/>
      <c r="DU12" s="1883"/>
      <c r="DV12" s="1883"/>
      <c r="DW12" s="1883"/>
      <c r="DX12" s="1883"/>
      <c r="DY12" s="1883"/>
    </row>
    <row r="13" spans="1:129" s="1880" customFormat="1" ht="46.5" hidden="1" customHeight="1">
      <c r="A13" s="3736"/>
      <c r="B13" s="1748" t="str">
        <f t="shared" si="0"/>
        <v>2000002509</v>
      </c>
      <c r="C13" s="1851" t="s">
        <v>3109</v>
      </c>
      <c r="D13" s="1915"/>
      <c r="E13" s="1851"/>
      <c r="F13" s="1935" t="s">
        <v>3401</v>
      </c>
      <c r="G13" s="1495"/>
      <c r="H13" s="1947"/>
      <c r="I13" s="1851" t="s">
        <v>19</v>
      </c>
      <c r="J13" s="1851" t="s">
        <v>63</v>
      </c>
      <c r="K13" s="1628" t="s">
        <v>7416</v>
      </c>
      <c r="L13" s="2408">
        <v>640</v>
      </c>
      <c r="M13" s="1497"/>
      <c r="N13" s="1630"/>
      <c r="O13" s="1882"/>
      <c r="P13" s="1883"/>
      <c r="Q13" s="1883"/>
      <c r="R13" s="1883"/>
      <c r="S13" s="1883"/>
      <c r="T13" s="1883"/>
      <c r="U13" s="1883"/>
      <c r="V13" s="1883"/>
      <c r="W13" s="1883"/>
      <c r="X13" s="1883"/>
      <c r="Y13" s="1883"/>
      <c r="Z13" s="1883"/>
      <c r="AA13" s="1883"/>
      <c r="AB13" s="1883"/>
      <c r="AC13" s="1883"/>
      <c r="AD13" s="1883"/>
      <c r="AE13" s="1883"/>
      <c r="AF13" s="1883"/>
      <c r="AG13" s="1883"/>
      <c r="AH13" s="1883"/>
      <c r="AI13" s="1883"/>
      <c r="AJ13" s="1883"/>
      <c r="AK13" s="1883"/>
      <c r="AL13" s="1883"/>
      <c r="AM13" s="1883"/>
      <c r="AN13" s="1883"/>
      <c r="AO13" s="1883"/>
      <c r="AP13" s="1883"/>
      <c r="AQ13" s="1883"/>
      <c r="AR13" s="1883"/>
      <c r="AS13" s="1883"/>
      <c r="AT13" s="1883"/>
      <c r="AU13" s="1883"/>
      <c r="AV13" s="1883"/>
      <c r="AW13" s="1883"/>
      <c r="AX13" s="1883"/>
      <c r="AY13" s="1883"/>
      <c r="AZ13" s="1883"/>
      <c r="BA13" s="1883"/>
      <c r="BB13" s="1883"/>
      <c r="BC13" s="1883"/>
      <c r="BD13" s="1883"/>
      <c r="BE13" s="1883"/>
      <c r="BF13" s="1883"/>
      <c r="BG13" s="1883"/>
      <c r="BH13" s="1883"/>
      <c r="BI13" s="1883"/>
      <c r="BJ13" s="1883"/>
      <c r="BK13" s="1883"/>
      <c r="BL13" s="1883"/>
      <c r="BM13" s="1883"/>
      <c r="BN13" s="1883"/>
      <c r="BO13" s="1883"/>
      <c r="BP13" s="1883"/>
      <c r="BQ13" s="1883"/>
      <c r="BR13" s="1883"/>
      <c r="BS13" s="1883"/>
      <c r="BT13" s="1883"/>
      <c r="BU13" s="1883"/>
      <c r="BV13" s="1883"/>
      <c r="BW13" s="1883"/>
      <c r="BX13" s="1883"/>
      <c r="BY13" s="1883"/>
      <c r="BZ13" s="1883"/>
      <c r="CA13" s="1883"/>
      <c r="CB13" s="1883"/>
      <c r="CC13" s="1883"/>
      <c r="CD13" s="1883"/>
      <c r="CE13" s="1883"/>
      <c r="CF13" s="1883"/>
      <c r="CG13" s="1883"/>
      <c r="CH13" s="1883"/>
      <c r="CI13" s="1883"/>
      <c r="CJ13" s="1883"/>
      <c r="CK13" s="1883"/>
      <c r="CL13" s="1883"/>
      <c r="CM13" s="1883"/>
      <c r="CN13" s="1883"/>
      <c r="CO13" s="1883"/>
      <c r="CP13" s="1883"/>
      <c r="CQ13" s="1883"/>
      <c r="CR13" s="1883"/>
      <c r="CS13" s="1883"/>
      <c r="CT13" s="1883"/>
      <c r="CU13" s="1883"/>
      <c r="CV13" s="1883"/>
      <c r="CW13" s="1883"/>
      <c r="CX13" s="1883"/>
      <c r="CY13" s="1883"/>
      <c r="CZ13" s="1883"/>
      <c r="DA13" s="1883"/>
      <c r="DB13" s="1883"/>
      <c r="DC13" s="1883"/>
      <c r="DD13" s="1883"/>
      <c r="DE13" s="1883"/>
      <c r="DF13" s="1883"/>
      <c r="DG13" s="1883"/>
      <c r="DH13" s="1883"/>
      <c r="DI13" s="1883"/>
      <c r="DJ13" s="1883"/>
      <c r="DK13" s="1883"/>
      <c r="DL13" s="1883"/>
      <c r="DM13" s="1883"/>
      <c r="DN13" s="1883"/>
      <c r="DO13" s="1883"/>
      <c r="DP13" s="1883"/>
      <c r="DQ13" s="1883"/>
      <c r="DR13" s="1883"/>
      <c r="DS13" s="1883"/>
      <c r="DT13" s="1883"/>
      <c r="DU13" s="1883"/>
      <c r="DV13" s="1883"/>
      <c r="DW13" s="1883"/>
      <c r="DX13" s="1883"/>
      <c r="DY13" s="1883"/>
    </row>
    <row r="14" spans="1:129" s="1880" customFormat="1" ht="46.5" hidden="1" customHeight="1">
      <c r="A14" s="3736"/>
      <c r="B14" s="1748" t="str">
        <f t="shared" si="0"/>
        <v>2000002510</v>
      </c>
      <c r="C14" s="1851" t="s">
        <v>3109</v>
      </c>
      <c r="D14" s="1915"/>
      <c r="E14" s="1851"/>
      <c r="F14" s="1935" t="s">
        <v>3401</v>
      </c>
      <c r="G14" s="1495"/>
      <c r="H14" s="1947"/>
      <c r="I14" s="1851" t="s">
        <v>19</v>
      </c>
      <c r="J14" s="1851" t="s">
        <v>63</v>
      </c>
      <c r="K14" s="1628" t="s">
        <v>7417</v>
      </c>
      <c r="L14" s="2408">
        <v>1000</v>
      </c>
      <c r="M14" s="1497"/>
      <c r="N14" s="1630"/>
      <c r="O14" s="1882"/>
      <c r="P14" s="1883"/>
      <c r="Q14" s="1883"/>
      <c r="R14" s="1883"/>
      <c r="S14" s="1883"/>
      <c r="T14" s="1883"/>
      <c r="U14" s="1883"/>
      <c r="V14" s="1883"/>
      <c r="W14" s="1883"/>
      <c r="X14" s="1883"/>
      <c r="Y14" s="1883"/>
      <c r="Z14" s="1883"/>
      <c r="AA14" s="1883"/>
      <c r="AB14" s="1883"/>
      <c r="AC14" s="1883"/>
      <c r="AD14" s="1883"/>
      <c r="AE14" s="1883"/>
      <c r="AF14" s="1883"/>
      <c r="AG14" s="1883"/>
      <c r="AH14" s="1883"/>
      <c r="AI14" s="1883"/>
      <c r="AJ14" s="1883"/>
      <c r="AK14" s="1883"/>
      <c r="AL14" s="1883"/>
      <c r="AM14" s="1883"/>
      <c r="AN14" s="1883"/>
      <c r="AO14" s="1883"/>
      <c r="AP14" s="1883"/>
      <c r="AQ14" s="1883"/>
      <c r="AR14" s="1883"/>
      <c r="AS14" s="1883"/>
      <c r="AT14" s="1883"/>
      <c r="AU14" s="1883"/>
      <c r="AV14" s="1883"/>
      <c r="AW14" s="1883"/>
      <c r="AX14" s="1883"/>
      <c r="AY14" s="1883"/>
      <c r="AZ14" s="1883"/>
      <c r="BA14" s="1883"/>
      <c r="BB14" s="1883"/>
      <c r="BC14" s="1883"/>
      <c r="BD14" s="1883"/>
      <c r="BE14" s="1883"/>
      <c r="BF14" s="1883"/>
      <c r="BG14" s="1883"/>
      <c r="BH14" s="1883"/>
      <c r="BI14" s="1883"/>
      <c r="BJ14" s="1883"/>
      <c r="BK14" s="1883"/>
      <c r="BL14" s="1883"/>
      <c r="BM14" s="1883"/>
      <c r="BN14" s="1883"/>
      <c r="BO14" s="1883"/>
      <c r="BP14" s="1883"/>
      <c r="BQ14" s="1883"/>
      <c r="BR14" s="1883"/>
      <c r="BS14" s="1883"/>
      <c r="BT14" s="1883"/>
      <c r="BU14" s="1883"/>
      <c r="BV14" s="1883"/>
      <c r="BW14" s="1883"/>
      <c r="BX14" s="1883"/>
      <c r="BY14" s="1883"/>
      <c r="BZ14" s="1883"/>
      <c r="CA14" s="1883"/>
      <c r="CB14" s="1883"/>
      <c r="CC14" s="1883"/>
      <c r="CD14" s="1883"/>
      <c r="CE14" s="1883"/>
      <c r="CF14" s="1883"/>
      <c r="CG14" s="1883"/>
      <c r="CH14" s="1883"/>
      <c r="CI14" s="1883"/>
      <c r="CJ14" s="1883"/>
      <c r="CK14" s="1883"/>
      <c r="CL14" s="1883"/>
      <c r="CM14" s="1883"/>
      <c r="CN14" s="1883"/>
      <c r="CO14" s="1883"/>
      <c r="CP14" s="1883"/>
      <c r="CQ14" s="1883"/>
      <c r="CR14" s="1883"/>
      <c r="CS14" s="1883"/>
      <c r="CT14" s="1883"/>
      <c r="CU14" s="1883"/>
      <c r="CV14" s="1883"/>
      <c r="CW14" s="1883"/>
      <c r="CX14" s="1883"/>
      <c r="CY14" s="1883"/>
      <c r="CZ14" s="1883"/>
      <c r="DA14" s="1883"/>
      <c r="DB14" s="1883"/>
      <c r="DC14" s="1883"/>
      <c r="DD14" s="1883"/>
      <c r="DE14" s="1883"/>
      <c r="DF14" s="1883"/>
      <c r="DG14" s="1883"/>
      <c r="DH14" s="1883"/>
      <c r="DI14" s="1883"/>
      <c r="DJ14" s="1883"/>
      <c r="DK14" s="1883"/>
      <c r="DL14" s="1883"/>
      <c r="DM14" s="1883"/>
      <c r="DN14" s="1883"/>
      <c r="DO14" s="1883"/>
      <c r="DP14" s="1883"/>
      <c r="DQ14" s="1883"/>
      <c r="DR14" s="1883"/>
      <c r="DS14" s="1883"/>
      <c r="DT14" s="1883"/>
      <c r="DU14" s="1883"/>
      <c r="DV14" s="1883"/>
      <c r="DW14" s="1883"/>
      <c r="DX14" s="1883"/>
      <c r="DY14" s="1883"/>
    </row>
    <row r="15" spans="1:129" s="1880" customFormat="1" ht="46.5" hidden="1" customHeight="1">
      <c r="A15" s="3736"/>
      <c r="B15" s="1748" t="str">
        <f t="shared" si="0"/>
        <v>2000002511</v>
      </c>
      <c r="C15" s="1851" t="s">
        <v>3109</v>
      </c>
      <c r="D15" s="1915"/>
      <c r="E15" s="1851"/>
      <c r="F15" s="1935" t="s">
        <v>3401</v>
      </c>
      <c r="G15" s="1495"/>
      <c r="H15" s="1947"/>
      <c r="I15" s="1851" t="s">
        <v>19</v>
      </c>
      <c r="J15" s="1851" t="s">
        <v>63</v>
      </c>
      <c r="K15" s="1628" t="s">
        <v>7418</v>
      </c>
      <c r="L15" s="2408">
        <v>860</v>
      </c>
      <c r="M15" s="1497"/>
      <c r="N15" s="1630"/>
      <c r="O15" s="1882"/>
      <c r="P15" s="1883"/>
      <c r="Q15" s="1883"/>
      <c r="R15" s="1883"/>
      <c r="S15" s="1883"/>
      <c r="T15" s="1883"/>
      <c r="U15" s="1883"/>
      <c r="V15" s="1883"/>
      <c r="W15" s="1883"/>
      <c r="X15" s="1883"/>
      <c r="Y15" s="1883"/>
      <c r="Z15" s="1883"/>
      <c r="AA15" s="1883"/>
      <c r="AB15" s="1883"/>
      <c r="AC15" s="1883"/>
      <c r="AD15" s="1883"/>
      <c r="AE15" s="1883"/>
      <c r="AF15" s="1883"/>
      <c r="AG15" s="1883"/>
      <c r="AH15" s="1883"/>
      <c r="AI15" s="1883"/>
      <c r="AJ15" s="1883"/>
      <c r="AK15" s="1883"/>
      <c r="AL15" s="1883"/>
      <c r="AM15" s="1883"/>
      <c r="AN15" s="1883"/>
      <c r="AO15" s="1883"/>
      <c r="AP15" s="1883"/>
      <c r="AQ15" s="1883"/>
      <c r="AR15" s="1883"/>
      <c r="AS15" s="1883"/>
      <c r="AT15" s="1883"/>
      <c r="AU15" s="1883"/>
      <c r="AV15" s="1883"/>
      <c r="AW15" s="1883"/>
      <c r="AX15" s="1883"/>
      <c r="AY15" s="1883"/>
      <c r="AZ15" s="1883"/>
      <c r="BA15" s="1883"/>
      <c r="BB15" s="1883"/>
      <c r="BC15" s="1883"/>
      <c r="BD15" s="1883"/>
      <c r="BE15" s="1883"/>
      <c r="BF15" s="1883"/>
      <c r="BG15" s="1883"/>
      <c r="BH15" s="1883"/>
      <c r="BI15" s="1883"/>
      <c r="BJ15" s="1883"/>
      <c r="BK15" s="1883"/>
      <c r="BL15" s="1883"/>
      <c r="BM15" s="1883"/>
      <c r="BN15" s="1883"/>
      <c r="BO15" s="1883"/>
      <c r="BP15" s="1883"/>
      <c r="BQ15" s="1883"/>
      <c r="BR15" s="1883"/>
      <c r="BS15" s="1883"/>
      <c r="BT15" s="1883"/>
      <c r="BU15" s="1883"/>
      <c r="BV15" s="1883"/>
      <c r="BW15" s="1883"/>
      <c r="BX15" s="1883"/>
      <c r="BY15" s="1883"/>
      <c r="BZ15" s="1883"/>
      <c r="CA15" s="1883"/>
      <c r="CB15" s="1883"/>
      <c r="CC15" s="1883"/>
      <c r="CD15" s="1883"/>
      <c r="CE15" s="1883"/>
      <c r="CF15" s="1883"/>
      <c r="CG15" s="1883"/>
      <c r="CH15" s="1883"/>
      <c r="CI15" s="1883"/>
      <c r="CJ15" s="1883"/>
      <c r="CK15" s="1883"/>
      <c r="CL15" s="1883"/>
      <c r="CM15" s="1883"/>
      <c r="CN15" s="1883"/>
      <c r="CO15" s="1883"/>
      <c r="CP15" s="1883"/>
      <c r="CQ15" s="1883"/>
      <c r="CR15" s="1883"/>
      <c r="CS15" s="1883"/>
      <c r="CT15" s="1883"/>
      <c r="CU15" s="1883"/>
      <c r="CV15" s="1883"/>
      <c r="CW15" s="1883"/>
      <c r="CX15" s="1883"/>
      <c r="CY15" s="1883"/>
      <c r="CZ15" s="1883"/>
      <c r="DA15" s="1883"/>
      <c r="DB15" s="1883"/>
      <c r="DC15" s="1883"/>
      <c r="DD15" s="1883"/>
      <c r="DE15" s="1883"/>
      <c r="DF15" s="1883"/>
      <c r="DG15" s="1883"/>
      <c r="DH15" s="1883"/>
      <c r="DI15" s="1883"/>
      <c r="DJ15" s="1883"/>
      <c r="DK15" s="1883"/>
      <c r="DL15" s="1883"/>
      <c r="DM15" s="1883"/>
      <c r="DN15" s="1883"/>
      <c r="DO15" s="1883"/>
      <c r="DP15" s="1883"/>
      <c r="DQ15" s="1883"/>
      <c r="DR15" s="1883"/>
      <c r="DS15" s="1883"/>
      <c r="DT15" s="1883"/>
      <c r="DU15" s="1883"/>
      <c r="DV15" s="1883"/>
      <c r="DW15" s="1883"/>
      <c r="DX15" s="1883"/>
      <c r="DY15" s="1883"/>
    </row>
    <row r="16" spans="1:129" s="1880" customFormat="1" ht="46.5" hidden="1" customHeight="1">
      <c r="A16" s="3736"/>
      <c r="B16" s="1748" t="str">
        <f t="shared" si="0"/>
        <v>2000002528</v>
      </c>
      <c r="C16" s="1851" t="s">
        <v>3109</v>
      </c>
      <c r="D16" s="1915"/>
      <c r="E16" s="1851"/>
      <c r="F16" s="1935" t="s">
        <v>3401</v>
      </c>
      <c r="G16" s="1495"/>
      <c r="H16" s="1947"/>
      <c r="I16" s="1851" t="s">
        <v>19</v>
      </c>
      <c r="J16" s="1851" t="s">
        <v>63</v>
      </c>
      <c r="K16" s="1628" t="s">
        <v>7419</v>
      </c>
      <c r="L16" s="2408">
        <v>2000</v>
      </c>
      <c r="M16" s="1497"/>
      <c r="N16" s="1630"/>
      <c r="O16" s="1882"/>
      <c r="P16" s="1883"/>
      <c r="Q16" s="1883"/>
      <c r="R16" s="1883"/>
      <c r="S16" s="1883"/>
      <c r="T16" s="1883"/>
      <c r="U16" s="1883"/>
      <c r="V16" s="1883"/>
      <c r="W16" s="1883"/>
      <c r="X16" s="1883"/>
      <c r="Y16" s="1883"/>
      <c r="Z16" s="1883"/>
      <c r="AA16" s="1883"/>
      <c r="AB16" s="1883"/>
      <c r="AC16" s="1883"/>
      <c r="AD16" s="1883"/>
      <c r="AE16" s="1883"/>
      <c r="AF16" s="1883"/>
      <c r="AG16" s="1883"/>
      <c r="AH16" s="1883"/>
      <c r="AI16" s="1883"/>
      <c r="AJ16" s="1883"/>
      <c r="AK16" s="1883"/>
      <c r="AL16" s="1883"/>
      <c r="AM16" s="1883"/>
      <c r="AN16" s="1883"/>
      <c r="AO16" s="1883"/>
      <c r="AP16" s="1883"/>
      <c r="AQ16" s="1883"/>
      <c r="AR16" s="1883"/>
      <c r="AS16" s="1883"/>
      <c r="AT16" s="1883"/>
      <c r="AU16" s="1883"/>
      <c r="AV16" s="1883"/>
      <c r="AW16" s="1883"/>
      <c r="AX16" s="1883"/>
      <c r="AY16" s="1883"/>
      <c r="AZ16" s="1883"/>
      <c r="BA16" s="1883"/>
      <c r="BB16" s="1883"/>
      <c r="BC16" s="1883"/>
      <c r="BD16" s="1883"/>
      <c r="BE16" s="1883"/>
      <c r="BF16" s="1883"/>
      <c r="BG16" s="1883"/>
      <c r="BH16" s="1883"/>
      <c r="BI16" s="1883"/>
      <c r="BJ16" s="1883"/>
      <c r="BK16" s="1883"/>
      <c r="BL16" s="1883"/>
      <c r="BM16" s="1883"/>
      <c r="BN16" s="1883"/>
      <c r="BO16" s="1883"/>
      <c r="BP16" s="1883"/>
      <c r="BQ16" s="1883"/>
      <c r="BR16" s="1883"/>
      <c r="BS16" s="1883"/>
      <c r="BT16" s="1883"/>
      <c r="BU16" s="1883"/>
      <c r="BV16" s="1883"/>
      <c r="BW16" s="1883"/>
      <c r="BX16" s="1883"/>
      <c r="BY16" s="1883"/>
      <c r="BZ16" s="1883"/>
      <c r="CA16" s="1883"/>
      <c r="CB16" s="1883"/>
      <c r="CC16" s="1883"/>
      <c r="CD16" s="1883"/>
      <c r="CE16" s="1883"/>
      <c r="CF16" s="1883"/>
      <c r="CG16" s="1883"/>
      <c r="CH16" s="1883"/>
      <c r="CI16" s="1883"/>
      <c r="CJ16" s="1883"/>
      <c r="CK16" s="1883"/>
      <c r="CL16" s="1883"/>
      <c r="CM16" s="1883"/>
      <c r="CN16" s="1883"/>
      <c r="CO16" s="1883"/>
      <c r="CP16" s="1883"/>
      <c r="CQ16" s="1883"/>
      <c r="CR16" s="1883"/>
      <c r="CS16" s="1883"/>
      <c r="CT16" s="1883"/>
      <c r="CU16" s="1883"/>
      <c r="CV16" s="1883"/>
      <c r="CW16" s="1883"/>
      <c r="CX16" s="1883"/>
      <c r="CY16" s="1883"/>
      <c r="CZ16" s="1883"/>
      <c r="DA16" s="1883"/>
      <c r="DB16" s="1883"/>
      <c r="DC16" s="1883"/>
      <c r="DD16" s="1883"/>
      <c r="DE16" s="1883"/>
      <c r="DF16" s="1883"/>
      <c r="DG16" s="1883"/>
      <c r="DH16" s="1883"/>
      <c r="DI16" s="1883"/>
      <c r="DJ16" s="1883"/>
      <c r="DK16" s="1883"/>
      <c r="DL16" s="1883"/>
      <c r="DM16" s="1883"/>
      <c r="DN16" s="1883"/>
      <c r="DO16" s="1883"/>
      <c r="DP16" s="1883"/>
      <c r="DQ16" s="1883"/>
      <c r="DR16" s="1883"/>
      <c r="DS16" s="1883"/>
      <c r="DT16" s="1883"/>
      <c r="DU16" s="1883"/>
      <c r="DV16" s="1883"/>
      <c r="DW16" s="1883"/>
      <c r="DX16" s="1883"/>
      <c r="DY16" s="1883"/>
    </row>
    <row r="17" spans="1:129" s="1880" customFormat="1" ht="46.5" hidden="1" customHeight="1">
      <c r="A17" s="3736"/>
      <c r="B17" s="1748" t="str">
        <f t="shared" si="0"/>
        <v>2000002529</v>
      </c>
      <c r="C17" s="1851" t="s">
        <v>3109</v>
      </c>
      <c r="D17" s="1915"/>
      <c r="E17" s="1851"/>
      <c r="F17" s="1935" t="s">
        <v>3401</v>
      </c>
      <c r="G17" s="1495"/>
      <c r="H17" s="1947"/>
      <c r="I17" s="1851" t="s">
        <v>19</v>
      </c>
      <c r="J17" s="1851" t="s">
        <v>63</v>
      </c>
      <c r="K17" s="1628" t="s">
        <v>7420</v>
      </c>
      <c r="L17" s="2408">
        <v>2000</v>
      </c>
      <c r="M17" s="1497"/>
      <c r="N17" s="1630"/>
      <c r="O17" s="1882"/>
      <c r="P17" s="1883"/>
      <c r="Q17" s="1883"/>
      <c r="R17" s="1883"/>
      <c r="S17" s="1883"/>
      <c r="T17" s="1883"/>
      <c r="U17" s="1883"/>
      <c r="V17" s="1883"/>
      <c r="W17" s="1883"/>
      <c r="X17" s="1883"/>
      <c r="Y17" s="1883"/>
      <c r="Z17" s="1883"/>
      <c r="AA17" s="1883"/>
      <c r="AB17" s="1883"/>
      <c r="AC17" s="1883"/>
      <c r="AD17" s="1883"/>
      <c r="AE17" s="1883"/>
      <c r="AF17" s="1883"/>
      <c r="AG17" s="1883"/>
      <c r="AH17" s="1883"/>
      <c r="AI17" s="1883"/>
      <c r="AJ17" s="1883"/>
      <c r="AK17" s="1883"/>
      <c r="AL17" s="1883"/>
      <c r="AM17" s="1883"/>
      <c r="AN17" s="1883"/>
      <c r="AO17" s="1883"/>
      <c r="AP17" s="1883"/>
      <c r="AQ17" s="1883"/>
      <c r="AR17" s="1883"/>
      <c r="AS17" s="1883"/>
      <c r="AT17" s="1883"/>
      <c r="AU17" s="1883"/>
      <c r="AV17" s="1883"/>
      <c r="AW17" s="1883"/>
      <c r="AX17" s="1883"/>
      <c r="AY17" s="1883"/>
      <c r="AZ17" s="1883"/>
      <c r="BA17" s="1883"/>
      <c r="BB17" s="1883"/>
      <c r="BC17" s="1883"/>
      <c r="BD17" s="1883"/>
      <c r="BE17" s="1883"/>
      <c r="BF17" s="1883"/>
      <c r="BG17" s="1883"/>
      <c r="BH17" s="1883"/>
      <c r="BI17" s="1883"/>
      <c r="BJ17" s="1883"/>
      <c r="BK17" s="1883"/>
      <c r="BL17" s="1883"/>
      <c r="BM17" s="1883"/>
      <c r="BN17" s="1883"/>
      <c r="BO17" s="1883"/>
      <c r="BP17" s="1883"/>
      <c r="BQ17" s="1883"/>
      <c r="BR17" s="1883"/>
      <c r="BS17" s="1883"/>
      <c r="BT17" s="1883"/>
      <c r="BU17" s="1883"/>
      <c r="BV17" s="1883"/>
      <c r="BW17" s="1883"/>
      <c r="BX17" s="1883"/>
      <c r="BY17" s="1883"/>
      <c r="BZ17" s="1883"/>
      <c r="CA17" s="1883"/>
      <c r="CB17" s="1883"/>
      <c r="CC17" s="1883"/>
      <c r="CD17" s="1883"/>
      <c r="CE17" s="1883"/>
      <c r="CF17" s="1883"/>
      <c r="CG17" s="1883"/>
      <c r="CH17" s="1883"/>
      <c r="CI17" s="1883"/>
      <c r="CJ17" s="1883"/>
      <c r="CK17" s="1883"/>
      <c r="CL17" s="1883"/>
      <c r="CM17" s="1883"/>
      <c r="CN17" s="1883"/>
      <c r="CO17" s="1883"/>
      <c r="CP17" s="1883"/>
      <c r="CQ17" s="1883"/>
      <c r="CR17" s="1883"/>
      <c r="CS17" s="1883"/>
      <c r="CT17" s="1883"/>
      <c r="CU17" s="1883"/>
      <c r="CV17" s="1883"/>
      <c r="CW17" s="1883"/>
      <c r="CX17" s="1883"/>
      <c r="CY17" s="1883"/>
      <c r="CZ17" s="1883"/>
      <c r="DA17" s="1883"/>
      <c r="DB17" s="1883"/>
      <c r="DC17" s="1883"/>
      <c r="DD17" s="1883"/>
      <c r="DE17" s="1883"/>
      <c r="DF17" s="1883"/>
      <c r="DG17" s="1883"/>
      <c r="DH17" s="1883"/>
      <c r="DI17" s="1883"/>
      <c r="DJ17" s="1883"/>
      <c r="DK17" s="1883"/>
      <c r="DL17" s="1883"/>
      <c r="DM17" s="1883"/>
      <c r="DN17" s="1883"/>
      <c r="DO17" s="1883"/>
      <c r="DP17" s="1883"/>
      <c r="DQ17" s="1883"/>
      <c r="DR17" s="1883"/>
      <c r="DS17" s="1883"/>
      <c r="DT17" s="1883"/>
      <c r="DU17" s="1883"/>
      <c r="DV17" s="1883"/>
      <c r="DW17" s="1883"/>
      <c r="DX17" s="1883"/>
      <c r="DY17" s="1883"/>
    </row>
    <row r="18" spans="1:129" s="1880" customFormat="1" ht="46.5" hidden="1" customHeight="1">
      <c r="A18" s="3736"/>
      <c r="B18" s="1748" t="str">
        <f t="shared" si="0"/>
        <v>2000002530</v>
      </c>
      <c r="C18" s="1851" t="s">
        <v>3109</v>
      </c>
      <c r="D18" s="1915"/>
      <c r="E18" s="1851"/>
      <c r="F18" s="1935" t="s">
        <v>3401</v>
      </c>
      <c r="G18" s="1495"/>
      <c r="H18" s="1947"/>
      <c r="I18" s="1851" t="s">
        <v>19</v>
      </c>
      <c r="J18" s="1851" t="s">
        <v>63</v>
      </c>
      <c r="K18" s="1628" t="s">
        <v>7421</v>
      </c>
      <c r="L18" s="2408">
        <v>3000</v>
      </c>
      <c r="M18" s="1497"/>
      <c r="N18" s="1630"/>
      <c r="O18" s="1882"/>
      <c r="P18" s="1883"/>
      <c r="Q18" s="1883"/>
      <c r="R18" s="1883"/>
      <c r="S18" s="1883"/>
      <c r="T18" s="1883"/>
      <c r="U18" s="1883"/>
      <c r="V18" s="1883"/>
      <c r="W18" s="1883"/>
      <c r="X18" s="1883"/>
      <c r="Y18" s="1883"/>
      <c r="Z18" s="1883"/>
      <c r="AA18" s="1883"/>
      <c r="AB18" s="1883"/>
      <c r="AC18" s="1883"/>
      <c r="AD18" s="1883"/>
      <c r="AE18" s="1883"/>
      <c r="AF18" s="1883"/>
      <c r="AG18" s="1883"/>
      <c r="AH18" s="1883"/>
      <c r="AI18" s="1883"/>
      <c r="AJ18" s="1883"/>
      <c r="AK18" s="1883"/>
      <c r="AL18" s="1883"/>
      <c r="AM18" s="1883"/>
      <c r="AN18" s="1883"/>
      <c r="AO18" s="1883"/>
      <c r="AP18" s="1883"/>
      <c r="AQ18" s="1883"/>
      <c r="AR18" s="1883"/>
      <c r="AS18" s="1883"/>
      <c r="AT18" s="1883"/>
      <c r="AU18" s="1883"/>
      <c r="AV18" s="1883"/>
      <c r="AW18" s="1883"/>
      <c r="AX18" s="1883"/>
      <c r="AY18" s="1883"/>
      <c r="AZ18" s="1883"/>
      <c r="BA18" s="1883"/>
      <c r="BB18" s="1883"/>
      <c r="BC18" s="1883"/>
      <c r="BD18" s="1883"/>
      <c r="BE18" s="1883"/>
      <c r="BF18" s="1883"/>
      <c r="BG18" s="1883"/>
      <c r="BH18" s="1883"/>
      <c r="BI18" s="1883"/>
      <c r="BJ18" s="1883"/>
      <c r="BK18" s="1883"/>
      <c r="BL18" s="1883"/>
      <c r="BM18" s="1883"/>
      <c r="BN18" s="1883"/>
      <c r="BO18" s="1883"/>
      <c r="BP18" s="1883"/>
      <c r="BQ18" s="1883"/>
      <c r="BR18" s="1883"/>
      <c r="BS18" s="1883"/>
      <c r="BT18" s="1883"/>
      <c r="BU18" s="1883"/>
      <c r="BV18" s="1883"/>
      <c r="BW18" s="1883"/>
      <c r="BX18" s="1883"/>
      <c r="BY18" s="1883"/>
      <c r="BZ18" s="1883"/>
      <c r="CA18" s="1883"/>
      <c r="CB18" s="1883"/>
      <c r="CC18" s="1883"/>
      <c r="CD18" s="1883"/>
      <c r="CE18" s="1883"/>
      <c r="CF18" s="1883"/>
      <c r="CG18" s="1883"/>
      <c r="CH18" s="1883"/>
      <c r="CI18" s="1883"/>
      <c r="CJ18" s="1883"/>
      <c r="CK18" s="1883"/>
      <c r="CL18" s="1883"/>
      <c r="CM18" s="1883"/>
      <c r="CN18" s="1883"/>
      <c r="CO18" s="1883"/>
      <c r="CP18" s="1883"/>
      <c r="CQ18" s="1883"/>
      <c r="CR18" s="1883"/>
      <c r="CS18" s="1883"/>
      <c r="CT18" s="1883"/>
      <c r="CU18" s="1883"/>
      <c r="CV18" s="1883"/>
      <c r="CW18" s="1883"/>
      <c r="CX18" s="1883"/>
      <c r="CY18" s="1883"/>
      <c r="CZ18" s="1883"/>
      <c r="DA18" s="1883"/>
      <c r="DB18" s="1883"/>
      <c r="DC18" s="1883"/>
      <c r="DD18" s="1883"/>
      <c r="DE18" s="1883"/>
      <c r="DF18" s="1883"/>
      <c r="DG18" s="1883"/>
      <c r="DH18" s="1883"/>
      <c r="DI18" s="1883"/>
      <c r="DJ18" s="1883"/>
      <c r="DK18" s="1883"/>
      <c r="DL18" s="1883"/>
      <c r="DM18" s="1883"/>
      <c r="DN18" s="1883"/>
      <c r="DO18" s="1883"/>
      <c r="DP18" s="1883"/>
      <c r="DQ18" s="1883"/>
      <c r="DR18" s="1883"/>
      <c r="DS18" s="1883"/>
      <c r="DT18" s="1883"/>
      <c r="DU18" s="1883"/>
      <c r="DV18" s="1883"/>
      <c r="DW18" s="1883"/>
      <c r="DX18" s="1883"/>
      <c r="DY18" s="1883"/>
    </row>
    <row r="19" spans="1:129" s="1880" customFormat="1" ht="56.25" hidden="1" customHeight="1">
      <c r="A19" s="3737"/>
      <c r="B19" s="1748" t="str">
        <f t="shared" si="0"/>
        <v>2000002513</v>
      </c>
      <c r="C19" s="1851" t="s">
        <v>3109</v>
      </c>
      <c r="D19" s="1915"/>
      <c r="E19" s="1851"/>
      <c r="F19" s="1935" t="s">
        <v>3401</v>
      </c>
      <c r="G19" s="1495"/>
      <c r="H19" s="1947"/>
      <c r="I19" s="1851" t="s">
        <v>19</v>
      </c>
      <c r="J19" s="1851" t="s">
        <v>63</v>
      </c>
      <c r="K19" s="1628" t="s">
        <v>7422</v>
      </c>
      <c r="L19" s="2408">
        <v>5000</v>
      </c>
      <c r="M19" s="1497"/>
      <c r="N19" s="1630"/>
      <c r="O19" s="1882"/>
      <c r="P19" s="1883"/>
      <c r="Q19" s="1883"/>
      <c r="R19" s="1883"/>
      <c r="S19" s="1883"/>
      <c r="T19" s="1883"/>
      <c r="U19" s="1883"/>
      <c r="V19" s="1883"/>
      <c r="W19" s="1883"/>
      <c r="X19" s="1883"/>
      <c r="Y19" s="1883"/>
      <c r="Z19" s="1883"/>
      <c r="AA19" s="1883"/>
      <c r="AB19" s="1883"/>
      <c r="AC19" s="1883"/>
      <c r="AD19" s="1883"/>
      <c r="AE19" s="1883"/>
      <c r="AF19" s="1883"/>
      <c r="AG19" s="1883"/>
      <c r="AH19" s="1883"/>
      <c r="AI19" s="1883"/>
      <c r="AJ19" s="1883"/>
      <c r="AK19" s="1883"/>
      <c r="AL19" s="1883"/>
      <c r="AM19" s="1883"/>
      <c r="AN19" s="1883"/>
      <c r="AO19" s="1883"/>
      <c r="AP19" s="1883"/>
      <c r="AQ19" s="1883"/>
      <c r="AR19" s="1883"/>
      <c r="AS19" s="1883"/>
      <c r="AT19" s="1883"/>
      <c r="AU19" s="1883"/>
      <c r="AV19" s="1883"/>
      <c r="AW19" s="1883"/>
      <c r="AX19" s="1883"/>
      <c r="AY19" s="1883"/>
      <c r="AZ19" s="1883"/>
      <c r="BA19" s="1883"/>
      <c r="BB19" s="1883"/>
      <c r="BC19" s="1883"/>
      <c r="BD19" s="1883"/>
      <c r="BE19" s="1883"/>
      <c r="BF19" s="1883"/>
      <c r="BG19" s="1883"/>
      <c r="BH19" s="1883"/>
      <c r="BI19" s="1883"/>
      <c r="BJ19" s="1883"/>
      <c r="BK19" s="1883"/>
      <c r="BL19" s="1883"/>
      <c r="BM19" s="1883"/>
      <c r="BN19" s="1883"/>
      <c r="BO19" s="1883"/>
      <c r="BP19" s="1883"/>
      <c r="BQ19" s="1883"/>
      <c r="BR19" s="1883"/>
      <c r="BS19" s="1883"/>
      <c r="BT19" s="1883"/>
      <c r="BU19" s="1883"/>
      <c r="BV19" s="1883"/>
      <c r="BW19" s="1883"/>
      <c r="BX19" s="1883"/>
      <c r="BY19" s="1883"/>
      <c r="BZ19" s="1883"/>
      <c r="CA19" s="1883"/>
      <c r="CB19" s="1883"/>
      <c r="CC19" s="1883"/>
      <c r="CD19" s="1883"/>
      <c r="CE19" s="1883"/>
      <c r="CF19" s="1883"/>
      <c r="CG19" s="1883"/>
      <c r="CH19" s="1883"/>
      <c r="CI19" s="1883"/>
      <c r="CJ19" s="1883"/>
      <c r="CK19" s="1883"/>
      <c r="CL19" s="1883"/>
      <c r="CM19" s="1883"/>
      <c r="CN19" s="1883"/>
      <c r="CO19" s="1883"/>
      <c r="CP19" s="1883"/>
      <c r="CQ19" s="1883"/>
      <c r="CR19" s="1883"/>
      <c r="CS19" s="1883"/>
      <c r="CT19" s="1883"/>
      <c r="CU19" s="1883"/>
      <c r="CV19" s="1883"/>
      <c r="CW19" s="1883"/>
      <c r="CX19" s="1883"/>
      <c r="CY19" s="1883"/>
      <c r="CZ19" s="1883"/>
      <c r="DA19" s="1883"/>
      <c r="DB19" s="1883"/>
      <c r="DC19" s="1883"/>
      <c r="DD19" s="1883"/>
      <c r="DE19" s="1883"/>
      <c r="DF19" s="1883"/>
      <c r="DG19" s="1883"/>
      <c r="DH19" s="1883"/>
      <c r="DI19" s="1883"/>
      <c r="DJ19" s="1883"/>
      <c r="DK19" s="1883"/>
      <c r="DL19" s="1883"/>
      <c r="DM19" s="1883"/>
      <c r="DN19" s="1883"/>
      <c r="DO19" s="1883"/>
      <c r="DP19" s="1883"/>
      <c r="DQ19" s="1883"/>
      <c r="DR19" s="1883"/>
      <c r="DS19" s="1883"/>
      <c r="DT19" s="1883"/>
      <c r="DU19" s="1883"/>
      <c r="DV19" s="1883"/>
      <c r="DW19" s="1883"/>
      <c r="DX19" s="1883"/>
      <c r="DY19" s="1883"/>
    </row>
    <row r="20" spans="1:129" s="2116" customFormat="1" ht="66" hidden="1" customHeight="1">
      <c r="A20" s="3735">
        <v>4</v>
      </c>
      <c r="B20" s="1909" t="str">
        <f t="shared" si="0"/>
        <v>2200001806</v>
      </c>
      <c r="C20" s="2118" t="s">
        <v>3856</v>
      </c>
      <c r="D20" s="2400">
        <v>3900</v>
      </c>
      <c r="E20" s="2118" t="s">
        <v>7423</v>
      </c>
      <c r="F20" s="2401" t="s">
        <v>89</v>
      </c>
      <c r="G20" s="1921" t="s">
        <v>7424</v>
      </c>
      <c r="H20" s="2159" t="s">
        <v>226</v>
      </c>
      <c r="I20" s="2118" t="s">
        <v>19</v>
      </c>
      <c r="J20" s="2118" t="s">
        <v>1138</v>
      </c>
      <c r="K20" s="2161" t="s">
        <v>7425</v>
      </c>
      <c r="L20" s="2413">
        <v>3200</v>
      </c>
      <c r="M20" s="2402" t="s">
        <v>7426</v>
      </c>
      <c r="N20" s="2391"/>
      <c r="O20" s="2403"/>
      <c r="P20" s="2122"/>
      <c r="Q20" s="2122"/>
      <c r="R20" s="2122"/>
      <c r="S20" s="2122"/>
      <c r="T20" s="2122"/>
      <c r="U20" s="2122"/>
      <c r="V20" s="2122"/>
      <c r="W20" s="2122"/>
      <c r="X20" s="2122"/>
      <c r="Y20" s="2122"/>
      <c r="Z20" s="2122"/>
      <c r="AA20" s="2122"/>
      <c r="AB20" s="2122"/>
      <c r="AC20" s="2122"/>
      <c r="AD20" s="2122"/>
      <c r="AE20" s="2122"/>
      <c r="AF20" s="2122"/>
      <c r="AG20" s="2122"/>
      <c r="AH20" s="2122"/>
      <c r="AI20" s="2122"/>
      <c r="AJ20" s="2122"/>
      <c r="AK20" s="2122"/>
      <c r="AL20" s="2122"/>
      <c r="AM20" s="2122"/>
      <c r="AN20" s="2122"/>
      <c r="AO20" s="2122"/>
      <c r="AP20" s="2122"/>
      <c r="AQ20" s="2122"/>
      <c r="AR20" s="2122"/>
      <c r="AS20" s="2122"/>
      <c r="AT20" s="2122"/>
      <c r="AU20" s="2122"/>
      <c r="AV20" s="2122"/>
      <c r="AW20" s="2122"/>
      <c r="AX20" s="2122"/>
      <c r="AY20" s="2122"/>
      <c r="AZ20" s="2122"/>
      <c r="BA20" s="2122"/>
      <c r="BB20" s="2122"/>
      <c r="BC20" s="2122"/>
      <c r="BD20" s="2122"/>
      <c r="BE20" s="2122"/>
      <c r="BF20" s="2122"/>
      <c r="BG20" s="2122"/>
      <c r="BH20" s="2122"/>
      <c r="BI20" s="2122"/>
      <c r="BJ20" s="2122"/>
      <c r="BK20" s="2122"/>
      <c r="BL20" s="2122"/>
      <c r="BM20" s="2122"/>
      <c r="BN20" s="2122"/>
      <c r="BO20" s="2122"/>
      <c r="BP20" s="2122"/>
      <c r="BQ20" s="2122"/>
      <c r="BR20" s="2122"/>
      <c r="BS20" s="2122"/>
      <c r="BT20" s="2122"/>
      <c r="BU20" s="2122"/>
      <c r="BV20" s="2122"/>
      <c r="BW20" s="2122"/>
      <c r="BX20" s="2122"/>
      <c r="BY20" s="2122"/>
      <c r="BZ20" s="2122"/>
      <c r="CA20" s="2122"/>
      <c r="CB20" s="2122"/>
      <c r="CC20" s="2122"/>
      <c r="CD20" s="2122"/>
      <c r="CE20" s="2122"/>
      <c r="CF20" s="2122"/>
      <c r="CG20" s="2122"/>
      <c r="CH20" s="2122"/>
      <c r="CI20" s="2122"/>
      <c r="CJ20" s="2122"/>
      <c r="CK20" s="2122"/>
      <c r="CL20" s="2122"/>
      <c r="CM20" s="2122"/>
      <c r="CN20" s="2122"/>
      <c r="CO20" s="2122"/>
      <c r="CP20" s="2122"/>
      <c r="CQ20" s="2122"/>
      <c r="CR20" s="2122"/>
      <c r="CS20" s="2122"/>
      <c r="CT20" s="2122"/>
      <c r="CU20" s="2122"/>
      <c r="CV20" s="2122"/>
      <c r="CW20" s="2122"/>
      <c r="CX20" s="2122"/>
      <c r="CY20" s="2122"/>
      <c r="CZ20" s="2122"/>
      <c r="DA20" s="2122"/>
      <c r="DB20" s="2122"/>
      <c r="DC20" s="2122"/>
      <c r="DD20" s="2122"/>
      <c r="DE20" s="2122"/>
      <c r="DF20" s="2122"/>
      <c r="DG20" s="2122"/>
      <c r="DH20" s="2122"/>
      <c r="DI20" s="2122"/>
      <c r="DJ20" s="2122"/>
      <c r="DK20" s="2122"/>
      <c r="DL20" s="2122"/>
      <c r="DM20" s="2122"/>
      <c r="DN20" s="2122"/>
      <c r="DO20" s="2122"/>
      <c r="DP20" s="2122"/>
      <c r="DQ20" s="2122"/>
      <c r="DR20" s="2122"/>
      <c r="DS20" s="2122"/>
      <c r="DT20" s="2122"/>
      <c r="DU20" s="2122"/>
      <c r="DV20" s="2122"/>
      <c r="DW20" s="2122"/>
      <c r="DX20" s="2122"/>
      <c r="DY20" s="2122"/>
    </row>
    <row r="21" spans="1:129" s="1880" customFormat="1" ht="66" hidden="1" customHeight="1">
      <c r="A21" s="3737"/>
      <c r="B21" s="1748" t="str">
        <f t="shared" si="0"/>
        <v>2000002472</v>
      </c>
      <c r="C21" s="1851" t="s">
        <v>3856</v>
      </c>
      <c r="D21" s="1915"/>
      <c r="E21" s="1851"/>
      <c r="F21" s="1935" t="s">
        <v>89</v>
      </c>
      <c r="G21" s="1495"/>
      <c r="H21" s="1947"/>
      <c r="I21" s="1851" t="s">
        <v>19</v>
      </c>
      <c r="J21" s="1851" t="s">
        <v>1138</v>
      </c>
      <c r="K21" s="1628" t="s">
        <v>7427</v>
      </c>
      <c r="L21" s="2408">
        <v>700</v>
      </c>
      <c r="M21" s="1497"/>
      <c r="N21" s="1630"/>
      <c r="O21" s="1882"/>
      <c r="P21" s="1883"/>
      <c r="Q21" s="1883"/>
      <c r="R21" s="1883"/>
      <c r="S21" s="1883"/>
      <c r="T21" s="1883"/>
      <c r="U21" s="1883"/>
      <c r="V21" s="1883"/>
      <c r="W21" s="1883"/>
      <c r="X21" s="1883"/>
      <c r="Y21" s="1883"/>
      <c r="Z21" s="1883"/>
      <c r="AA21" s="1883"/>
      <c r="AB21" s="1883"/>
      <c r="AC21" s="1883"/>
      <c r="AD21" s="1883"/>
      <c r="AE21" s="1883"/>
      <c r="AF21" s="1883"/>
      <c r="AG21" s="1883"/>
      <c r="AH21" s="1883"/>
      <c r="AI21" s="1883"/>
      <c r="AJ21" s="1883"/>
      <c r="AK21" s="1883"/>
      <c r="AL21" s="1883"/>
      <c r="AM21" s="1883"/>
      <c r="AN21" s="1883"/>
      <c r="AO21" s="1883"/>
      <c r="AP21" s="1883"/>
      <c r="AQ21" s="1883"/>
      <c r="AR21" s="1883"/>
      <c r="AS21" s="1883"/>
      <c r="AT21" s="1883"/>
      <c r="AU21" s="1883"/>
      <c r="AV21" s="1883"/>
      <c r="AW21" s="1883"/>
      <c r="AX21" s="1883"/>
      <c r="AY21" s="1883"/>
      <c r="AZ21" s="1883"/>
      <c r="BA21" s="1883"/>
      <c r="BB21" s="1883"/>
      <c r="BC21" s="1883"/>
      <c r="BD21" s="1883"/>
      <c r="BE21" s="1883"/>
      <c r="BF21" s="1883"/>
      <c r="BG21" s="1883"/>
      <c r="BH21" s="1883"/>
      <c r="BI21" s="1883"/>
      <c r="BJ21" s="1883"/>
      <c r="BK21" s="1883"/>
      <c r="BL21" s="1883"/>
      <c r="BM21" s="1883"/>
      <c r="BN21" s="1883"/>
      <c r="BO21" s="1883"/>
      <c r="BP21" s="1883"/>
      <c r="BQ21" s="1883"/>
      <c r="BR21" s="1883"/>
      <c r="BS21" s="1883"/>
      <c r="BT21" s="1883"/>
      <c r="BU21" s="1883"/>
      <c r="BV21" s="1883"/>
      <c r="BW21" s="1883"/>
      <c r="BX21" s="1883"/>
      <c r="BY21" s="1883"/>
      <c r="BZ21" s="1883"/>
      <c r="CA21" s="1883"/>
      <c r="CB21" s="1883"/>
      <c r="CC21" s="1883"/>
      <c r="CD21" s="1883"/>
      <c r="CE21" s="1883"/>
      <c r="CF21" s="1883"/>
      <c r="CG21" s="1883"/>
      <c r="CH21" s="1883"/>
      <c r="CI21" s="1883"/>
      <c r="CJ21" s="1883"/>
      <c r="CK21" s="1883"/>
      <c r="CL21" s="1883"/>
      <c r="CM21" s="1883"/>
      <c r="CN21" s="1883"/>
      <c r="CO21" s="1883"/>
      <c r="CP21" s="1883"/>
      <c r="CQ21" s="1883"/>
      <c r="CR21" s="1883"/>
      <c r="CS21" s="1883"/>
      <c r="CT21" s="1883"/>
      <c r="CU21" s="1883"/>
      <c r="CV21" s="1883"/>
      <c r="CW21" s="1883"/>
      <c r="CX21" s="1883"/>
      <c r="CY21" s="1883"/>
      <c r="CZ21" s="1883"/>
      <c r="DA21" s="1883"/>
      <c r="DB21" s="1883"/>
      <c r="DC21" s="1883"/>
      <c r="DD21" s="1883"/>
      <c r="DE21" s="1883"/>
      <c r="DF21" s="1883"/>
      <c r="DG21" s="1883"/>
      <c r="DH21" s="1883"/>
      <c r="DI21" s="1883"/>
      <c r="DJ21" s="1883"/>
      <c r="DK21" s="1883"/>
      <c r="DL21" s="1883"/>
      <c r="DM21" s="1883"/>
      <c r="DN21" s="1883"/>
      <c r="DO21" s="1883"/>
      <c r="DP21" s="1883"/>
      <c r="DQ21" s="1883"/>
      <c r="DR21" s="1883"/>
      <c r="DS21" s="1883"/>
      <c r="DT21" s="1883"/>
      <c r="DU21" s="1883"/>
      <c r="DV21" s="1883"/>
      <c r="DW21" s="1883"/>
      <c r="DX21" s="1883"/>
      <c r="DY21" s="1883"/>
    </row>
    <row r="22" spans="1:129" s="2116" customFormat="1" ht="63" hidden="1" customHeight="1">
      <c r="A22" s="2414">
        <v>5</v>
      </c>
      <c r="B22" s="1909" t="str">
        <f t="shared" si="0"/>
        <v>2200001815</v>
      </c>
      <c r="C22" s="2118" t="s">
        <v>2906</v>
      </c>
      <c r="D22" s="2400">
        <v>3500</v>
      </c>
      <c r="E22" s="2118" t="s">
        <v>7428</v>
      </c>
      <c r="F22" s="2401" t="s">
        <v>84</v>
      </c>
      <c r="G22" s="1921" t="s">
        <v>7429</v>
      </c>
      <c r="H22" s="2159" t="s">
        <v>226</v>
      </c>
      <c r="I22" s="2118" t="s">
        <v>19</v>
      </c>
      <c r="J22" s="2118" t="s">
        <v>959</v>
      </c>
      <c r="K22" s="2161" t="s">
        <v>7430</v>
      </c>
      <c r="L22" s="2413">
        <v>3553</v>
      </c>
      <c r="M22" s="2402"/>
      <c r="N22" s="2391"/>
      <c r="O22" s="2403"/>
      <c r="P22" s="2122"/>
      <c r="Q22" s="2122"/>
      <c r="R22" s="2122"/>
      <c r="S22" s="2122"/>
      <c r="T22" s="2122"/>
      <c r="U22" s="2122"/>
      <c r="V22" s="2122"/>
      <c r="W22" s="2122"/>
      <c r="X22" s="2122"/>
      <c r="Y22" s="2122"/>
      <c r="Z22" s="2122"/>
      <c r="AA22" s="2122"/>
      <c r="AB22" s="2122"/>
      <c r="AC22" s="2122"/>
      <c r="AD22" s="2122"/>
      <c r="AE22" s="2122"/>
      <c r="AF22" s="2122"/>
      <c r="AG22" s="2122"/>
      <c r="AH22" s="2122"/>
      <c r="AI22" s="2122"/>
      <c r="AJ22" s="2122"/>
      <c r="AK22" s="2122"/>
      <c r="AL22" s="2122"/>
      <c r="AM22" s="2122"/>
      <c r="AN22" s="2122"/>
      <c r="AO22" s="2122"/>
      <c r="AP22" s="2122"/>
      <c r="AQ22" s="2122"/>
      <c r="AR22" s="2122"/>
      <c r="AS22" s="2122"/>
      <c r="AT22" s="2122"/>
      <c r="AU22" s="2122"/>
      <c r="AV22" s="2122"/>
      <c r="AW22" s="2122"/>
      <c r="AX22" s="2122"/>
      <c r="AY22" s="2122"/>
      <c r="AZ22" s="2122"/>
      <c r="BA22" s="2122"/>
      <c r="BB22" s="2122"/>
      <c r="BC22" s="2122"/>
      <c r="BD22" s="2122"/>
      <c r="BE22" s="2122"/>
      <c r="BF22" s="2122"/>
      <c r="BG22" s="2122"/>
      <c r="BH22" s="2122"/>
      <c r="BI22" s="2122"/>
      <c r="BJ22" s="2122"/>
      <c r="BK22" s="2122"/>
      <c r="BL22" s="2122"/>
      <c r="BM22" s="2122"/>
      <c r="BN22" s="2122"/>
      <c r="BO22" s="2122"/>
      <c r="BP22" s="2122"/>
      <c r="BQ22" s="2122"/>
      <c r="BR22" s="2122"/>
      <c r="BS22" s="2122"/>
      <c r="BT22" s="2122"/>
      <c r="BU22" s="2122"/>
      <c r="BV22" s="2122"/>
      <c r="BW22" s="2122"/>
      <c r="BX22" s="2122"/>
      <c r="BY22" s="2122"/>
      <c r="BZ22" s="2122"/>
      <c r="CA22" s="2122"/>
      <c r="CB22" s="2122"/>
      <c r="CC22" s="2122"/>
      <c r="CD22" s="2122"/>
      <c r="CE22" s="2122"/>
      <c r="CF22" s="2122"/>
      <c r="CG22" s="2122"/>
      <c r="CH22" s="2122"/>
      <c r="CI22" s="2122"/>
      <c r="CJ22" s="2122"/>
      <c r="CK22" s="2122"/>
      <c r="CL22" s="2122"/>
      <c r="CM22" s="2122"/>
      <c r="CN22" s="2122"/>
      <c r="CO22" s="2122"/>
      <c r="CP22" s="2122"/>
      <c r="CQ22" s="2122"/>
      <c r="CR22" s="2122"/>
      <c r="CS22" s="2122"/>
      <c r="CT22" s="2122"/>
      <c r="CU22" s="2122"/>
      <c r="CV22" s="2122"/>
      <c r="CW22" s="2122"/>
      <c r="CX22" s="2122"/>
      <c r="CY22" s="2122"/>
      <c r="CZ22" s="2122"/>
      <c r="DA22" s="2122"/>
      <c r="DB22" s="2122"/>
      <c r="DC22" s="2122"/>
      <c r="DD22" s="2122"/>
      <c r="DE22" s="2122"/>
      <c r="DF22" s="2122"/>
      <c r="DG22" s="2122"/>
      <c r="DH22" s="2122"/>
      <c r="DI22" s="2122"/>
      <c r="DJ22" s="2122"/>
      <c r="DK22" s="2122"/>
      <c r="DL22" s="2122"/>
      <c r="DM22" s="2122"/>
      <c r="DN22" s="2122"/>
      <c r="DO22" s="2122"/>
      <c r="DP22" s="2122"/>
      <c r="DQ22" s="2122"/>
      <c r="DR22" s="2122"/>
      <c r="DS22" s="2122"/>
      <c r="DT22" s="2122"/>
      <c r="DU22" s="2122"/>
      <c r="DV22" s="2122"/>
      <c r="DW22" s="2122"/>
      <c r="DX22" s="2122"/>
      <c r="DY22" s="2122"/>
    </row>
    <row r="23" spans="1:129" s="2116" customFormat="1" ht="76.5" hidden="1" customHeight="1">
      <c r="A23" s="2414">
        <v>6</v>
      </c>
      <c r="B23" s="1909" t="str">
        <f t="shared" si="0"/>
        <v>2000002531</v>
      </c>
      <c r="C23" s="2184" t="s">
        <v>211</v>
      </c>
      <c r="D23" s="2416">
        <v>4000</v>
      </c>
      <c r="E23" s="2184" t="s">
        <v>7431</v>
      </c>
      <c r="F23" s="2417" t="s">
        <v>61</v>
      </c>
      <c r="G23" s="1921" t="s">
        <v>7432</v>
      </c>
      <c r="H23" s="2159" t="s">
        <v>226</v>
      </c>
      <c r="I23" s="2184" t="s">
        <v>19</v>
      </c>
      <c r="J23" s="2184" t="s">
        <v>253</v>
      </c>
      <c r="K23" s="2161" t="s">
        <v>7433</v>
      </c>
      <c r="L23" s="2413">
        <v>4000</v>
      </c>
      <c r="M23" s="2402"/>
      <c r="N23" s="2391"/>
      <c r="O23" s="2403"/>
      <c r="P23" s="2122"/>
      <c r="Q23" s="2122"/>
      <c r="R23" s="2122"/>
      <c r="S23" s="2122"/>
      <c r="T23" s="2122"/>
      <c r="U23" s="2122"/>
      <c r="V23" s="2122"/>
      <c r="W23" s="2122"/>
      <c r="X23" s="2122"/>
      <c r="Y23" s="2122"/>
      <c r="Z23" s="2122"/>
      <c r="AA23" s="2122"/>
      <c r="AB23" s="2122"/>
      <c r="AC23" s="2122"/>
      <c r="AD23" s="2122"/>
      <c r="AE23" s="2122"/>
      <c r="AF23" s="2122"/>
      <c r="AG23" s="2122"/>
      <c r="AH23" s="2122"/>
      <c r="AI23" s="2122"/>
      <c r="AJ23" s="2122"/>
      <c r="AK23" s="2122"/>
      <c r="AL23" s="2122"/>
      <c r="AM23" s="2122"/>
      <c r="AN23" s="2122"/>
      <c r="AO23" s="2122"/>
      <c r="AP23" s="2122"/>
      <c r="AQ23" s="2122"/>
      <c r="AR23" s="2122"/>
      <c r="AS23" s="2122"/>
      <c r="AT23" s="2122"/>
      <c r="AU23" s="2122"/>
      <c r="AV23" s="2122"/>
      <c r="AW23" s="2122"/>
      <c r="AX23" s="2122"/>
      <c r="AY23" s="2122"/>
      <c r="AZ23" s="2122"/>
      <c r="BA23" s="2122"/>
      <c r="BB23" s="2122"/>
      <c r="BC23" s="2122"/>
      <c r="BD23" s="2122"/>
      <c r="BE23" s="2122"/>
      <c r="BF23" s="2122"/>
      <c r="BG23" s="2122"/>
      <c r="BH23" s="2122"/>
      <c r="BI23" s="2122"/>
      <c r="BJ23" s="2122"/>
      <c r="BK23" s="2122"/>
      <c r="BL23" s="2122"/>
      <c r="BM23" s="2122"/>
      <c r="BN23" s="2122"/>
      <c r="BO23" s="2122"/>
      <c r="BP23" s="2122"/>
      <c r="BQ23" s="2122"/>
      <c r="BR23" s="2122"/>
      <c r="BS23" s="2122"/>
      <c r="BT23" s="2122"/>
      <c r="BU23" s="2122"/>
      <c r="BV23" s="2122"/>
      <c r="BW23" s="2122"/>
      <c r="BX23" s="2122"/>
      <c r="BY23" s="2122"/>
      <c r="BZ23" s="2122"/>
      <c r="CA23" s="2122"/>
      <c r="CB23" s="2122"/>
      <c r="CC23" s="2122"/>
      <c r="CD23" s="2122"/>
      <c r="CE23" s="2122"/>
      <c r="CF23" s="2122"/>
      <c r="CG23" s="2122"/>
      <c r="CH23" s="2122"/>
      <c r="CI23" s="2122"/>
      <c r="CJ23" s="2122"/>
      <c r="CK23" s="2122"/>
      <c r="CL23" s="2122"/>
      <c r="CM23" s="2122"/>
      <c r="CN23" s="2122"/>
      <c r="CO23" s="2122"/>
      <c r="CP23" s="2122"/>
      <c r="CQ23" s="2122"/>
      <c r="CR23" s="2122"/>
      <c r="CS23" s="2122"/>
      <c r="CT23" s="2122"/>
      <c r="CU23" s="2122"/>
      <c r="CV23" s="2122"/>
      <c r="CW23" s="2122"/>
      <c r="CX23" s="2122"/>
      <c r="CY23" s="2122"/>
      <c r="CZ23" s="2122"/>
      <c r="DA23" s="2122"/>
      <c r="DB23" s="2122"/>
      <c r="DC23" s="2122"/>
      <c r="DD23" s="2122"/>
      <c r="DE23" s="2122"/>
      <c r="DF23" s="2122"/>
      <c r="DG23" s="2122"/>
      <c r="DH23" s="2122"/>
      <c r="DI23" s="2122"/>
      <c r="DJ23" s="2122"/>
      <c r="DK23" s="2122"/>
      <c r="DL23" s="2122"/>
      <c r="DM23" s="2122"/>
      <c r="DN23" s="2122"/>
      <c r="DO23" s="2122"/>
      <c r="DP23" s="2122"/>
      <c r="DQ23" s="2122"/>
      <c r="DR23" s="2122"/>
      <c r="DS23" s="2122"/>
      <c r="DT23" s="2122"/>
      <c r="DU23" s="2122"/>
      <c r="DV23" s="2122"/>
      <c r="DW23" s="2122"/>
      <c r="DX23" s="2122"/>
      <c r="DY23" s="2122"/>
    </row>
    <row r="24" spans="1:129" s="2373" customFormat="1" ht="75.75" customHeight="1">
      <c r="A24" s="3735">
        <v>7</v>
      </c>
      <c r="B24" s="1909" t="str">
        <f t="shared" si="0"/>
        <v xml:space="preserve">
220000179</v>
      </c>
      <c r="C24" s="1921" t="s">
        <v>98</v>
      </c>
      <c r="D24" s="2418">
        <v>4200</v>
      </c>
      <c r="E24" s="1921" t="s">
        <v>7434</v>
      </c>
      <c r="F24" s="1902" t="s">
        <v>61</v>
      </c>
      <c r="G24" s="2419" t="s">
        <v>7432</v>
      </c>
      <c r="H24" s="2424" t="s">
        <v>226</v>
      </c>
      <c r="I24" s="1921" t="s">
        <v>19</v>
      </c>
      <c r="J24" s="1921" t="s">
        <v>959</v>
      </c>
      <c r="K24" s="2702" t="s">
        <v>7435</v>
      </c>
      <c r="L24" s="2421">
        <v>493</v>
      </c>
      <c r="M24" s="2422" t="s">
        <v>7436</v>
      </c>
      <c r="N24" s="2198"/>
      <c r="O24" s="2423"/>
      <c r="P24" s="2129"/>
      <c r="Q24" s="2129"/>
      <c r="R24" s="2129"/>
      <c r="S24" s="2129"/>
      <c r="T24" s="2129"/>
      <c r="U24" s="2129"/>
      <c r="V24" s="2129"/>
      <c r="W24" s="2129"/>
      <c r="X24" s="2129"/>
      <c r="Y24" s="2129"/>
      <c r="Z24" s="2129"/>
      <c r="AA24" s="2129"/>
      <c r="AB24" s="2129"/>
      <c r="AC24" s="2129"/>
      <c r="AD24" s="2129"/>
      <c r="AE24" s="2129"/>
      <c r="AF24" s="2129"/>
      <c r="AG24" s="2129"/>
      <c r="AH24" s="2129"/>
      <c r="AI24" s="2129"/>
      <c r="AJ24" s="2129"/>
      <c r="AK24" s="2129"/>
      <c r="AL24" s="2129"/>
      <c r="AM24" s="2129"/>
      <c r="AN24" s="2129"/>
      <c r="AO24" s="2129"/>
      <c r="AP24" s="2129"/>
      <c r="AQ24" s="2129"/>
      <c r="AR24" s="2129"/>
      <c r="AS24" s="2129"/>
      <c r="AT24" s="2129"/>
      <c r="AU24" s="2129"/>
      <c r="AV24" s="2129"/>
      <c r="AW24" s="2129"/>
      <c r="AX24" s="2129"/>
      <c r="AY24" s="2129"/>
      <c r="AZ24" s="2129"/>
      <c r="BA24" s="2129"/>
      <c r="BB24" s="2129"/>
      <c r="BC24" s="2129"/>
      <c r="BD24" s="2129"/>
      <c r="BE24" s="2129"/>
      <c r="BF24" s="2129"/>
      <c r="BG24" s="2129"/>
      <c r="BH24" s="2129"/>
      <c r="BI24" s="2129"/>
      <c r="BJ24" s="2129"/>
      <c r="BK24" s="2129"/>
      <c r="BL24" s="2129"/>
      <c r="BM24" s="2129"/>
      <c r="BN24" s="2129"/>
      <c r="BO24" s="2129"/>
      <c r="BP24" s="2129"/>
      <c r="BQ24" s="2129"/>
      <c r="BR24" s="2129"/>
      <c r="BS24" s="2129"/>
      <c r="BT24" s="2129"/>
      <c r="BU24" s="2129"/>
      <c r="BV24" s="2129"/>
      <c r="BW24" s="2129"/>
      <c r="BX24" s="2129"/>
      <c r="BY24" s="2129"/>
      <c r="BZ24" s="2129"/>
      <c r="CA24" s="2129"/>
      <c r="CB24" s="2129"/>
      <c r="CC24" s="2129"/>
      <c r="CD24" s="2129"/>
      <c r="CE24" s="2129"/>
      <c r="CF24" s="2129"/>
      <c r="CG24" s="2129"/>
      <c r="CH24" s="2129"/>
      <c r="CI24" s="2129"/>
      <c r="CJ24" s="2129"/>
      <c r="CK24" s="2129"/>
      <c r="CL24" s="2129"/>
      <c r="CM24" s="2129"/>
      <c r="CN24" s="2129"/>
      <c r="CO24" s="2129"/>
      <c r="CP24" s="2129"/>
      <c r="CQ24" s="2129"/>
      <c r="CR24" s="2129"/>
      <c r="CS24" s="2129"/>
      <c r="CT24" s="2129"/>
      <c r="CU24" s="2129"/>
      <c r="CV24" s="2129"/>
      <c r="CW24" s="2129"/>
      <c r="CX24" s="2129"/>
      <c r="CY24" s="2129"/>
      <c r="CZ24" s="2129"/>
      <c r="DA24" s="2129"/>
      <c r="DB24" s="2129"/>
      <c r="DC24" s="2129"/>
      <c r="DD24" s="2129"/>
      <c r="DE24" s="2129"/>
      <c r="DF24" s="2129"/>
      <c r="DG24" s="2129"/>
      <c r="DH24" s="2129"/>
      <c r="DI24" s="2129"/>
      <c r="DJ24" s="2129"/>
      <c r="DK24" s="2129"/>
      <c r="DL24" s="2129"/>
      <c r="DM24" s="2129"/>
      <c r="DN24" s="2129"/>
      <c r="DO24" s="2129"/>
      <c r="DP24" s="2129"/>
      <c r="DQ24" s="2129"/>
      <c r="DR24" s="2129"/>
      <c r="DS24" s="2129"/>
      <c r="DT24" s="2129"/>
      <c r="DU24" s="2129"/>
      <c r="DV24" s="2129"/>
      <c r="DW24" s="2129"/>
      <c r="DX24" s="2129"/>
      <c r="DY24" s="2129"/>
    </row>
    <row r="25" spans="1:129" s="1958" customFormat="1" ht="59.25" hidden="1" customHeight="1">
      <c r="A25" s="3736"/>
      <c r="B25" s="1909" t="str">
        <f t="shared" si="0"/>
        <v>2200001813</v>
      </c>
      <c r="C25" s="1495" t="s">
        <v>98</v>
      </c>
      <c r="D25" s="1901"/>
      <c r="E25" s="1495"/>
      <c r="F25" s="1493" t="s">
        <v>61</v>
      </c>
      <c r="G25" s="1568"/>
      <c r="H25" s="1773"/>
      <c r="I25" s="1495" t="s">
        <v>19</v>
      </c>
      <c r="J25" s="1495" t="s">
        <v>959</v>
      </c>
      <c r="K25" s="1886" t="s">
        <v>7437</v>
      </c>
      <c r="L25" s="2415">
        <v>385</v>
      </c>
      <c r="M25" s="1600"/>
      <c r="N25" s="1493"/>
      <c r="O25" s="1790"/>
      <c r="P25" s="1548"/>
      <c r="Q25" s="1548"/>
      <c r="R25" s="1548"/>
      <c r="S25" s="1548"/>
      <c r="T25" s="1548"/>
      <c r="U25" s="1548"/>
      <c r="V25" s="1548"/>
      <c r="W25" s="1548"/>
      <c r="X25" s="1548"/>
      <c r="Y25" s="1548"/>
      <c r="Z25" s="1548"/>
      <c r="AA25" s="1548"/>
      <c r="AB25" s="1548"/>
      <c r="AC25" s="1548"/>
      <c r="AD25" s="1548"/>
      <c r="AE25" s="1548"/>
      <c r="AF25" s="1548"/>
      <c r="AG25" s="1548"/>
      <c r="AH25" s="1548"/>
      <c r="AI25" s="1548"/>
      <c r="AJ25" s="1548"/>
      <c r="AK25" s="1548"/>
      <c r="AL25" s="1548"/>
      <c r="AM25" s="1548"/>
      <c r="AN25" s="1548"/>
      <c r="AO25" s="1548"/>
      <c r="AP25" s="1548"/>
      <c r="AQ25" s="1548"/>
      <c r="AR25" s="1548"/>
      <c r="AS25" s="1548"/>
      <c r="AT25" s="1548"/>
      <c r="AU25" s="1548"/>
      <c r="AV25" s="1548"/>
      <c r="AW25" s="1548"/>
      <c r="AX25" s="1548"/>
      <c r="AY25" s="1548"/>
      <c r="AZ25" s="1548"/>
      <c r="BA25" s="1548"/>
      <c r="BB25" s="1548"/>
      <c r="BC25" s="1548"/>
      <c r="BD25" s="1548"/>
      <c r="BE25" s="1548"/>
      <c r="BF25" s="1548"/>
      <c r="BG25" s="1548"/>
      <c r="BH25" s="1548"/>
      <c r="BI25" s="1548"/>
      <c r="BJ25" s="1548"/>
      <c r="BK25" s="1548"/>
      <c r="BL25" s="1548"/>
      <c r="BM25" s="1548"/>
      <c r="BN25" s="1548"/>
      <c r="BO25" s="1548"/>
      <c r="BP25" s="1548"/>
      <c r="BQ25" s="1548"/>
      <c r="BR25" s="1548"/>
      <c r="BS25" s="1548"/>
      <c r="BT25" s="1548"/>
      <c r="BU25" s="1548"/>
      <c r="BV25" s="1548"/>
      <c r="BW25" s="1548"/>
      <c r="BX25" s="1548"/>
      <c r="BY25" s="1548"/>
      <c r="BZ25" s="1548"/>
      <c r="CA25" s="1548"/>
      <c r="CB25" s="1548"/>
      <c r="CC25" s="1548"/>
      <c r="CD25" s="1548"/>
      <c r="CE25" s="1548"/>
      <c r="CF25" s="1548"/>
      <c r="CG25" s="1548"/>
      <c r="CH25" s="1548"/>
      <c r="CI25" s="1548"/>
      <c r="CJ25" s="1548"/>
      <c r="CK25" s="1548"/>
      <c r="CL25" s="1548"/>
      <c r="CM25" s="1548"/>
      <c r="CN25" s="1548"/>
      <c r="CO25" s="1548"/>
      <c r="CP25" s="1548"/>
      <c r="CQ25" s="1548"/>
      <c r="CR25" s="1548"/>
      <c r="CS25" s="1548"/>
      <c r="CT25" s="1548"/>
      <c r="CU25" s="1548"/>
      <c r="CV25" s="1548"/>
      <c r="CW25" s="1548"/>
      <c r="CX25" s="1548"/>
      <c r="CY25" s="1548"/>
      <c r="CZ25" s="1548"/>
      <c r="DA25" s="1548"/>
      <c r="DB25" s="1548"/>
      <c r="DC25" s="1548"/>
      <c r="DD25" s="1548"/>
      <c r="DE25" s="1548"/>
      <c r="DF25" s="1548"/>
      <c r="DG25" s="1548"/>
      <c r="DH25" s="1548"/>
      <c r="DI25" s="1548"/>
      <c r="DJ25" s="1548"/>
      <c r="DK25" s="1548"/>
      <c r="DL25" s="1548"/>
      <c r="DM25" s="1548"/>
      <c r="DN25" s="1548"/>
      <c r="DO25" s="1548"/>
      <c r="DP25" s="1548"/>
      <c r="DQ25" s="1548"/>
      <c r="DR25" s="1548"/>
      <c r="DS25" s="1548"/>
      <c r="DT25" s="1548"/>
      <c r="DU25" s="1548"/>
      <c r="DV25" s="1548"/>
      <c r="DW25" s="1548"/>
      <c r="DX25" s="1548"/>
      <c r="DY25" s="1548"/>
    </row>
    <row r="26" spans="1:129" s="1977" customFormat="1" ht="59.25" hidden="1" customHeight="1">
      <c r="A26" s="3737"/>
      <c r="B26" s="2261" t="str">
        <f t="shared" si="0"/>
        <v>2200001816</v>
      </c>
      <c r="C26" s="1543" t="s">
        <v>98</v>
      </c>
      <c r="D26" s="1913"/>
      <c r="E26" s="1543"/>
      <c r="F26" s="1545" t="s">
        <v>61</v>
      </c>
      <c r="G26" s="1900"/>
      <c r="H26" s="1899"/>
      <c r="I26" s="1543" t="s">
        <v>19</v>
      </c>
      <c r="J26" s="1543" t="s">
        <v>959</v>
      </c>
      <c r="K26" s="2141" t="s">
        <v>7438</v>
      </c>
      <c r="L26" s="2425">
        <v>3300</v>
      </c>
      <c r="M26" s="1605"/>
      <c r="N26" s="1545"/>
      <c r="O26" s="1852"/>
      <c r="P26" s="1559"/>
      <c r="Q26" s="1559"/>
      <c r="R26" s="1559"/>
      <c r="S26" s="1559"/>
      <c r="T26" s="1559"/>
      <c r="U26" s="1559"/>
      <c r="V26" s="1559"/>
      <c r="W26" s="1559"/>
      <c r="X26" s="1559"/>
      <c r="Y26" s="1559"/>
      <c r="Z26" s="1559"/>
      <c r="AA26" s="1559"/>
      <c r="AB26" s="1559"/>
      <c r="AC26" s="1559"/>
      <c r="AD26" s="1559"/>
      <c r="AE26" s="1559"/>
      <c r="AF26" s="1559"/>
      <c r="AG26" s="1559"/>
      <c r="AH26" s="1559"/>
      <c r="AI26" s="1559"/>
      <c r="AJ26" s="1559"/>
      <c r="AK26" s="1559"/>
      <c r="AL26" s="1559"/>
      <c r="AM26" s="1559"/>
      <c r="AN26" s="1559"/>
      <c r="AO26" s="1559"/>
      <c r="AP26" s="1559"/>
      <c r="AQ26" s="1559"/>
      <c r="AR26" s="1559"/>
      <c r="AS26" s="1559"/>
      <c r="AT26" s="1559"/>
      <c r="AU26" s="1559"/>
      <c r="AV26" s="1559"/>
      <c r="AW26" s="1559"/>
      <c r="AX26" s="1559"/>
      <c r="AY26" s="1559"/>
      <c r="AZ26" s="1559"/>
      <c r="BA26" s="1559"/>
      <c r="BB26" s="1559"/>
      <c r="BC26" s="1559"/>
      <c r="BD26" s="1559"/>
      <c r="BE26" s="1559"/>
      <c r="BF26" s="1559"/>
      <c r="BG26" s="1559"/>
      <c r="BH26" s="1559"/>
      <c r="BI26" s="1559"/>
      <c r="BJ26" s="1559"/>
      <c r="BK26" s="1559"/>
      <c r="BL26" s="1559"/>
      <c r="BM26" s="1559"/>
      <c r="BN26" s="1559"/>
      <c r="BO26" s="1559"/>
      <c r="BP26" s="1559"/>
      <c r="BQ26" s="1559"/>
      <c r="BR26" s="1559"/>
      <c r="BS26" s="1559"/>
      <c r="BT26" s="1559"/>
      <c r="BU26" s="1559"/>
      <c r="BV26" s="1559"/>
      <c r="BW26" s="1559"/>
      <c r="BX26" s="1559"/>
      <c r="BY26" s="1559"/>
      <c r="BZ26" s="1559"/>
      <c r="CA26" s="1559"/>
      <c r="CB26" s="1559"/>
      <c r="CC26" s="1559"/>
      <c r="CD26" s="1559"/>
      <c r="CE26" s="1559"/>
      <c r="CF26" s="1559"/>
      <c r="CG26" s="1559"/>
      <c r="CH26" s="1559"/>
      <c r="CI26" s="1559"/>
      <c r="CJ26" s="1559"/>
      <c r="CK26" s="1559"/>
      <c r="CL26" s="1559"/>
      <c r="CM26" s="1559"/>
      <c r="CN26" s="1559"/>
      <c r="CO26" s="1559"/>
      <c r="CP26" s="1559"/>
      <c r="CQ26" s="1559"/>
      <c r="CR26" s="1559"/>
      <c r="CS26" s="1559"/>
      <c r="CT26" s="1559"/>
      <c r="CU26" s="1559"/>
      <c r="CV26" s="1559"/>
      <c r="CW26" s="1559"/>
      <c r="CX26" s="1559"/>
      <c r="CY26" s="1559"/>
      <c r="CZ26" s="1559"/>
      <c r="DA26" s="1559"/>
      <c r="DB26" s="1559"/>
      <c r="DC26" s="1559"/>
      <c r="DD26" s="1559"/>
      <c r="DE26" s="1559"/>
      <c r="DF26" s="1559"/>
      <c r="DG26" s="1559"/>
      <c r="DH26" s="1559"/>
      <c r="DI26" s="1559"/>
      <c r="DJ26" s="1559"/>
      <c r="DK26" s="1559"/>
      <c r="DL26" s="1559"/>
      <c r="DM26" s="1559"/>
      <c r="DN26" s="1559"/>
      <c r="DO26" s="1559"/>
      <c r="DP26" s="1559"/>
      <c r="DQ26" s="1559"/>
      <c r="DR26" s="1559"/>
      <c r="DS26" s="1559"/>
      <c r="DT26" s="1559"/>
      <c r="DU26" s="1559"/>
      <c r="DV26" s="1559"/>
      <c r="DW26" s="1559"/>
      <c r="DX26" s="1559"/>
      <c r="DY26" s="1559"/>
    </row>
    <row r="27" spans="1:129" s="2430" customFormat="1" ht="55.5" hidden="1" customHeight="1">
      <c r="A27" s="3738">
        <v>8</v>
      </c>
      <c r="B27" s="1909" t="str">
        <f t="shared" si="0"/>
        <v>2000002539</v>
      </c>
      <c r="C27" s="1921" t="s">
        <v>3699</v>
      </c>
      <c r="D27" s="2418">
        <v>4300</v>
      </c>
      <c r="E27" s="1921" t="s">
        <v>7439</v>
      </c>
      <c r="F27" s="1902" t="s">
        <v>61</v>
      </c>
      <c r="G27" s="1921" t="s">
        <v>7440</v>
      </c>
      <c r="H27" s="1921" t="s">
        <v>226</v>
      </c>
      <c r="I27" s="1921" t="s">
        <v>19</v>
      </c>
      <c r="J27" s="1921" t="s">
        <v>74</v>
      </c>
      <c r="K27" s="2194" t="s">
        <v>7441</v>
      </c>
      <c r="L27" s="2428">
        <v>2300</v>
      </c>
      <c r="M27" s="1845" t="s">
        <v>4830</v>
      </c>
      <c r="N27" s="1902"/>
      <c r="O27" s="2429"/>
      <c r="P27" s="2150"/>
      <c r="Q27" s="2150"/>
      <c r="R27" s="2150"/>
      <c r="S27" s="2150"/>
      <c r="T27" s="2150"/>
      <c r="U27" s="2150"/>
      <c r="V27" s="2150"/>
      <c r="W27" s="2150"/>
      <c r="X27" s="2150"/>
      <c r="Y27" s="2150"/>
      <c r="Z27" s="2150"/>
      <c r="AA27" s="2150"/>
      <c r="AB27" s="2150"/>
      <c r="AC27" s="2150"/>
      <c r="AD27" s="2150"/>
      <c r="AE27" s="2150"/>
      <c r="AF27" s="2150"/>
      <c r="AG27" s="2150"/>
      <c r="AH27" s="2150"/>
      <c r="AI27" s="2150"/>
      <c r="AJ27" s="2150"/>
      <c r="AK27" s="2150"/>
      <c r="AL27" s="2150"/>
      <c r="AM27" s="2150"/>
      <c r="AN27" s="2150"/>
      <c r="AO27" s="2150"/>
      <c r="AP27" s="2150"/>
      <c r="AQ27" s="2150"/>
      <c r="AR27" s="2150"/>
      <c r="AS27" s="2150"/>
      <c r="AT27" s="2150"/>
      <c r="AU27" s="2150"/>
      <c r="AV27" s="2150"/>
      <c r="AW27" s="2150"/>
      <c r="AX27" s="2150"/>
      <c r="AY27" s="2150"/>
      <c r="AZ27" s="2150"/>
      <c r="BA27" s="2150"/>
      <c r="BB27" s="2150"/>
      <c r="BC27" s="2150"/>
      <c r="BD27" s="2150"/>
      <c r="BE27" s="2150"/>
      <c r="BF27" s="2150"/>
      <c r="BG27" s="2150"/>
      <c r="BH27" s="2150"/>
      <c r="BI27" s="2150"/>
      <c r="BJ27" s="2150"/>
      <c r="BK27" s="2150"/>
      <c r="BL27" s="2150"/>
      <c r="BM27" s="2150"/>
      <c r="BN27" s="2150"/>
      <c r="BO27" s="2150"/>
      <c r="BP27" s="2150"/>
      <c r="BQ27" s="2150"/>
      <c r="BR27" s="2150"/>
      <c r="BS27" s="2150"/>
      <c r="BT27" s="2150"/>
      <c r="BU27" s="2150"/>
      <c r="BV27" s="2150"/>
      <c r="BW27" s="2150"/>
      <c r="BX27" s="2150"/>
      <c r="BY27" s="2150"/>
      <c r="BZ27" s="2150"/>
      <c r="CA27" s="2150"/>
      <c r="CB27" s="2150"/>
      <c r="CC27" s="2150"/>
      <c r="CD27" s="2150"/>
      <c r="CE27" s="2150"/>
      <c r="CF27" s="2150"/>
      <c r="CG27" s="2150"/>
      <c r="CH27" s="2150"/>
      <c r="CI27" s="2150"/>
      <c r="CJ27" s="2150"/>
      <c r="CK27" s="2150"/>
      <c r="CL27" s="2150"/>
      <c r="CM27" s="2150"/>
      <c r="CN27" s="2150"/>
      <c r="CO27" s="2150"/>
      <c r="CP27" s="2150"/>
      <c r="CQ27" s="2150"/>
      <c r="CR27" s="2150"/>
      <c r="CS27" s="2150"/>
      <c r="CT27" s="2150"/>
      <c r="CU27" s="2150"/>
      <c r="CV27" s="2150"/>
      <c r="CW27" s="2150"/>
      <c r="CX27" s="2150"/>
      <c r="CY27" s="2150"/>
      <c r="CZ27" s="2150"/>
      <c r="DA27" s="2150"/>
      <c r="DB27" s="2150"/>
      <c r="DC27" s="2150"/>
      <c r="DD27" s="2150"/>
      <c r="DE27" s="2150"/>
      <c r="DF27" s="2150"/>
      <c r="DG27" s="2150"/>
      <c r="DH27" s="2150"/>
      <c r="DI27" s="2150"/>
      <c r="DJ27" s="2150"/>
      <c r="DK27" s="2150"/>
      <c r="DL27" s="2150"/>
      <c r="DM27" s="2150"/>
      <c r="DN27" s="2150"/>
      <c r="DO27" s="2150"/>
      <c r="DP27" s="2150"/>
      <c r="DQ27" s="2150"/>
      <c r="DR27" s="2150"/>
      <c r="DS27" s="2150"/>
      <c r="DT27" s="2150"/>
      <c r="DU27" s="2150"/>
      <c r="DV27" s="2150"/>
      <c r="DW27" s="2150"/>
      <c r="DX27" s="2150"/>
      <c r="DY27" s="2150"/>
    </row>
    <row r="28" spans="1:129" s="1958" customFormat="1" ht="55.5" hidden="1" customHeight="1">
      <c r="A28" s="3738"/>
      <c r="B28" s="1909" t="str">
        <f t="shared" si="0"/>
        <v>2000002540</v>
      </c>
      <c r="C28" s="1495" t="s">
        <v>3699</v>
      </c>
      <c r="D28" s="1901"/>
      <c r="E28" s="1495"/>
      <c r="F28" s="1493" t="s">
        <v>61</v>
      </c>
      <c r="G28" s="1495"/>
      <c r="H28" s="1495"/>
      <c r="I28" s="1495" t="s">
        <v>19</v>
      </c>
      <c r="J28" s="1495" t="s">
        <v>74</v>
      </c>
      <c r="K28" s="1496" t="s">
        <v>7442</v>
      </c>
      <c r="L28" s="2415">
        <v>1000</v>
      </c>
      <c r="M28" s="1600"/>
      <c r="N28" s="1493"/>
      <c r="O28" s="1790"/>
      <c r="P28" s="1548"/>
      <c r="Q28" s="1548"/>
      <c r="R28" s="1548"/>
      <c r="S28" s="1548"/>
      <c r="T28" s="1548"/>
      <c r="U28" s="1548"/>
      <c r="V28" s="1548"/>
      <c r="W28" s="1548"/>
      <c r="X28" s="1548"/>
      <c r="Y28" s="1548"/>
      <c r="Z28" s="1548"/>
      <c r="AA28" s="1548"/>
      <c r="AB28" s="1548"/>
      <c r="AC28" s="1548"/>
      <c r="AD28" s="1548"/>
      <c r="AE28" s="1548"/>
      <c r="AF28" s="1548"/>
      <c r="AG28" s="1548"/>
      <c r="AH28" s="1548"/>
      <c r="AI28" s="1548"/>
      <c r="AJ28" s="1548"/>
      <c r="AK28" s="1548"/>
      <c r="AL28" s="1548"/>
      <c r="AM28" s="1548"/>
      <c r="AN28" s="1548"/>
      <c r="AO28" s="1548"/>
      <c r="AP28" s="1548"/>
      <c r="AQ28" s="1548"/>
      <c r="AR28" s="1548"/>
      <c r="AS28" s="1548"/>
      <c r="AT28" s="1548"/>
      <c r="AU28" s="1548"/>
      <c r="AV28" s="1548"/>
      <c r="AW28" s="1548"/>
      <c r="AX28" s="1548"/>
      <c r="AY28" s="1548"/>
      <c r="AZ28" s="1548"/>
      <c r="BA28" s="1548"/>
      <c r="BB28" s="1548"/>
      <c r="BC28" s="1548"/>
      <c r="BD28" s="1548"/>
      <c r="BE28" s="1548"/>
      <c r="BF28" s="1548"/>
      <c r="BG28" s="1548"/>
      <c r="BH28" s="1548"/>
      <c r="BI28" s="1548"/>
      <c r="BJ28" s="1548"/>
      <c r="BK28" s="1548"/>
      <c r="BL28" s="1548"/>
      <c r="BM28" s="1548"/>
      <c r="BN28" s="1548"/>
      <c r="BO28" s="1548"/>
      <c r="BP28" s="1548"/>
      <c r="BQ28" s="1548"/>
      <c r="BR28" s="1548"/>
      <c r="BS28" s="1548"/>
      <c r="BT28" s="1548"/>
      <c r="BU28" s="1548"/>
      <c r="BV28" s="1548"/>
      <c r="BW28" s="1548"/>
      <c r="BX28" s="1548"/>
      <c r="BY28" s="1548"/>
      <c r="BZ28" s="1548"/>
      <c r="CA28" s="1548"/>
      <c r="CB28" s="1548"/>
      <c r="CC28" s="1548"/>
      <c r="CD28" s="1548"/>
      <c r="CE28" s="1548"/>
      <c r="CF28" s="1548"/>
      <c r="CG28" s="1548"/>
      <c r="CH28" s="1548"/>
      <c r="CI28" s="1548"/>
      <c r="CJ28" s="1548"/>
      <c r="CK28" s="1548"/>
      <c r="CL28" s="1548"/>
      <c r="CM28" s="1548"/>
      <c r="CN28" s="1548"/>
      <c r="CO28" s="1548"/>
      <c r="CP28" s="1548"/>
      <c r="CQ28" s="1548"/>
      <c r="CR28" s="1548"/>
      <c r="CS28" s="1548"/>
      <c r="CT28" s="1548"/>
      <c r="CU28" s="1548"/>
      <c r="CV28" s="1548"/>
      <c r="CW28" s="1548"/>
      <c r="CX28" s="1548"/>
      <c r="CY28" s="1548"/>
      <c r="CZ28" s="1548"/>
      <c r="DA28" s="1548"/>
      <c r="DB28" s="1548"/>
      <c r="DC28" s="1548"/>
      <c r="DD28" s="1548"/>
      <c r="DE28" s="1548"/>
      <c r="DF28" s="1548"/>
      <c r="DG28" s="1548"/>
      <c r="DH28" s="1548"/>
      <c r="DI28" s="1548"/>
      <c r="DJ28" s="1548"/>
      <c r="DK28" s="1548"/>
      <c r="DL28" s="1548"/>
      <c r="DM28" s="1548"/>
      <c r="DN28" s="1548"/>
      <c r="DO28" s="1548"/>
      <c r="DP28" s="1548"/>
      <c r="DQ28" s="1548"/>
      <c r="DR28" s="1548"/>
      <c r="DS28" s="1548"/>
      <c r="DT28" s="1548"/>
      <c r="DU28" s="1548"/>
      <c r="DV28" s="1548"/>
      <c r="DW28" s="1548"/>
      <c r="DX28" s="1548"/>
      <c r="DY28" s="1548"/>
    </row>
    <row r="29" spans="1:129" s="1958" customFormat="1" ht="55.5" hidden="1" customHeight="1">
      <c r="A29" s="3738"/>
      <c r="B29" s="1909" t="str">
        <f t="shared" si="0"/>
        <v>2000002525</v>
      </c>
      <c r="C29" s="1495" t="s">
        <v>3699</v>
      </c>
      <c r="D29" s="1901"/>
      <c r="E29" s="1495"/>
      <c r="F29" s="1493" t="s">
        <v>61</v>
      </c>
      <c r="G29" s="1495"/>
      <c r="H29" s="1543"/>
      <c r="I29" s="1495" t="s">
        <v>19</v>
      </c>
      <c r="J29" s="1495" t="s">
        <v>123</v>
      </c>
      <c r="K29" s="1496" t="s">
        <v>7443</v>
      </c>
      <c r="L29" s="2415">
        <v>1000</v>
      </c>
      <c r="M29" s="1600"/>
      <c r="N29" s="1493"/>
      <c r="O29" s="1790"/>
      <c r="P29" s="1548"/>
      <c r="Q29" s="1548"/>
      <c r="R29" s="1548"/>
      <c r="S29" s="1548"/>
      <c r="T29" s="1548"/>
      <c r="U29" s="1548"/>
      <c r="V29" s="1548"/>
      <c r="W29" s="1548"/>
      <c r="X29" s="1548"/>
      <c r="Y29" s="1548"/>
      <c r="Z29" s="1548"/>
      <c r="AA29" s="1548"/>
      <c r="AB29" s="1548"/>
      <c r="AC29" s="1548"/>
      <c r="AD29" s="1548"/>
      <c r="AE29" s="1548"/>
      <c r="AF29" s="1548"/>
      <c r="AG29" s="1548"/>
      <c r="AH29" s="1548"/>
      <c r="AI29" s="1548"/>
      <c r="AJ29" s="1548"/>
      <c r="AK29" s="1548"/>
      <c r="AL29" s="1548"/>
      <c r="AM29" s="1548"/>
      <c r="AN29" s="1548"/>
      <c r="AO29" s="1548"/>
      <c r="AP29" s="1548"/>
      <c r="AQ29" s="1548"/>
      <c r="AR29" s="1548"/>
      <c r="AS29" s="1548"/>
      <c r="AT29" s="1548"/>
      <c r="AU29" s="1548"/>
      <c r="AV29" s="1548"/>
      <c r="AW29" s="1548"/>
      <c r="AX29" s="1548"/>
      <c r="AY29" s="1548"/>
      <c r="AZ29" s="1548"/>
      <c r="BA29" s="1548"/>
      <c r="BB29" s="1548"/>
      <c r="BC29" s="1548"/>
      <c r="BD29" s="1548"/>
      <c r="BE29" s="1548"/>
      <c r="BF29" s="1548"/>
      <c r="BG29" s="1548"/>
      <c r="BH29" s="1548"/>
      <c r="BI29" s="1548"/>
      <c r="BJ29" s="1548"/>
      <c r="BK29" s="1548"/>
      <c r="BL29" s="1548"/>
      <c r="BM29" s="1548"/>
      <c r="BN29" s="1548"/>
      <c r="BO29" s="1548"/>
      <c r="BP29" s="1548"/>
      <c r="BQ29" s="1548"/>
      <c r="BR29" s="1548"/>
      <c r="BS29" s="1548"/>
      <c r="BT29" s="1548"/>
      <c r="BU29" s="1548"/>
      <c r="BV29" s="1548"/>
      <c r="BW29" s="1548"/>
      <c r="BX29" s="1548"/>
      <c r="BY29" s="1548"/>
      <c r="BZ29" s="1548"/>
      <c r="CA29" s="1548"/>
      <c r="CB29" s="1548"/>
      <c r="CC29" s="1548"/>
      <c r="CD29" s="1548"/>
      <c r="CE29" s="1548"/>
      <c r="CF29" s="1548"/>
      <c r="CG29" s="1548"/>
      <c r="CH29" s="1548"/>
      <c r="CI29" s="1548"/>
      <c r="CJ29" s="1548"/>
      <c r="CK29" s="1548"/>
      <c r="CL29" s="1548"/>
      <c r="CM29" s="1548"/>
      <c r="CN29" s="1548"/>
      <c r="CO29" s="1548"/>
      <c r="CP29" s="1548"/>
      <c r="CQ29" s="1548"/>
      <c r="CR29" s="1548"/>
      <c r="CS29" s="1548"/>
      <c r="CT29" s="1548"/>
      <c r="CU29" s="1548"/>
      <c r="CV29" s="1548"/>
      <c r="CW29" s="1548"/>
      <c r="CX29" s="1548"/>
      <c r="CY29" s="1548"/>
      <c r="CZ29" s="1548"/>
      <c r="DA29" s="1548"/>
      <c r="DB29" s="1548"/>
      <c r="DC29" s="1548"/>
      <c r="DD29" s="1548"/>
      <c r="DE29" s="1548"/>
      <c r="DF29" s="1548"/>
      <c r="DG29" s="1548"/>
      <c r="DH29" s="1548"/>
      <c r="DI29" s="1548"/>
      <c r="DJ29" s="1548"/>
      <c r="DK29" s="1548"/>
      <c r="DL29" s="1548"/>
      <c r="DM29" s="1548"/>
      <c r="DN29" s="1548"/>
      <c r="DO29" s="1548"/>
      <c r="DP29" s="1548"/>
      <c r="DQ29" s="1548"/>
      <c r="DR29" s="1548"/>
      <c r="DS29" s="1548"/>
      <c r="DT29" s="1548"/>
      <c r="DU29" s="1548"/>
      <c r="DV29" s="1548"/>
      <c r="DW29" s="1548"/>
      <c r="DX29" s="1548"/>
      <c r="DY29" s="1548"/>
    </row>
    <row r="30" spans="1:129" s="2267" customFormat="1" ht="65.25" customHeight="1">
      <c r="A30" s="3735">
        <v>9</v>
      </c>
      <c r="B30" s="1909" t="str">
        <f t="shared" si="0"/>
        <v>2200001799</v>
      </c>
      <c r="C30" s="2118" t="s">
        <v>3708</v>
      </c>
      <c r="D30" s="2400">
        <v>6000</v>
      </c>
      <c r="E30" s="2118" t="s">
        <v>7444</v>
      </c>
      <c r="F30" s="2401" t="s">
        <v>3401</v>
      </c>
      <c r="G30" s="2120" t="s">
        <v>7445</v>
      </c>
      <c r="H30" s="1921" t="s">
        <v>226</v>
      </c>
      <c r="I30" s="2159" t="s">
        <v>19</v>
      </c>
      <c r="J30" s="2120" t="s">
        <v>1138</v>
      </c>
      <c r="K30" s="2161" t="s">
        <v>7446</v>
      </c>
      <c r="L30" s="2426">
        <v>3000</v>
      </c>
      <c r="M30" s="2427"/>
      <c r="N30" s="2391"/>
      <c r="O30" s="2403"/>
      <c r="P30" s="2122"/>
      <c r="Q30" s="2122"/>
      <c r="R30" s="2122"/>
      <c r="S30" s="2122"/>
      <c r="T30" s="2122"/>
      <c r="U30" s="2122"/>
      <c r="V30" s="2122"/>
      <c r="W30" s="2122"/>
      <c r="X30" s="2122"/>
      <c r="Y30" s="2122"/>
      <c r="Z30" s="2122"/>
      <c r="AA30" s="2122"/>
      <c r="AB30" s="2122"/>
      <c r="AC30" s="2122"/>
      <c r="AD30" s="2122"/>
      <c r="AE30" s="2122"/>
      <c r="AF30" s="2122"/>
      <c r="AG30" s="2122"/>
      <c r="AH30" s="2122"/>
      <c r="AI30" s="2122"/>
      <c r="AJ30" s="2122"/>
      <c r="AK30" s="2122"/>
      <c r="AL30" s="2122"/>
      <c r="AM30" s="2122"/>
      <c r="AN30" s="2122"/>
      <c r="AO30" s="2122"/>
      <c r="AP30" s="2122"/>
      <c r="AQ30" s="2122"/>
      <c r="AR30" s="2122"/>
      <c r="AS30" s="2122"/>
      <c r="AT30" s="2122"/>
      <c r="AU30" s="2122"/>
      <c r="AV30" s="2122"/>
      <c r="AW30" s="2122"/>
      <c r="AX30" s="2122"/>
      <c r="AY30" s="2122"/>
      <c r="AZ30" s="2122"/>
      <c r="BA30" s="2122"/>
      <c r="BB30" s="2122"/>
      <c r="BC30" s="2122"/>
      <c r="BD30" s="2122"/>
      <c r="BE30" s="2122"/>
      <c r="BF30" s="2122"/>
      <c r="BG30" s="2122"/>
      <c r="BH30" s="2122"/>
      <c r="BI30" s="2122"/>
      <c r="BJ30" s="2122"/>
      <c r="BK30" s="2122"/>
      <c r="BL30" s="2122"/>
      <c r="BM30" s="2122"/>
      <c r="BN30" s="2122"/>
      <c r="BO30" s="2122"/>
      <c r="BP30" s="2122"/>
      <c r="BQ30" s="2122"/>
      <c r="BR30" s="2122"/>
      <c r="BS30" s="2122"/>
      <c r="BT30" s="2122"/>
      <c r="BU30" s="2122"/>
      <c r="BV30" s="2122"/>
      <c r="BW30" s="2122"/>
      <c r="BX30" s="2122"/>
      <c r="BY30" s="2122"/>
      <c r="BZ30" s="2122"/>
      <c r="CA30" s="2122"/>
      <c r="CB30" s="2122"/>
      <c r="CC30" s="2122"/>
      <c r="CD30" s="2122"/>
      <c r="CE30" s="2122"/>
      <c r="CF30" s="2122"/>
      <c r="CG30" s="2122"/>
      <c r="CH30" s="2122"/>
      <c r="CI30" s="2122"/>
      <c r="CJ30" s="2122"/>
      <c r="CK30" s="2122"/>
      <c r="CL30" s="2122"/>
      <c r="CM30" s="2122"/>
      <c r="CN30" s="2122"/>
      <c r="CO30" s="2122"/>
      <c r="CP30" s="2122"/>
      <c r="CQ30" s="2122"/>
      <c r="CR30" s="2122"/>
      <c r="CS30" s="2122"/>
      <c r="CT30" s="2122"/>
      <c r="CU30" s="2122"/>
      <c r="CV30" s="2122"/>
      <c r="CW30" s="2122"/>
      <c r="CX30" s="2122"/>
      <c r="CY30" s="2122"/>
      <c r="CZ30" s="2122"/>
      <c r="DA30" s="2122"/>
      <c r="DB30" s="2122"/>
      <c r="DC30" s="2122"/>
      <c r="DD30" s="2122"/>
      <c r="DE30" s="2122"/>
      <c r="DF30" s="2122"/>
      <c r="DG30" s="2122"/>
      <c r="DH30" s="2122"/>
      <c r="DI30" s="2122"/>
      <c r="DJ30" s="2122"/>
      <c r="DK30" s="2122"/>
      <c r="DL30" s="2122"/>
      <c r="DM30" s="2122"/>
      <c r="DN30" s="2122"/>
      <c r="DO30" s="2122"/>
      <c r="DP30" s="2122"/>
      <c r="DQ30" s="2122"/>
      <c r="DR30" s="2122"/>
      <c r="DS30" s="2122"/>
      <c r="DT30" s="2122"/>
      <c r="DU30" s="2122"/>
      <c r="DV30" s="2122"/>
      <c r="DW30" s="2122"/>
      <c r="DX30" s="2122"/>
      <c r="DY30" s="2122"/>
    </row>
    <row r="31" spans="1:129" s="2012" customFormat="1" ht="65.25" hidden="1" customHeight="1">
      <c r="A31" s="3736"/>
      <c r="B31" s="1909" t="str">
        <f t="shared" si="0"/>
        <v>2200001806</v>
      </c>
      <c r="C31" s="1851" t="s">
        <v>3708</v>
      </c>
      <c r="D31" s="1915"/>
      <c r="E31" s="1851"/>
      <c r="F31" s="1935" t="s">
        <v>3401</v>
      </c>
      <c r="G31" s="1872"/>
      <c r="H31" s="1495"/>
      <c r="I31" s="1947" t="s">
        <v>19</v>
      </c>
      <c r="J31" s="1872" t="s">
        <v>1138</v>
      </c>
      <c r="K31" s="1628" t="s">
        <v>7447</v>
      </c>
      <c r="L31" s="2410">
        <v>434</v>
      </c>
      <c r="M31" s="1873"/>
      <c r="N31" s="1630"/>
      <c r="O31" s="1882"/>
      <c r="P31" s="1883"/>
      <c r="Q31" s="1883"/>
      <c r="R31" s="1883"/>
      <c r="S31" s="1883"/>
      <c r="T31" s="1883"/>
      <c r="U31" s="1883"/>
      <c r="V31" s="1883"/>
      <c r="W31" s="1883"/>
      <c r="X31" s="1883"/>
      <c r="Y31" s="1883"/>
      <c r="Z31" s="1883"/>
      <c r="AA31" s="1883"/>
      <c r="AB31" s="1883"/>
      <c r="AC31" s="1883"/>
      <c r="AD31" s="1883"/>
      <c r="AE31" s="1883"/>
      <c r="AF31" s="1883"/>
      <c r="AG31" s="1883"/>
      <c r="AH31" s="1883"/>
      <c r="AI31" s="1883"/>
      <c r="AJ31" s="1883"/>
      <c r="AK31" s="1883"/>
      <c r="AL31" s="1883"/>
      <c r="AM31" s="1883"/>
      <c r="AN31" s="1883"/>
      <c r="AO31" s="1883"/>
      <c r="AP31" s="1883"/>
      <c r="AQ31" s="1883"/>
      <c r="AR31" s="1883"/>
      <c r="AS31" s="1883"/>
      <c r="AT31" s="1883"/>
      <c r="AU31" s="1883"/>
      <c r="AV31" s="1883"/>
      <c r="AW31" s="1883"/>
      <c r="AX31" s="1883"/>
      <c r="AY31" s="1883"/>
      <c r="AZ31" s="1883"/>
      <c r="BA31" s="1883"/>
      <c r="BB31" s="1883"/>
      <c r="BC31" s="1883"/>
      <c r="BD31" s="1883"/>
      <c r="BE31" s="1883"/>
      <c r="BF31" s="1883"/>
      <c r="BG31" s="1883"/>
      <c r="BH31" s="1883"/>
      <c r="BI31" s="1883"/>
      <c r="BJ31" s="1883"/>
      <c r="BK31" s="1883"/>
      <c r="BL31" s="1883"/>
      <c r="BM31" s="1883"/>
      <c r="BN31" s="1883"/>
      <c r="BO31" s="1883"/>
      <c r="BP31" s="1883"/>
      <c r="BQ31" s="1883"/>
      <c r="BR31" s="1883"/>
      <c r="BS31" s="1883"/>
      <c r="BT31" s="1883"/>
      <c r="BU31" s="1883"/>
      <c r="BV31" s="1883"/>
      <c r="BW31" s="1883"/>
      <c r="BX31" s="1883"/>
      <c r="BY31" s="1883"/>
      <c r="BZ31" s="1883"/>
      <c r="CA31" s="1883"/>
      <c r="CB31" s="1883"/>
      <c r="CC31" s="1883"/>
      <c r="CD31" s="1883"/>
      <c r="CE31" s="1883"/>
      <c r="CF31" s="1883"/>
      <c r="CG31" s="1883"/>
      <c r="CH31" s="1883"/>
      <c r="CI31" s="1883"/>
      <c r="CJ31" s="1883"/>
      <c r="CK31" s="1883"/>
      <c r="CL31" s="1883"/>
      <c r="CM31" s="1883"/>
      <c r="CN31" s="1883"/>
      <c r="CO31" s="1883"/>
      <c r="CP31" s="1883"/>
      <c r="CQ31" s="1883"/>
      <c r="CR31" s="1883"/>
      <c r="CS31" s="1883"/>
      <c r="CT31" s="1883"/>
      <c r="CU31" s="1883"/>
      <c r="CV31" s="1883"/>
      <c r="CW31" s="1883"/>
      <c r="CX31" s="1883"/>
      <c r="CY31" s="1883"/>
      <c r="CZ31" s="1883"/>
      <c r="DA31" s="1883"/>
      <c r="DB31" s="1883"/>
      <c r="DC31" s="1883"/>
      <c r="DD31" s="1883"/>
      <c r="DE31" s="1883"/>
      <c r="DF31" s="1883"/>
      <c r="DG31" s="1883"/>
      <c r="DH31" s="1883"/>
      <c r="DI31" s="1883"/>
      <c r="DJ31" s="1883"/>
      <c r="DK31" s="1883"/>
      <c r="DL31" s="1883"/>
      <c r="DM31" s="1883"/>
      <c r="DN31" s="1883"/>
      <c r="DO31" s="1883"/>
      <c r="DP31" s="1883"/>
      <c r="DQ31" s="1883"/>
      <c r="DR31" s="1883"/>
      <c r="DS31" s="1883"/>
      <c r="DT31" s="1883"/>
      <c r="DU31" s="1883"/>
      <c r="DV31" s="1883"/>
      <c r="DW31" s="1883"/>
      <c r="DX31" s="1883"/>
      <c r="DY31" s="1883"/>
    </row>
    <row r="32" spans="1:129" s="2012" customFormat="1" ht="65.25" hidden="1" customHeight="1">
      <c r="A32" s="3737"/>
      <c r="B32" s="1909" t="str">
        <f t="shared" si="0"/>
        <v>2200001818</v>
      </c>
      <c r="C32" s="1851" t="s">
        <v>3708</v>
      </c>
      <c r="D32" s="1915"/>
      <c r="E32" s="1851"/>
      <c r="F32" s="1935" t="s">
        <v>3401</v>
      </c>
      <c r="G32" s="1872"/>
      <c r="H32" s="1495"/>
      <c r="I32" s="1947" t="s">
        <v>19</v>
      </c>
      <c r="J32" s="1872" t="s">
        <v>1138</v>
      </c>
      <c r="K32" s="1628" t="s">
        <v>7448</v>
      </c>
      <c r="L32" s="2410">
        <v>2500</v>
      </c>
      <c r="M32" s="1873"/>
      <c r="N32" s="1630"/>
      <c r="O32" s="1882"/>
      <c r="P32" s="1883"/>
      <c r="Q32" s="1883"/>
      <c r="R32" s="1883"/>
      <c r="S32" s="1883"/>
      <c r="T32" s="1883"/>
      <c r="U32" s="1883"/>
      <c r="V32" s="1883"/>
      <c r="W32" s="1883"/>
      <c r="X32" s="1883"/>
      <c r="Y32" s="1883"/>
      <c r="Z32" s="1883"/>
      <c r="AA32" s="1883"/>
      <c r="AB32" s="1883"/>
      <c r="AC32" s="1883"/>
      <c r="AD32" s="1883"/>
      <c r="AE32" s="1883"/>
      <c r="AF32" s="1883"/>
      <c r="AG32" s="1883"/>
      <c r="AH32" s="1883"/>
      <c r="AI32" s="1883"/>
      <c r="AJ32" s="1883"/>
      <c r="AK32" s="1883"/>
      <c r="AL32" s="1883"/>
      <c r="AM32" s="1883"/>
      <c r="AN32" s="1883"/>
      <c r="AO32" s="1883"/>
      <c r="AP32" s="1883"/>
      <c r="AQ32" s="1883"/>
      <c r="AR32" s="1883"/>
      <c r="AS32" s="1883"/>
      <c r="AT32" s="1883"/>
      <c r="AU32" s="1883"/>
      <c r="AV32" s="1883"/>
      <c r="AW32" s="1883"/>
      <c r="AX32" s="1883"/>
      <c r="AY32" s="1883"/>
      <c r="AZ32" s="1883"/>
      <c r="BA32" s="1883"/>
      <c r="BB32" s="1883"/>
      <c r="BC32" s="1883"/>
      <c r="BD32" s="1883"/>
      <c r="BE32" s="1883"/>
      <c r="BF32" s="1883"/>
      <c r="BG32" s="1883"/>
      <c r="BH32" s="1883"/>
      <c r="BI32" s="1883"/>
      <c r="BJ32" s="1883"/>
      <c r="BK32" s="1883"/>
      <c r="BL32" s="1883"/>
      <c r="BM32" s="1883"/>
      <c r="BN32" s="1883"/>
      <c r="BO32" s="1883"/>
      <c r="BP32" s="1883"/>
      <c r="BQ32" s="1883"/>
      <c r="BR32" s="1883"/>
      <c r="BS32" s="1883"/>
      <c r="BT32" s="1883"/>
      <c r="BU32" s="1883"/>
      <c r="BV32" s="1883"/>
      <c r="BW32" s="1883"/>
      <c r="BX32" s="1883"/>
      <c r="BY32" s="1883"/>
      <c r="BZ32" s="1883"/>
      <c r="CA32" s="1883"/>
      <c r="CB32" s="1883"/>
      <c r="CC32" s="1883"/>
      <c r="CD32" s="1883"/>
      <c r="CE32" s="1883"/>
      <c r="CF32" s="1883"/>
      <c r="CG32" s="1883"/>
      <c r="CH32" s="1883"/>
      <c r="CI32" s="1883"/>
      <c r="CJ32" s="1883"/>
      <c r="CK32" s="1883"/>
      <c r="CL32" s="1883"/>
      <c r="CM32" s="1883"/>
      <c r="CN32" s="1883"/>
      <c r="CO32" s="1883"/>
      <c r="CP32" s="1883"/>
      <c r="CQ32" s="1883"/>
      <c r="CR32" s="1883"/>
      <c r="CS32" s="1883"/>
      <c r="CT32" s="1883"/>
      <c r="CU32" s="1883"/>
      <c r="CV32" s="1883"/>
      <c r="CW32" s="1883"/>
      <c r="CX32" s="1883"/>
      <c r="CY32" s="1883"/>
      <c r="CZ32" s="1883"/>
      <c r="DA32" s="1883"/>
      <c r="DB32" s="1883"/>
      <c r="DC32" s="1883"/>
      <c r="DD32" s="1883"/>
      <c r="DE32" s="1883"/>
      <c r="DF32" s="1883"/>
      <c r="DG32" s="1883"/>
      <c r="DH32" s="1883"/>
      <c r="DI32" s="1883"/>
      <c r="DJ32" s="1883"/>
      <c r="DK32" s="1883"/>
      <c r="DL32" s="1883"/>
      <c r="DM32" s="1883"/>
      <c r="DN32" s="1883"/>
      <c r="DO32" s="1883"/>
      <c r="DP32" s="1883"/>
      <c r="DQ32" s="1883"/>
      <c r="DR32" s="1883"/>
      <c r="DS32" s="1883"/>
      <c r="DT32" s="1883"/>
      <c r="DU32" s="1883"/>
      <c r="DV32" s="1883"/>
      <c r="DW32" s="1883"/>
      <c r="DX32" s="1883"/>
      <c r="DY32" s="1883"/>
    </row>
    <row r="33" spans="1:129" s="2122" customFormat="1" ht="86.25" hidden="1" customHeight="1">
      <c r="A33" s="2414">
        <v>10</v>
      </c>
      <c r="B33" s="1909" t="str">
        <f t="shared" si="0"/>
        <v>2000002546</v>
      </c>
      <c r="C33" s="2118" t="s">
        <v>4831</v>
      </c>
      <c r="D33" s="2400">
        <v>4300</v>
      </c>
      <c r="E33" s="2118" t="s">
        <v>7449</v>
      </c>
      <c r="F33" s="2391" t="s">
        <v>89</v>
      </c>
      <c r="G33" s="2120" t="s">
        <v>7450</v>
      </c>
      <c r="H33" s="2118" t="s">
        <v>226</v>
      </c>
      <c r="I33" s="2279" t="s">
        <v>19</v>
      </c>
      <c r="J33" s="1921" t="s">
        <v>199</v>
      </c>
      <c r="K33" s="2161" t="s">
        <v>7451</v>
      </c>
      <c r="L33" s="2413">
        <v>4300</v>
      </c>
      <c r="M33" s="2161"/>
      <c r="N33" s="2391"/>
      <c r="O33" s="2403"/>
    </row>
    <row r="34" spans="1:129" s="2267" customFormat="1" ht="60.75" hidden="1" customHeight="1">
      <c r="A34" s="3735">
        <v>11</v>
      </c>
      <c r="B34" s="1909" t="str">
        <f t="shared" si="0"/>
        <v>2000002531</v>
      </c>
      <c r="C34" s="2118" t="s">
        <v>211</v>
      </c>
      <c r="D34" s="2400">
        <v>3700</v>
      </c>
      <c r="E34" s="2118" t="s">
        <v>7449</v>
      </c>
      <c r="F34" s="2391" t="s">
        <v>61</v>
      </c>
      <c r="G34" s="2120" t="s">
        <v>7452</v>
      </c>
      <c r="H34" s="1921" t="s">
        <v>226</v>
      </c>
      <c r="I34" s="2279" t="s">
        <v>19</v>
      </c>
      <c r="J34" s="1921" t="s">
        <v>253</v>
      </c>
      <c r="K34" s="2161" t="s">
        <v>7453</v>
      </c>
      <c r="L34" s="2413">
        <v>840</v>
      </c>
      <c r="M34" s="2161"/>
      <c r="N34" s="2391"/>
      <c r="O34" s="2403"/>
      <c r="P34" s="2122"/>
      <c r="Q34" s="2122"/>
      <c r="R34" s="2122"/>
      <c r="S34" s="2122"/>
      <c r="T34" s="2122"/>
      <c r="U34" s="2122"/>
      <c r="V34" s="2122"/>
      <c r="W34" s="2122"/>
      <c r="X34" s="2122"/>
      <c r="Y34" s="2122"/>
      <c r="Z34" s="2122"/>
      <c r="AA34" s="2122"/>
      <c r="AB34" s="2122"/>
      <c r="AC34" s="2122"/>
      <c r="AD34" s="2122"/>
      <c r="AE34" s="2122"/>
      <c r="AF34" s="2122"/>
      <c r="AG34" s="2122"/>
      <c r="AH34" s="2122"/>
      <c r="AI34" s="2122"/>
      <c r="AJ34" s="2122"/>
      <c r="AK34" s="2122"/>
      <c r="AL34" s="2122"/>
      <c r="AM34" s="2122"/>
      <c r="AN34" s="2122"/>
      <c r="AO34" s="2122"/>
      <c r="AP34" s="2122"/>
      <c r="AQ34" s="2122"/>
      <c r="AR34" s="2122"/>
      <c r="AS34" s="2122"/>
      <c r="AT34" s="2122"/>
      <c r="AU34" s="2122"/>
      <c r="AV34" s="2122"/>
      <c r="AW34" s="2122"/>
      <c r="AX34" s="2122"/>
      <c r="AY34" s="2122"/>
      <c r="AZ34" s="2122"/>
      <c r="BA34" s="2122"/>
      <c r="BB34" s="2122"/>
      <c r="BC34" s="2122"/>
      <c r="BD34" s="2122"/>
      <c r="BE34" s="2122"/>
      <c r="BF34" s="2122"/>
      <c r="BG34" s="2122"/>
      <c r="BH34" s="2122"/>
      <c r="BI34" s="2122"/>
      <c r="BJ34" s="2122"/>
      <c r="BK34" s="2122"/>
      <c r="BL34" s="2122"/>
      <c r="BM34" s="2122"/>
      <c r="BN34" s="2122"/>
      <c r="BO34" s="2122"/>
      <c r="BP34" s="2122"/>
      <c r="BQ34" s="2122"/>
      <c r="BR34" s="2122"/>
      <c r="BS34" s="2122"/>
      <c r="BT34" s="2122"/>
      <c r="BU34" s="2122"/>
      <c r="BV34" s="2122"/>
      <c r="BW34" s="2122"/>
      <c r="BX34" s="2122"/>
      <c r="BY34" s="2122"/>
      <c r="BZ34" s="2122"/>
      <c r="CA34" s="2122"/>
      <c r="CB34" s="2122"/>
      <c r="CC34" s="2122"/>
      <c r="CD34" s="2122"/>
      <c r="CE34" s="2122"/>
      <c r="CF34" s="2122"/>
      <c r="CG34" s="2122"/>
      <c r="CH34" s="2122"/>
      <c r="CI34" s="2122"/>
      <c r="CJ34" s="2122"/>
      <c r="CK34" s="2122"/>
      <c r="CL34" s="2122"/>
      <c r="CM34" s="2122"/>
      <c r="CN34" s="2122"/>
      <c r="CO34" s="2122"/>
      <c r="CP34" s="2122"/>
      <c r="CQ34" s="2122"/>
      <c r="CR34" s="2122"/>
      <c r="CS34" s="2122"/>
      <c r="CT34" s="2122"/>
      <c r="CU34" s="2122"/>
      <c r="CV34" s="2122"/>
      <c r="CW34" s="2122"/>
      <c r="CX34" s="2122"/>
      <c r="CY34" s="2122"/>
      <c r="CZ34" s="2122"/>
      <c r="DA34" s="2122"/>
      <c r="DB34" s="2122"/>
      <c r="DC34" s="2122"/>
      <c r="DD34" s="2122"/>
      <c r="DE34" s="2122"/>
      <c r="DF34" s="2122"/>
      <c r="DG34" s="2122"/>
      <c r="DH34" s="2122"/>
      <c r="DI34" s="2122"/>
      <c r="DJ34" s="2122"/>
      <c r="DK34" s="2122"/>
      <c r="DL34" s="2122"/>
      <c r="DM34" s="2122"/>
      <c r="DN34" s="2122"/>
      <c r="DO34" s="2122"/>
      <c r="DP34" s="2122"/>
      <c r="DQ34" s="2122"/>
      <c r="DR34" s="2122"/>
      <c r="DS34" s="2122"/>
      <c r="DT34" s="2122"/>
      <c r="DU34" s="2122"/>
      <c r="DV34" s="2122"/>
      <c r="DW34" s="2122"/>
      <c r="DX34" s="2122"/>
      <c r="DY34" s="2122"/>
    </row>
    <row r="35" spans="1:129" s="2012" customFormat="1" ht="60.75" hidden="1" customHeight="1">
      <c r="A35" s="3737"/>
      <c r="B35" s="1909" t="str">
        <f t="shared" si="0"/>
        <v>2000002557</v>
      </c>
      <c r="C35" s="1851" t="s">
        <v>211</v>
      </c>
      <c r="D35" s="1915"/>
      <c r="E35" s="1851"/>
      <c r="F35" s="1630" t="s">
        <v>61</v>
      </c>
      <c r="G35" s="1872"/>
      <c r="H35" s="1495"/>
      <c r="I35" s="1568" t="s">
        <v>19</v>
      </c>
      <c r="J35" s="1495" t="s">
        <v>253</v>
      </c>
      <c r="K35" s="1628" t="s">
        <v>7454</v>
      </c>
      <c r="L35" s="2408">
        <v>2800</v>
      </c>
      <c r="M35" s="1628"/>
      <c r="N35" s="1630"/>
      <c r="O35" s="1882"/>
      <c r="P35" s="1883"/>
      <c r="Q35" s="1883"/>
      <c r="R35" s="1883"/>
      <c r="S35" s="1883"/>
      <c r="T35" s="1883"/>
      <c r="U35" s="1883"/>
      <c r="V35" s="1883"/>
      <c r="W35" s="1883"/>
      <c r="X35" s="1883"/>
      <c r="Y35" s="1883"/>
      <c r="Z35" s="1883"/>
      <c r="AA35" s="1883"/>
      <c r="AB35" s="1883"/>
      <c r="AC35" s="1883"/>
      <c r="AD35" s="1883"/>
      <c r="AE35" s="1883"/>
      <c r="AF35" s="1883"/>
      <c r="AG35" s="1883"/>
      <c r="AH35" s="1883"/>
      <c r="AI35" s="1883"/>
      <c r="AJ35" s="1883"/>
      <c r="AK35" s="1883"/>
      <c r="AL35" s="1883"/>
      <c r="AM35" s="1883"/>
      <c r="AN35" s="1883"/>
      <c r="AO35" s="1883"/>
      <c r="AP35" s="1883"/>
      <c r="AQ35" s="1883"/>
      <c r="AR35" s="1883"/>
      <c r="AS35" s="1883"/>
      <c r="AT35" s="1883"/>
      <c r="AU35" s="1883"/>
      <c r="AV35" s="1883"/>
      <c r="AW35" s="1883"/>
      <c r="AX35" s="1883"/>
      <c r="AY35" s="1883"/>
      <c r="AZ35" s="1883"/>
      <c r="BA35" s="1883"/>
      <c r="BB35" s="1883"/>
      <c r="BC35" s="1883"/>
      <c r="BD35" s="1883"/>
      <c r="BE35" s="1883"/>
      <c r="BF35" s="1883"/>
      <c r="BG35" s="1883"/>
      <c r="BH35" s="1883"/>
      <c r="BI35" s="1883"/>
      <c r="BJ35" s="1883"/>
      <c r="BK35" s="1883"/>
      <c r="BL35" s="1883"/>
      <c r="BM35" s="1883"/>
      <c r="BN35" s="1883"/>
      <c r="BO35" s="1883"/>
      <c r="BP35" s="1883"/>
      <c r="BQ35" s="1883"/>
      <c r="BR35" s="1883"/>
      <c r="BS35" s="1883"/>
      <c r="BT35" s="1883"/>
      <c r="BU35" s="1883"/>
      <c r="BV35" s="1883"/>
      <c r="BW35" s="1883"/>
      <c r="BX35" s="1883"/>
      <c r="BY35" s="1883"/>
      <c r="BZ35" s="1883"/>
      <c r="CA35" s="1883"/>
      <c r="CB35" s="1883"/>
      <c r="CC35" s="1883"/>
      <c r="CD35" s="1883"/>
      <c r="CE35" s="1883"/>
      <c r="CF35" s="1883"/>
      <c r="CG35" s="1883"/>
      <c r="CH35" s="1883"/>
      <c r="CI35" s="1883"/>
      <c r="CJ35" s="1883"/>
      <c r="CK35" s="1883"/>
      <c r="CL35" s="1883"/>
      <c r="CM35" s="1883"/>
      <c r="CN35" s="1883"/>
      <c r="CO35" s="1883"/>
      <c r="CP35" s="1883"/>
      <c r="CQ35" s="1883"/>
      <c r="CR35" s="1883"/>
      <c r="CS35" s="1883"/>
      <c r="CT35" s="1883"/>
      <c r="CU35" s="1883"/>
      <c r="CV35" s="1883"/>
      <c r="CW35" s="1883"/>
      <c r="CX35" s="1883"/>
      <c r="CY35" s="1883"/>
      <c r="CZ35" s="1883"/>
      <c r="DA35" s="1883"/>
      <c r="DB35" s="1883"/>
      <c r="DC35" s="1883"/>
      <c r="DD35" s="1883"/>
      <c r="DE35" s="1883"/>
      <c r="DF35" s="1883"/>
      <c r="DG35" s="1883"/>
      <c r="DH35" s="1883"/>
      <c r="DI35" s="1883"/>
      <c r="DJ35" s="1883"/>
      <c r="DK35" s="1883"/>
      <c r="DL35" s="1883"/>
      <c r="DM35" s="1883"/>
      <c r="DN35" s="1883"/>
      <c r="DO35" s="1883"/>
      <c r="DP35" s="1883"/>
      <c r="DQ35" s="1883"/>
      <c r="DR35" s="1883"/>
      <c r="DS35" s="1883"/>
      <c r="DT35" s="1883"/>
      <c r="DU35" s="1883"/>
      <c r="DV35" s="1883"/>
      <c r="DW35" s="1883"/>
      <c r="DX35" s="1883"/>
      <c r="DY35" s="1883"/>
    </row>
    <row r="36" spans="1:129" s="2122" customFormat="1" ht="64.5" hidden="1" customHeight="1">
      <c r="A36" s="3735">
        <v>12</v>
      </c>
      <c r="B36" s="1909" t="str">
        <f t="shared" si="0"/>
        <v>2000002527</v>
      </c>
      <c r="C36" s="2118" t="s">
        <v>3109</v>
      </c>
      <c r="D36" s="2400">
        <v>18500</v>
      </c>
      <c r="E36" s="2118" t="s">
        <v>7455</v>
      </c>
      <c r="F36" s="2391" t="s">
        <v>3401</v>
      </c>
      <c r="G36" s="2120" t="s">
        <v>7456</v>
      </c>
      <c r="H36" s="1921" t="s">
        <v>226</v>
      </c>
      <c r="I36" s="2279" t="s">
        <v>19</v>
      </c>
      <c r="J36" s="1921" t="s">
        <v>4348</v>
      </c>
      <c r="K36" s="2161" t="s">
        <v>7457</v>
      </c>
      <c r="L36" s="2413">
        <v>3000</v>
      </c>
      <c r="M36" s="2161"/>
      <c r="N36" s="2391"/>
      <c r="O36" s="2403"/>
    </row>
    <row r="37" spans="1:129" s="1883" customFormat="1" ht="49.5" hidden="1" customHeight="1">
      <c r="A37" s="3736"/>
      <c r="B37" s="1909" t="str">
        <f t="shared" si="0"/>
        <v>2000002497</v>
      </c>
      <c r="C37" s="1851" t="s">
        <v>3109</v>
      </c>
      <c r="D37" s="2072"/>
      <c r="E37" s="1851"/>
      <c r="F37" s="1630" t="s">
        <v>3401</v>
      </c>
      <c r="G37" s="1872"/>
      <c r="H37" s="1495"/>
      <c r="I37" s="1568" t="s">
        <v>19</v>
      </c>
      <c r="J37" s="1495" t="s">
        <v>4348</v>
      </c>
      <c r="K37" s="1628" t="s">
        <v>7458</v>
      </c>
      <c r="L37" s="2410">
        <v>5000</v>
      </c>
      <c r="M37" s="2153"/>
      <c r="N37" s="1630"/>
      <c r="O37" s="1882"/>
    </row>
    <row r="38" spans="1:129" s="1883" customFormat="1" ht="57.75" hidden="1" customHeight="1">
      <c r="A38" s="3736"/>
      <c r="B38" s="1909" t="str">
        <f t="shared" si="0"/>
        <v>2000002522</v>
      </c>
      <c r="C38" s="1851" t="s">
        <v>3109</v>
      </c>
      <c r="D38" s="2072"/>
      <c r="E38" s="1851"/>
      <c r="F38" s="1630" t="s">
        <v>3401</v>
      </c>
      <c r="G38" s="1872"/>
      <c r="H38" s="1495"/>
      <c r="I38" s="1568" t="s">
        <v>19</v>
      </c>
      <c r="J38" s="1773" t="s">
        <v>123</v>
      </c>
      <c r="K38" s="1628" t="s">
        <v>7459</v>
      </c>
      <c r="L38" s="2410">
        <v>250</v>
      </c>
      <c r="M38" s="2153"/>
      <c r="N38" s="1630"/>
      <c r="O38" s="1882"/>
    </row>
    <row r="39" spans="1:129" s="1883" customFormat="1" ht="65.25" hidden="1" customHeight="1">
      <c r="A39" s="3736"/>
      <c r="B39" s="1909" t="str">
        <f t="shared" si="0"/>
        <v>2000002523</v>
      </c>
      <c r="C39" s="1851" t="s">
        <v>3109</v>
      </c>
      <c r="D39" s="2072"/>
      <c r="E39" s="1851"/>
      <c r="F39" s="1630" t="s">
        <v>3401</v>
      </c>
      <c r="G39" s="1872"/>
      <c r="H39" s="1495"/>
      <c r="I39" s="1568" t="s">
        <v>19</v>
      </c>
      <c r="J39" s="1773" t="s">
        <v>123</v>
      </c>
      <c r="K39" s="1628" t="s">
        <v>7460</v>
      </c>
      <c r="L39" s="2410">
        <v>150</v>
      </c>
      <c r="M39" s="2153"/>
      <c r="N39" s="1630"/>
      <c r="O39" s="1882"/>
    </row>
    <row r="40" spans="1:129" s="1883" customFormat="1" ht="65.25" hidden="1" customHeight="1">
      <c r="A40" s="3736"/>
      <c r="B40" s="1909" t="str">
        <f t="shared" si="0"/>
        <v>2000002537</v>
      </c>
      <c r="C40" s="1851" t="s">
        <v>3109</v>
      </c>
      <c r="D40" s="2072"/>
      <c r="E40" s="1851"/>
      <c r="F40" s="1630" t="s">
        <v>3401</v>
      </c>
      <c r="G40" s="1872"/>
      <c r="H40" s="1495"/>
      <c r="I40" s="1568" t="s">
        <v>19</v>
      </c>
      <c r="J40" s="1773" t="s">
        <v>123</v>
      </c>
      <c r="K40" s="1628" t="s">
        <v>7461</v>
      </c>
      <c r="L40" s="2410">
        <v>100</v>
      </c>
      <c r="M40" s="2153"/>
      <c r="N40" s="1630"/>
      <c r="O40" s="1882"/>
    </row>
    <row r="41" spans="1:129" s="1883" customFormat="1" ht="65.25" hidden="1" customHeight="1">
      <c r="A41" s="3736"/>
      <c r="B41" s="1909" t="str">
        <f t="shared" si="0"/>
        <v>2000002535</v>
      </c>
      <c r="C41" s="1851" t="s">
        <v>3109</v>
      </c>
      <c r="D41" s="2072"/>
      <c r="E41" s="1851"/>
      <c r="F41" s="1630" t="s">
        <v>3401</v>
      </c>
      <c r="G41" s="1872"/>
      <c r="H41" s="1495"/>
      <c r="I41" s="1568" t="s">
        <v>19</v>
      </c>
      <c r="J41" s="1773" t="s">
        <v>123</v>
      </c>
      <c r="K41" s="1628" t="s">
        <v>7462</v>
      </c>
      <c r="L41" s="2410">
        <v>200</v>
      </c>
      <c r="M41" s="2153"/>
      <c r="N41" s="1630"/>
      <c r="O41" s="1882"/>
    </row>
    <row r="42" spans="1:129" s="1883" customFormat="1" ht="81.75" hidden="1" customHeight="1">
      <c r="A42" s="3737"/>
      <c r="B42" s="1909" t="str">
        <f t="shared" si="0"/>
        <v>2000002532</v>
      </c>
      <c r="C42" s="1851" t="s">
        <v>3109</v>
      </c>
      <c r="D42" s="2072"/>
      <c r="E42" s="1851"/>
      <c r="F42" s="1630" t="s">
        <v>3401</v>
      </c>
      <c r="G42" s="1872"/>
      <c r="H42" s="1495"/>
      <c r="I42" s="1568" t="s">
        <v>19</v>
      </c>
      <c r="J42" s="1773" t="s">
        <v>123</v>
      </c>
      <c r="K42" s="1628" t="s">
        <v>7463</v>
      </c>
      <c r="L42" s="2410">
        <v>7750</v>
      </c>
      <c r="M42" s="2153"/>
      <c r="N42" s="1630"/>
      <c r="O42" s="1882"/>
    </row>
    <row r="43" spans="1:129" s="2122" customFormat="1" ht="68.25" hidden="1" customHeight="1">
      <c r="A43" s="3735">
        <v>13</v>
      </c>
      <c r="B43" s="1909" t="str">
        <f t="shared" si="0"/>
        <v>2000002552</v>
      </c>
      <c r="C43" s="1921" t="s">
        <v>3399</v>
      </c>
      <c r="D43" s="2431">
        <v>8700</v>
      </c>
      <c r="E43" s="2118" t="s">
        <v>7455</v>
      </c>
      <c r="F43" s="2391" t="s">
        <v>3401</v>
      </c>
      <c r="G43" s="2120" t="s">
        <v>7464</v>
      </c>
      <c r="H43" s="1921" t="s">
        <v>226</v>
      </c>
      <c r="I43" s="2159" t="s">
        <v>19</v>
      </c>
      <c r="J43" s="1561" t="s">
        <v>123</v>
      </c>
      <c r="K43" s="2194" t="s">
        <v>7465</v>
      </c>
      <c r="L43" s="2426">
        <v>2500</v>
      </c>
      <c r="M43" s="2432"/>
      <c r="N43" s="2391"/>
      <c r="O43" s="2403"/>
    </row>
    <row r="44" spans="1:129" s="1883" customFormat="1" ht="57.75" hidden="1" customHeight="1">
      <c r="A44" s="3736"/>
      <c r="B44" s="1909" t="str">
        <f t="shared" si="0"/>
        <v>2000002553</v>
      </c>
      <c r="C44" s="1495" t="s">
        <v>3399</v>
      </c>
      <c r="D44" s="2072"/>
      <c r="E44" s="1851"/>
      <c r="F44" s="1630" t="s">
        <v>3401</v>
      </c>
      <c r="G44" s="1872"/>
      <c r="H44" s="1495"/>
      <c r="I44" s="1947" t="s">
        <v>19</v>
      </c>
      <c r="J44" s="1872" t="s">
        <v>123</v>
      </c>
      <c r="K44" s="1628" t="s">
        <v>7466</v>
      </c>
      <c r="L44" s="2410">
        <v>2500</v>
      </c>
      <c r="M44" s="2153"/>
      <c r="N44" s="1630"/>
      <c r="O44" s="1882"/>
    </row>
    <row r="45" spans="1:129" s="1883" customFormat="1" ht="57.75" hidden="1" customHeight="1">
      <c r="A45" s="3736"/>
      <c r="B45" s="1909" t="str">
        <f t="shared" si="0"/>
        <v>2200001820</v>
      </c>
      <c r="C45" s="1495" t="s">
        <v>3399</v>
      </c>
      <c r="D45" s="2072"/>
      <c r="E45" s="1851"/>
      <c r="F45" s="1630" t="s">
        <v>3401</v>
      </c>
      <c r="G45" s="1872"/>
      <c r="H45" s="1495"/>
      <c r="I45" s="1947" t="s">
        <v>19</v>
      </c>
      <c r="J45" s="1872" t="s">
        <v>63</v>
      </c>
      <c r="K45" s="1628" t="s">
        <v>7467</v>
      </c>
      <c r="L45" s="2410">
        <v>2000</v>
      </c>
      <c r="M45" s="2153"/>
      <c r="N45" s="1630"/>
      <c r="O45" s="1882"/>
    </row>
    <row r="46" spans="1:129" s="1883" customFormat="1" ht="57.75" hidden="1" customHeight="1">
      <c r="A46" s="3736"/>
      <c r="B46" s="1909" t="str">
        <f t="shared" si="0"/>
        <v>2200001821</v>
      </c>
      <c r="C46" s="1495" t="s">
        <v>3399</v>
      </c>
      <c r="D46" s="2072"/>
      <c r="E46" s="1851"/>
      <c r="F46" s="1630" t="s">
        <v>3401</v>
      </c>
      <c r="G46" s="1872"/>
      <c r="H46" s="1495"/>
      <c r="I46" s="1947" t="s">
        <v>19</v>
      </c>
      <c r="J46" s="1872" t="s">
        <v>63</v>
      </c>
      <c r="K46" s="1628" t="s">
        <v>7468</v>
      </c>
      <c r="L46" s="2410">
        <v>1300</v>
      </c>
      <c r="M46" s="2153"/>
      <c r="N46" s="1630"/>
      <c r="O46" s="1882"/>
    </row>
    <row r="47" spans="1:129" s="1883" customFormat="1" ht="57.75" hidden="1" customHeight="1">
      <c r="A47" s="3737"/>
      <c r="B47" s="1909" t="str">
        <f t="shared" si="0"/>
        <v>2200001817</v>
      </c>
      <c r="C47" s="1495" t="s">
        <v>3399</v>
      </c>
      <c r="D47" s="2072"/>
      <c r="E47" s="1851"/>
      <c r="F47" s="1630" t="s">
        <v>3401</v>
      </c>
      <c r="G47" s="1872"/>
      <c r="H47" s="1495"/>
      <c r="I47" s="1947" t="s">
        <v>19</v>
      </c>
      <c r="J47" s="1872" t="s">
        <v>63</v>
      </c>
      <c r="K47" s="1628" t="s">
        <v>7469</v>
      </c>
      <c r="L47" s="2410">
        <v>400</v>
      </c>
      <c r="M47" s="2153"/>
      <c r="N47" s="1630"/>
      <c r="O47" s="1882"/>
    </row>
    <row r="48" spans="1:129" s="2122" customFormat="1" ht="56.25" hidden="1" customHeight="1">
      <c r="A48" s="3749">
        <v>14</v>
      </c>
      <c r="B48" s="1909" t="str">
        <f>TEXT(LEFT(K48,10),"0000000000")</f>
        <v>2200001818</v>
      </c>
      <c r="C48" s="2118" t="s">
        <v>52</v>
      </c>
      <c r="D48" s="2400">
        <v>4620</v>
      </c>
      <c r="E48" s="2118" t="s">
        <v>7449</v>
      </c>
      <c r="F48" s="2391" t="s">
        <v>16</v>
      </c>
      <c r="G48" s="2120" t="s">
        <v>7470</v>
      </c>
      <c r="H48" s="1921" t="s">
        <v>226</v>
      </c>
      <c r="I48" s="2159" t="s">
        <v>19</v>
      </c>
      <c r="J48" s="2118" t="s">
        <v>1138</v>
      </c>
      <c r="K48" s="2161" t="s">
        <v>7471</v>
      </c>
      <c r="L48" s="2413">
        <v>3370</v>
      </c>
      <c r="M48" s="2161"/>
      <c r="N48" s="2391"/>
      <c r="O48" s="2403"/>
    </row>
    <row r="49" spans="1:15" s="1883" customFormat="1" ht="56.25" hidden="1" customHeight="1">
      <c r="A49" s="3751"/>
      <c r="B49" s="1909" t="str">
        <f t="shared" si="0"/>
        <v>2000002549</v>
      </c>
      <c r="C49" s="1851" t="s">
        <v>52</v>
      </c>
      <c r="D49" s="1915"/>
      <c r="E49" s="1851"/>
      <c r="F49" s="1630" t="s">
        <v>16</v>
      </c>
      <c r="G49" s="1872"/>
      <c r="H49" s="1495"/>
      <c r="I49" s="1947" t="s">
        <v>19</v>
      </c>
      <c r="J49" s="1851" t="s">
        <v>1138</v>
      </c>
      <c r="K49" s="1628" t="s">
        <v>7472</v>
      </c>
      <c r="L49" s="2408">
        <v>1000</v>
      </c>
      <c r="M49" s="1628"/>
      <c r="N49" s="1630"/>
      <c r="O49" s="1882"/>
    </row>
    <row r="50" spans="1:15" s="1883" customFormat="1" ht="56.25" hidden="1" customHeight="1">
      <c r="A50" s="3750"/>
      <c r="B50" s="1909" t="str">
        <f t="shared" si="0"/>
        <v>2000002547</v>
      </c>
      <c r="C50" s="1851" t="s">
        <v>52</v>
      </c>
      <c r="D50" s="1915"/>
      <c r="E50" s="1851"/>
      <c r="F50" s="1630" t="s">
        <v>16</v>
      </c>
      <c r="G50" s="1872"/>
      <c r="H50" s="1495"/>
      <c r="I50" s="1947" t="s">
        <v>19</v>
      </c>
      <c r="J50" s="1851" t="s">
        <v>1138</v>
      </c>
      <c r="K50" s="1628" t="s">
        <v>7473</v>
      </c>
      <c r="L50" s="2408">
        <v>250</v>
      </c>
      <c r="M50" s="1628"/>
      <c r="N50" s="1630"/>
      <c r="O50" s="1882"/>
    </row>
    <row r="51" spans="1:15" s="1883" customFormat="1" ht="87" hidden="1" customHeight="1">
      <c r="A51" s="1850">
        <v>14</v>
      </c>
      <c r="B51" s="1850"/>
      <c r="C51" s="1851" t="s">
        <v>3446</v>
      </c>
      <c r="D51" s="1915">
        <v>4730</v>
      </c>
      <c r="E51" s="1851" t="s">
        <v>7474</v>
      </c>
      <c r="F51" s="1630" t="s">
        <v>3421</v>
      </c>
      <c r="G51" s="1872" t="s">
        <v>7475</v>
      </c>
      <c r="H51" s="1495" t="s">
        <v>226</v>
      </c>
      <c r="I51" s="1947" t="s">
        <v>19</v>
      </c>
      <c r="J51" s="1851" t="s">
        <v>7476</v>
      </c>
      <c r="K51" s="1628" t="s">
        <v>7477</v>
      </c>
      <c r="L51" s="2408">
        <v>4730</v>
      </c>
      <c r="M51" s="1628" t="s">
        <v>7478</v>
      </c>
      <c r="N51" s="1630"/>
      <c r="O51" s="1882"/>
    </row>
    <row r="52" spans="1:15" s="2122" customFormat="1" ht="70.5" hidden="1" customHeight="1">
      <c r="A52" s="2414">
        <v>15</v>
      </c>
      <c r="B52" s="1909" t="str">
        <f t="shared" si="0"/>
        <v>2000002557</v>
      </c>
      <c r="C52" s="2118" t="s">
        <v>3507</v>
      </c>
      <c r="D52" s="2400">
        <v>4200</v>
      </c>
      <c r="E52" s="2118" t="s">
        <v>7479</v>
      </c>
      <c r="F52" s="2391" t="s">
        <v>61</v>
      </c>
      <c r="G52" s="2120" t="s">
        <v>7480</v>
      </c>
      <c r="H52" s="1921" t="s">
        <v>226</v>
      </c>
      <c r="I52" s="2420" t="s">
        <v>19</v>
      </c>
      <c r="J52" s="2118" t="s">
        <v>253</v>
      </c>
      <c r="K52" s="2161" t="s">
        <v>7481</v>
      </c>
      <c r="L52" s="2413">
        <v>4200</v>
      </c>
      <c r="M52" s="2161"/>
      <c r="N52" s="2391"/>
      <c r="O52" s="2403"/>
    </row>
    <row r="53" spans="1:15" s="2122" customFormat="1" ht="66.75" customHeight="1">
      <c r="A53" s="3735">
        <v>16</v>
      </c>
      <c r="B53" s="1909" t="str">
        <f t="shared" si="0"/>
        <v>2200001799</v>
      </c>
      <c r="C53" s="2118" t="s">
        <v>71</v>
      </c>
      <c r="D53" s="2400">
        <v>3720</v>
      </c>
      <c r="E53" s="2118" t="s">
        <v>7482</v>
      </c>
      <c r="F53" s="2391" t="s">
        <v>84</v>
      </c>
      <c r="G53" s="2120" t="s">
        <v>7483</v>
      </c>
      <c r="H53" s="1561" t="s">
        <v>226</v>
      </c>
      <c r="I53" s="1921" t="s">
        <v>19</v>
      </c>
      <c r="J53" s="2159" t="s">
        <v>1138</v>
      </c>
      <c r="K53" s="2161" t="s">
        <v>7484</v>
      </c>
      <c r="L53" s="2413">
        <v>1720</v>
      </c>
      <c r="M53" s="2161"/>
      <c r="N53" s="2391"/>
      <c r="O53" s="2403"/>
    </row>
    <row r="54" spans="1:15" s="1883" customFormat="1" ht="53.25" hidden="1" customHeight="1">
      <c r="A54" s="3737"/>
      <c r="B54" s="1909" t="str">
        <f t="shared" si="0"/>
        <v>2000002536</v>
      </c>
      <c r="C54" s="1851" t="s">
        <v>71</v>
      </c>
      <c r="D54" s="1915"/>
      <c r="E54" s="1851"/>
      <c r="F54" s="1630" t="s">
        <v>84</v>
      </c>
      <c r="G54" s="1872"/>
      <c r="H54" s="1773"/>
      <c r="I54" s="1495" t="s">
        <v>19</v>
      </c>
      <c r="J54" s="1947" t="s">
        <v>1138</v>
      </c>
      <c r="K54" s="1628" t="s">
        <v>7485</v>
      </c>
      <c r="L54" s="2408">
        <v>2000</v>
      </c>
      <c r="M54" s="1628"/>
      <c r="N54" s="1630"/>
      <c r="O54" s="1882"/>
    </row>
    <row r="55" spans="1:15" s="2122" customFormat="1" ht="68.25" hidden="1" customHeight="1">
      <c r="A55" s="3735">
        <v>17</v>
      </c>
      <c r="B55" s="1909" t="str">
        <f t="shared" si="0"/>
        <v>2000002539</v>
      </c>
      <c r="C55" s="2118" t="s">
        <v>3425</v>
      </c>
      <c r="D55" s="2400">
        <v>3700</v>
      </c>
      <c r="E55" s="2118" t="s">
        <v>7486</v>
      </c>
      <c r="F55" s="2391" t="s">
        <v>61</v>
      </c>
      <c r="G55" s="2120" t="s">
        <v>7487</v>
      </c>
      <c r="H55" s="1561" t="s">
        <v>226</v>
      </c>
      <c r="I55" s="1921" t="s">
        <v>19</v>
      </c>
      <c r="J55" s="2279" t="s">
        <v>74</v>
      </c>
      <c r="K55" s="2161" t="s">
        <v>7488</v>
      </c>
      <c r="L55" s="2413">
        <v>2700</v>
      </c>
      <c r="M55" s="2161" t="s">
        <v>7489</v>
      </c>
      <c r="N55" s="2391"/>
      <c r="O55" s="2403"/>
    </row>
    <row r="56" spans="1:15" s="1883" customFormat="1" ht="84.75" hidden="1" customHeight="1">
      <c r="A56" s="3737"/>
      <c r="B56" s="1909" t="str">
        <f t="shared" si="0"/>
        <v>2000002534</v>
      </c>
      <c r="C56" s="1851" t="s">
        <v>3425</v>
      </c>
      <c r="D56" s="1915"/>
      <c r="E56" s="1851"/>
      <c r="F56" s="1630" t="s">
        <v>61</v>
      </c>
      <c r="G56" s="1872"/>
      <c r="H56" s="1773"/>
      <c r="I56" s="1495" t="s">
        <v>19</v>
      </c>
      <c r="J56" s="1568" t="s">
        <v>74</v>
      </c>
      <c r="K56" s="1628" t="s">
        <v>7490</v>
      </c>
      <c r="L56" s="2408">
        <v>1100</v>
      </c>
      <c r="M56" s="1628"/>
      <c r="N56" s="1630"/>
      <c r="O56" s="1882"/>
    </row>
    <row r="57" spans="1:15" s="2122" customFormat="1" ht="69.75" hidden="1" customHeight="1">
      <c r="A57" s="3735">
        <v>18</v>
      </c>
      <c r="B57" s="1909" t="str">
        <f t="shared" si="0"/>
        <v>2000002546</v>
      </c>
      <c r="C57" s="2118" t="s">
        <v>219</v>
      </c>
      <c r="D57" s="2400">
        <v>3000</v>
      </c>
      <c r="E57" s="2118" t="s">
        <v>7491</v>
      </c>
      <c r="F57" s="2391" t="s">
        <v>84</v>
      </c>
      <c r="G57" s="1561" t="s">
        <v>7492</v>
      </c>
      <c r="H57" s="1561" t="s">
        <v>226</v>
      </c>
      <c r="I57" s="1921" t="s">
        <v>19</v>
      </c>
      <c r="J57" s="2279" t="s">
        <v>199</v>
      </c>
      <c r="K57" s="2161" t="s">
        <v>7493</v>
      </c>
      <c r="L57" s="2413">
        <v>1700</v>
      </c>
      <c r="M57" s="2161" t="s">
        <v>7494</v>
      </c>
      <c r="N57" s="2391"/>
      <c r="O57" s="2403"/>
    </row>
    <row r="58" spans="1:15" s="1883" customFormat="1" ht="69.75" hidden="1" customHeight="1">
      <c r="A58" s="3737"/>
      <c r="B58" s="1909" t="str">
        <f t="shared" si="0"/>
        <v>2200001817</v>
      </c>
      <c r="C58" s="1851" t="s">
        <v>219</v>
      </c>
      <c r="D58" s="1915"/>
      <c r="E58" s="1851"/>
      <c r="F58" s="1630" t="s">
        <v>84</v>
      </c>
      <c r="G58" s="1872"/>
      <c r="H58" s="1773"/>
      <c r="I58" s="1495" t="s">
        <v>19</v>
      </c>
      <c r="J58" s="1947" t="s">
        <v>101</v>
      </c>
      <c r="K58" s="1628" t="s">
        <v>7495</v>
      </c>
      <c r="L58" s="2408">
        <v>1300</v>
      </c>
      <c r="M58" s="1628"/>
      <c r="N58" s="1630"/>
      <c r="O58" s="1882"/>
    </row>
    <row r="59" spans="1:15" s="2122" customFormat="1" ht="48.75" hidden="1" customHeight="1">
      <c r="A59" s="3749">
        <v>19</v>
      </c>
      <c r="B59" s="1909" t="str">
        <f t="shared" si="0"/>
        <v>2000002541</v>
      </c>
      <c r="C59" s="2118" t="s">
        <v>42</v>
      </c>
      <c r="D59" s="2400">
        <v>5950</v>
      </c>
      <c r="E59" s="2118" t="s">
        <v>7496</v>
      </c>
      <c r="F59" s="2391" t="s">
        <v>3401</v>
      </c>
      <c r="G59" s="2120" t="s">
        <v>7497</v>
      </c>
      <c r="H59" s="1561" t="s">
        <v>226</v>
      </c>
      <c r="I59" s="1921" t="s">
        <v>19</v>
      </c>
      <c r="J59" s="2159" t="s">
        <v>1138</v>
      </c>
      <c r="K59" s="2161" t="s">
        <v>7498</v>
      </c>
      <c r="L59" s="2413">
        <v>540</v>
      </c>
      <c r="M59" s="2161"/>
      <c r="N59" s="2391"/>
      <c r="O59" s="2403"/>
    </row>
    <row r="60" spans="1:15" s="1883" customFormat="1" ht="64.5" hidden="1" customHeight="1">
      <c r="A60" s="3751"/>
      <c r="B60" s="1909" t="str">
        <f t="shared" si="0"/>
        <v>2200001816</v>
      </c>
      <c r="C60" s="1851" t="s">
        <v>42</v>
      </c>
      <c r="D60" s="2072"/>
      <c r="E60" s="1947"/>
      <c r="F60" s="1630" t="s">
        <v>3401</v>
      </c>
      <c r="G60" s="2025"/>
      <c r="H60" s="1773"/>
      <c r="I60" s="1495" t="s">
        <v>19</v>
      </c>
      <c r="J60" s="1947" t="s">
        <v>1138</v>
      </c>
      <c r="K60" s="1628" t="s">
        <v>7499</v>
      </c>
      <c r="L60" s="2408">
        <v>1600</v>
      </c>
      <c r="M60" s="1628"/>
      <c r="N60" s="1630"/>
      <c r="O60" s="1882"/>
    </row>
    <row r="61" spans="1:15" s="1883" customFormat="1" ht="64.5" hidden="1" customHeight="1">
      <c r="A61" s="3751"/>
      <c r="B61" s="1909" t="str">
        <f t="shared" si="0"/>
        <v>2200001823</v>
      </c>
      <c r="C61" s="1851" t="s">
        <v>42</v>
      </c>
      <c r="D61" s="2072"/>
      <c r="E61" s="1947"/>
      <c r="F61" s="1630" t="s">
        <v>3401</v>
      </c>
      <c r="G61" s="2025"/>
      <c r="H61" s="1773"/>
      <c r="I61" s="1495" t="s">
        <v>19</v>
      </c>
      <c r="J61" s="1947" t="s">
        <v>1138</v>
      </c>
      <c r="K61" s="1628" t="s">
        <v>7500</v>
      </c>
      <c r="L61" s="2408">
        <v>600</v>
      </c>
      <c r="M61" s="1628"/>
      <c r="N61" s="1630"/>
      <c r="O61" s="1882"/>
    </row>
    <row r="62" spans="1:15" s="1883" customFormat="1" ht="64.5" customHeight="1">
      <c r="A62" s="3751"/>
      <c r="B62" s="1909" t="str">
        <f t="shared" si="0"/>
        <v>2200001799</v>
      </c>
      <c r="C62" s="1851" t="s">
        <v>42</v>
      </c>
      <c r="D62" s="2072"/>
      <c r="E62" s="1947"/>
      <c r="F62" s="1630" t="s">
        <v>3401</v>
      </c>
      <c r="G62" s="2025"/>
      <c r="H62" s="1773"/>
      <c r="I62" s="1495" t="s">
        <v>19</v>
      </c>
      <c r="J62" s="1947" t="s">
        <v>1138</v>
      </c>
      <c r="K62" s="1628" t="s">
        <v>7501</v>
      </c>
      <c r="L62" s="2408">
        <v>2000</v>
      </c>
      <c r="M62" s="1628"/>
      <c r="N62" s="1630"/>
      <c r="O62" s="1882"/>
    </row>
    <row r="63" spans="1:15" s="1883" customFormat="1" ht="64.5" hidden="1" customHeight="1">
      <c r="A63" s="3750"/>
      <c r="B63" s="1909" t="str">
        <f t="shared" si="0"/>
        <v>2200001818</v>
      </c>
      <c r="C63" s="1851" t="s">
        <v>42</v>
      </c>
      <c r="D63" s="2072"/>
      <c r="E63" s="1947"/>
      <c r="F63" s="1630" t="s">
        <v>3401</v>
      </c>
      <c r="G63" s="2025"/>
      <c r="H63" s="1773"/>
      <c r="I63" s="1495" t="s">
        <v>19</v>
      </c>
      <c r="J63" s="1947" t="s">
        <v>1138</v>
      </c>
      <c r="K63" s="1628" t="s">
        <v>7502</v>
      </c>
      <c r="L63" s="2408">
        <v>1500</v>
      </c>
      <c r="M63" s="1628"/>
      <c r="N63" s="1630"/>
      <c r="O63" s="1882"/>
    </row>
    <row r="64" spans="1:15" s="2122" customFormat="1" ht="65.25" hidden="1" customHeight="1">
      <c r="A64" s="3749">
        <v>20</v>
      </c>
      <c r="B64" s="1909" t="str">
        <f t="shared" si="0"/>
        <v>2000002561</v>
      </c>
      <c r="C64" s="2391" t="s">
        <v>3464</v>
      </c>
      <c r="D64" s="2435">
        <v>3200</v>
      </c>
      <c r="E64" s="2159" t="s">
        <v>7503</v>
      </c>
      <c r="F64" s="2433" t="s">
        <v>84</v>
      </c>
      <c r="G64" s="2298" t="s">
        <v>7504</v>
      </c>
      <c r="H64" s="1561" t="s">
        <v>226</v>
      </c>
      <c r="I64" s="1921" t="s">
        <v>19</v>
      </c>
      <c r="J64" s="2159" t="s">
        <v>1138</v>
      </c>
      <c r="K64" s="2369" t="s">
        <v>7505</v>
      </c>
      <c r="L64" s="2434">
        <v>1300</v>
      </c>
      <c r="M64" s="2161"/>
      <c r="N64" s="2391"/>
      <c r="O64" s="2403"/>
    </row>
    <row r="65" spans="1:15" s="1883" customFormat="1" ht="65.25" hidden="1" customHeight="1">
      <c r="A65" s="3750"/>
      <c r="B65" s="1909" t="str">
        <f t="shared" si="0"/>
        <v>2000002560</v>
      </c>
      <c r="C65" s="1935" t="s">
        <v>3464</v>
      </c>
      <c r="D65" s="1901"/>
      <c r="E65" s="1947"/>
      <c r="F65" s="1941" t="s">
        <v>84</v>
      </c>
      <c r="G65" s="2025"/>
      <c r="H65" s="1773"/>
      <c r="I65" s="1495" t="s">
        <v>19</v>
      </c>
      <c r="J65" s="1947" t="s">
        <v>1138</v>
      </c>
      <c r="K65" s="1962" t="s">
        <v>7506</v>
      </c>
      <c r="L65" s="2411">
        <v>2000</v>
      </c>
      <c r="M65" s="1628"/>
      <c r="N65" s="1630"/>
      <c r="O65" s="1882"/>
    </row>
    <row r="66" spans="1:15" s="2122" customFormat="1" ht="74.25" hidden="1" customHeight="1">
      <c r="A66" s="3735">
        <v>21</v>
      </c>
      <c r="B66" s="1909" t="str">
        <f t="shared" si="0"/>
        <v>2200001824</v>
      </c>
      <c r="C66" s="2118" t="s">
        <v>4786</v>
      </c>
      <c r="D66" s="2416">
        <v>5850</v>
      </c>
      <c r="E66" s="2118" t="s">
        <v>7507</v>
      </c>
      <c r="F66" s="2391" t="s">
        <v>16</v>
      </c>
      <c r="G66" s="2120" t="s">
        <v>7508</v>
      </c>
      <c r="H66" s="1561" t="s">
        <v>226</v>
      </c>
      <c r="I66" s="1921" t="s">
        <v>19</v>
      </c>
      <c r="J66" s="2159" t="s">
        <v>1138</v>
      </c>
      <c r="K66" s="2161" t="s">
        <v>7509</v>
      </c>
      <c r="L66" s="2413">
        <v>1000</v>
      </c>
      <c r="M66" s="2161"/>
      <c r="N66" s="2391"/>
      <c r="O66" s="2403"/>
    </row>
    <row r="67" spans="1:15" s="1945" customFormat="1" ht="74.25" hidden="1" customHeight="1">
      <c r="A67" s="3737"/>
      <c r="B67" s="2261" t="str">
        <f t="shared" si="0"/>
        <v>2200001818</v>
      </c>
      <c r="C67" s="1875" t="s">
        <v>4786</v>
      </c>
      <c r="D67" s="1918"/>
      <c r="E67" s="1946"/>
      <c r="F67" s="1869" t="s">
        <v>16</v>
      </c>
      <c r="G67" s="2028"/>
      <c r="H67" s="1899"/>
      <c r="I67" s="1543" t="s">
        <v>19</v>
      </c>
      <c r="J67" s="1946" t="s">
        <v>1138</v>
      </c>
      <c r="K67" s="1988" t="s">
        <v>7510</v>
      </c>
      <c r="L67" s="2409">
        <v>4850</v>
      </c>
      <c r="M67" s="1988"/>
      <c r="N67" s="1869"/>
      <c r="O67" s="1867"/>
    </row>
    <row r="68" spans="1:15" s="2150" customFormat="1" ht="71.25" hidden="1" customHeight="1">
      <c r="A68" s="3749">
        <v>22</v>
      </c>
      <c r="B68" s="2261" t="str">
        <f t="shared" si="0"/>
        <v>2000002501</v>
      </c>
      <c r="C68" s="1921" t="s">
        <v>211</v>
      </c>
      <c r="D68" s="2418">
        <v>4000</v>
      </c>
      <c r="E68" s="1921" t="s">
        <v>7511</v>
      </c>
      <c r="F68" s="1902" t="s">
        <v>61</v>
      </c>
      <c r="G68" s="1921" t="s">
        <v>7512</v>
      </c>
      <c r="H68" s="1921" t="s">
        <v>226</v>
      </c>
      <c r="I68" s="1921" t="s">
        <v>19</v>
      </c>
      <c r="J68" s="1921" t="s">
        <v>1138</v>
      </c>
      <c r="K68" s="2194" t="s">
        <v>7513</v>
      </c>
      <c r="L68" s="2428">
        <v>700</v>
      </c>
      <c r="M68" s="2194"/>
      <c r="N68" s="1902"/>
      <c r="O68" s="2429"/>
    </row>
    <row r="69" spans="1:15" s="1548" customFormat="1" ht="62.25" hidden="1" customHeight="1">
      <c r="A69" s="3751"/>
      <c r="B69" s="2261" t="str">
        <f t="shared" si="0"/>
        <v>2000002551</v>
      </c>
      <c r="C69" s="1495" t="s">
        <v>211</v>
      </c>
      <c r="D69" s="1901"/>
      <c r="E69" s="1495"/>
      <c r="F69" s="1493" t="s">
        <v>61</v>
      </c>
      <c r="G69" s="1495"/>
      <c r="H69" s="1495"/>
      <c r="I69" s="1495" t="s">
        <v>19</v>
      </c>
      <c r="J69" s="1495" t="s">
        <v>1138</v>
      </c>
      <c r="K69" s="1496" t="s">
        <v>7514</v>
      </c>
      <c r="L69" s="2415">
        <v>3000</v>
      </c>
      <c r="M69" s="1496"/>
      <c r="N69" s="1493"/>
      <c r="O69" s="1790"/>
    </row>
    <row r="70" spans="1:15" s="1548" customFormat="1" ht="62.25" hidden="1" customHeight="1">
      <c r="A70" s="3759"/>
      <c r="B70" s="1909" t="str">
        <f t="shared" ref="B70:B107" si="1">TEXT(LEFT(K70,10),"0000000000")</f>
        <v>2200001814</v>
      </c>
      <c r="C70" s="1568" t="s">
        <v>211</v>
      </c>
      <c r="D70" s="1901"/>
      <c r="E70" s="1495"/>
      <c r="F70" s="1493" t="s">
        <v>61</v>
      </c>
      <c r="G70" s="1495"/>
      <c r="H70" s="1495"/>
      <c r="I70" s="1495" t="s">
        <v>19</v>
      </c>
      <c r="J70" s="1495" t="s">
        <v>1138</v>
      </c>
      <c r="K70" s="1496" t="s">
        <v>7515</v>
      </c>
      <c r="L70" s="2415">
        <v>400</v>
      </c>
      <c r="M70" s="1496"/>
      <c r="N70" s="1493"/>
      <c r="O70" s="1790"/>
    </row>
    <row r="71" spans="1:15" s="2129" customFormat="1" ht="79.5" hidden="1" customHeight="1">
      <c r="A71" s="2437">
        <v>23</v>
      </c>
      <c r="B71" s="2261" t="str">
        <f t="shared" si="1"/>
        <v>2200001818</v>
      </c>
      <c r="C71" s="2184" t="s">
        <v>2915</v>
      </c>
      <c r="D71" s="2435">
        <v>3240</v>
      </c>
      <c r="E71" s="2184" t="s">
        <v>7516</v>
      </c>
      <c r="F71" s="2198" t="s">
        <v>61</v>
      </c>
      <c r="G71" s="2186" t="s">
        <v>7517</v>
      </c>
      <c r="H71" s="2186" t="s">
        <v>226</v>
      </c>
      <c r="I71" s="2184" t="s">
        <v>19</v>
      </c>
      <c r="J71" s="2420" t="s">
        <v>1138</v>
      </c>
      <c r="K71" s="2188" t="s">
        <v>7518</v>
      </c>
      <c r="L71" s="2438">
        <v>3240</v>
      </c>
      <c r="M71" s="2422"/>
      <c r="N71" s="2198"/>
      <c r="O71" s="2198"/>
    </row>
    <row r="72" spans="1:15" s="2150" customFormat="1" ht="70.5" hidden="1" customHeight="1">
      <c r="A72" s="3749">
        <v>24</v>
      </c>
      <c r="B72" s="2261" t="str">
        <f t="shared" si="1"/>
        <v>2200001826</v>
      </c>
      <c r="C72" s="1921" t="s">
        <v>5984</v>
      </c>
      <c r="D72" s="2418">
        <v>4400</v>
      </c>
      <c r="E72" s="1921" t="s">
        <v>7519</v>
      </c>
      <c r="F72" s="1902" t="s">
        <v>61</v>
      </c>
      <c r="G72" s="1921" t="s">
        <v>7520</v>
      </c>
      <c r="H72" s="1921" t="s">
        <v>226</v>
      </c>
      <c r="I72" s="1921" t="s">
        <v>19</v>
      </c>
      <c r="J72" s="1921" t="s">
        <v>1138</v>
      </c>
      <c r="K72" s="2194" t="s">
        <v>7521</v>
      </c>
      <c r="L72" s="2428">
        <v>1322</v>
      </c>
      <c r="M72" s="2194" t="s">
        <v>7522</v>
      </c>
      <c r="N72" s="1902"/>
      <c r="O72" s="2429"/>
    </row>
    <row r="73" spans="1:15" s="1548" customFormat="1" ht="60.75" hidden="1" customHeight="1">
      <c r="A73" s="3751"/>
      <c r="B73" s="2261" t="str">
        <f t="shared" si="1"/>
        <v>2200001827</v>
      </c>
      <c r="C73" s="1495" t="s">
        <v>5984</v>
      </c>
      <c r="D73" s="1901"/>
      <c r="E73" s="1495"/>
      <c r="F73" s="1493" t="s">
        <v>61</v>
      </c>
      <c r="G73" s="1495"/>
      <c r="H73" s="1495"/>
      <c r="I73" s="1495" t="s">
        <v>19</v>
      </c>
      <c r="J73" s="1495" t="s">
        <v>1138</v>
      </c>
      <c r="K73" s="1496" t="s">
        <v>7523</v>
      </c>
      <c r="L73" s="2415">
        <v>859</v>
      </c>
      <c r="M73" s="1496"/>
      <c r="N73" s="1493"/>
      <c r="O73" s="1790"/>
    </row>
    <row r="74" spans="1:15" s="1548" customFormat="1" ht="60.75" hidden="1" customHeight="1">
      <c r="A74" s="3751"/>
      <c r="B74" s="2261" t="str">
        <f t="shared" si="1"/>
        <v>2200001818</v>
      </c>
      <c r="C74" s="1495" t="s">
        <v>5984</v>
      </c>
      <c r="D74" s="1901"/>
      <c r="E74" s="1495"/>
      <c r="F74" s="1493" t="s">
        <v>61</v>
      </c>
      <c r="G74" s="1495"/>
      <c r="H74" s="1495"/>
      <c r="I74" s="1495" t="s">
        <v>19</v>
      </c>
      <c r="J74" s="1495" t="s">
        <v>1138</v>
      </c>
      <c r="K74" s="1496" t="s">
        <v>7524</v>
      </c>
      <c r="L74" s="2415">
        <v>1500</v>
      </c>
      <c r="M74" s="1496"/>
      <c r="N74" s="1493"/>
      <c r="O74" s="1790"/>
    </row>
    <row r="75" spans="1:15" s="1559" customFormat="1" ht="60.75" hidden="1" customHeight="1">
      <c r="A75" s="3750"/>
      <c r="B75" s="2261" t="str">
        <f t="shared" si="1"/>
        <v>2000002561</v>
      </c>
      <c r="C75" s="1543" t="s">
        <v>5984</v>
      </c>
      <c r="D75" s="1913"/>
      <c r="E75" s="1543"/>
      <c r="F75" s="1545" t="s">
        <v>61</v>
      </c>
      <c r="G75" s="1543"/>
      <c r="H75" s="1543"/>
      <c r="I75" s="1543" t="s">
        <v>19</v>
      </c>
      <c r="J75" s="1543" t="s">
        <v>1138</v>
      </c>
      <c r="K75" s="1546" t="s">
        <v>7525</v>
      </c>
      <c r="L75" s="2425">
        <v>700</v>
      </c>
      <c r="M75" s="1546"/>
      <c r="N75" s="1545"/>
      <c r="O75" s="1852"/>
    </row>
    <row r="76" spans="1:15" s="2150" customFormat="1" ht="60" hidden="1" customHeight="1">
      <c r="A76" s="2436">
        <v>25</v>
      </c>
      <c r="B76" s="1909" t="str">
        <f t="shared" si="1"/>
        <v>2000002569</v>
      </c>
      <c r="C76" s="1902" t="s">
        <v>93</v>
      </c>
      <c r="D76" s="2418">
        <v>2950</v>
      </c>
      <c r="E76" s="1921" t="s">
        <v>7526</v>
      </c>
      <c r="F76" s="1902" t="s">
        <v>84</v>
      </c>
      <c r="G76" s="1921"/>
      <c r="H76" s="1921" t="s">
        <v>7527</v>
      </c>
      <c r="I76" s="1921" t="s">
        <v>19</v>
      </c>
      <c r="J76" s="1921" t="s">
        <v>63</v>
      </c>
      <c r="K76" s="2194" t="s">
        <v>7528</v>
      </c>
      <c r="L76" s="2428">
        <v>3000</v>
      </c>
      <c r="M76" s="2194"/>
      <c r="N76" s="1902"/>
      <c r="O76" s="2429"/>
    </row>
    <row r="77" spans="1:15" s="2122" customFormat="1" ht="60.75" hidden="1" customHeight="1">
      <c r="A77" s="3735">
        <v>26</v>
      </c>
      <c r="B77" s="1909" t="str">
        <f t="shared" si="1"/>
        <v>2000002526</v>
      </c>
      <c r="C77" s="2391" t="s">
        <v>82</v>
      </c>
      <c r="D77" s="2400">
        <v>4230</v>
      </c>
      <c r="E77" s="2118" t="s">
        <v>7526</v>
      </c>
      <c r="F77" s="2439" t="s">
        <v>84</v>
      </c>
      <c r="G77" s="2118"/>
      <c r="H77" s="2298" t="s">
        <v>7527</v>
      </c>
      <c r="I77" s="2118" t="s">
        <v>19</v>
      </c>
      <c r="J77" s="2159" t="s">
        <v>63</v>
      </c>
      <c r="K77" s="2161" t="s">
        <v>7529</v>
      </c>
      <c r="L77" s="2413">
        <v>700</v>
      </c>
      <c r="M77" s="2154"/>
      <c r="N77" s="2391"/>
      <c r="O77" s="2403"/>
    </row>
    <row r="78" spans="1:15" s="1883" customFormat="1" ht="57" hidden="1" customHeight="1">
      <c r="A78" s="3736"/>
      <c r="B78" s="1909" t="str">
        <f t="shared" si="1"/>
        <v>2000002566</v>
      </c>
      <c r="C78" s="1630" t="s">
        <v>82</v>
      </c>
      <c r="D78" s="1915"/>
      <c r="E78" s="1495"/>
      <c r="F78" s="2073" t="s">
        <v>84</v>
      </c>
      <c r="G78" s="1495"/>
      <c r="H78" s="2025"/>
      <c r="I78" s="1851" t="s">
        <v>19</v>
      </c>
      <c r="J78" s="1947" t="s">
        <v>63</v>
      </c>
      <c r="K78" s="1628" t="s">
        <v>7530</v>
      </c>
      <c r="L78" s="2408">
        <v>1000</v>
      </c>
      <c r="M78" s="2154"/>
      <c r="N78" s="1630"/>
      <c r="O78" s="1882"/>
    </row>
    <row r="79" spans="1:15" s="1883" customFormat="1" ht="57" hidden="1" customHeight="1">
      <c r="A79" s="3736"/>
      <c r="B79" s="1909" t="str">
        <f t="shared" si="1"/>
        <v>2000002564</v>
      </c>
      <c r="C79" s="1630" t="s">
        <v>82</v>
      </c>
      <c r="D79" s="1915"/>
      <c r="E79" s="1495"/>
      <c r="F79" s="2073" t="s">
        <v>84</v>
      </c>
      <c r="G79" s="1495"/>
      <c r="H79" s="2025"/>
      <c r="I79" s="1851" t="s">
        <v>19</v>
      </c>
      <c r="J79" s="1947" t="s">
        <v>63</v>
      </c>
      <c r="K79" s="1628" t="s">
        <v>7531</v>
      </c>
      <c r="L79" s="2408">
        <v>500</v>
      </c>
      <c r="M79" s="2154"/>
      <c r="N79" s="1630"/>
      <c r="O79" s="1882"/>
    </row>
    <row r="80" spans="1:15" s="1883" customFormat="1" ht="57" hidden="1" customHeight="1">
      <c r="A80" s="3736"/>
      <c r="B80" s="1909" t="str">
        <f t="shared" si="1"/>
        <v>2000002562</v>
      </c>
      <c r="C80" s="1630" t="s">
        <v>82</v>
      </c>
      <c r="D80" s="1915"/>
      <c r="E80" s="1495"/>
      <c r="F80" s="2073" t="s">
        <v>84</v>
      </c>
      <c r="G80" s="1495"/>
      <c r="H80" s="2025"/>
      <c r="I80" s="1851" t="s">
        <v>19</v>
      </c>
      <c r="J80" s="1947" t="s">
        <v>63</v>
      </c>
      <c r="K80" s="1628" t="s">
        <v>7532</v>
      </c>
      <c r="L80" s="2408">
        <v>500</v>
      </c>
      <c r="M80" s="2154"/>
      <c r="N80" s="1630"/>
      <c r="O80" s="1882"/>
    </row>
    <row r="81" spans="1:15" s="1883" customFormat="1" ht="57" hidden="1" customHeight="1">
      <c r="A81" s="3736"/>
      <c r="B81" s="1909" t="str">
        <f t="shared" si="1"/>
        <v>2000002558</v>
      </c>
      <c r="C81" s="1630" t="s">
        <v>82</v>
      </c>
      <c r="D81" s="1915"/>
      <c r="E81" s="1495"/>
      <c r="F81" s="2073" t="s">
        <v>84</v>
      </c>
      <c r="G81" s="1495"/>
      <c r="H81" s="2025"/>
      <c r="I81" s="1851" t="s">
        <v>19</v>
      </c>
      <c r="J81" s="1947" t="s">
        <v>63</v>
      </c>
      <c r="K81" s="1628" t="s">
        <v>7533</v>
      </c>
      <c r="L81" s="2408">
        <v>100</v>
      </c>
      <c r="M81" s="2154"/>
      <c r="N81" s="1630"/>
      <c r="O81" s="1882"/>
    </row>
    <row r="82" spans="1:15" s="1883" customFormat="1" ht="57" hidden="1" customHeight="1">
      <c r="A82" s="3736"/>
      <c r="B82" s="1909" t="str">
        <f t="shared" si="1"/>
        <v>2000002513</v>
      </c>
      <c r="C82" s="1630" t="s">
        <v>82</v>
      </c>
      <c r="D82" s="1915"/>
      <c r="E82" s="1495"/>
      <c r="F82" s="2073" t="s">
        <v>84</v>
      </c>
      <c r="G82" s="1495"/>
      <c r="H82" s="2025"/>
      <c r="I82" s="1851" t="s">
        <v>19</v>
      </c>
      <c r="J82" s="1947" t="s">
        <v>63</v>
      </c>
      <c r="K82" s="1628" t="s">
        <v>7534</v>
      </c>
      <c r="L82" s="2408">
        <v>1000</v>
      </c>
      <c r="M82" s="2154"/>
      <c r="N82" s="1630"/>
      <c r="O82" s="1882"/>
    </row>
    <row r="83" spans="1:15" s="1883" customFormat="1" ht="57" hidden="1" customHeight="1">
      <c r="A83" s="3737"/>
      <c r="B83" s="1909" t="str">
        <f t="shared" si="1"/>
        <v>2000002554</v>
      </c>
      <c r="C83" s="1630" t="s">
        <v>82</v>
      </c>
      <c r="D83" s="1915"/>
      <c r="E83" s="1495"/>
      <c r="F83" s="2073" t="s">
        <v>84</v>
      </c>
      <c r="G83" s="1495"/>
      <c r="H83" s="2025"/>
      <c r="I83" s="1851" t="s">
        <v>19</v>
      </c>
      <c r="J83" s="1947" t="s">
        <v>63</v>
      </c>
      <c r="K83" s="1628" t="s">
        <v>7535</v>
      </c>
      <c r="L83" s="2408">
        <v>500</v>
      </c>
      <c r="M83" s="2154"/>
      <c r="N83" s="1630"/>
      <c r="O83" s="1882"/>
    </row>
    <row r="84" spans="1:15" s="2122" customFormat="1" ht="72.75" hidden="1" customHeight="1">
      <c r="A84" s="3749">
        <v>27</v>
      </c>
      <c r="B84" s="1909" t="str">
        <f t="shared" si="1"/>
        <v>2000002507</v>
      </c>
      <c r="C84" s="1902" t="s">
        <v>3399</v>
      </c>
      <c r="D84" s="2400">
        <v>8500</v>
      </c>
      <c r="E84" s="1921" t="s">
        <v>7536</v>
      </c>
      <c r="F84" s="2439" t="s">
        <v>3401</v>
      </c>
      <c r="G84" s="1921"/>
      <c r="H84" s="2298" t="s">
        <v>7527</v>
      </c>
      <c r="I84" s="1921" t="s">
        <v>19</v>
      </c>
      <c r="J84" s="2279" t="s">
        <v>63</v>
      </c>
      <c r="K84" s="2161" t="s">
        <v>7537</v>
      </c>
      <c r="L84" s="2413">
        <v>7400</v>
      </c>
      <c r="M84" s="2161"/>
      <c r="N84" s="2391"/>
      <c r="O84" s="2403"/>
    </row>
    <row r="85" spans="1:15" s="2122" customFormat="1" ht="72.75" hidden="1" customHeight="1">
      <c r="A85" s="3751"/>
      <c r="B85" s="1909" t="str">
        <f t="shared" si="1"/>
        <v>2000002508</v>
      </c>
      <c r="C85" s="1493" t="s">
        <v>3399</v>
      </c>
      <c r="D85" s="2431"/>
      <c r="E85" s="2159"/>
      <c r="F85" s="2073" t="s">
        <v>3401</v>
      </c>
      <c r="G85" s="1921"/>
      <c r="H85" s="2298"/>
      <c r="I85" s="1495" t="s">
        <v>19</v>
      </c>
      <c r="J85" s="1568" t="s">
        <v>63</v>
      </c>
      <c r="K85" s="2161" t="s">
        <v>7538</v>
      </c>
      <c r="L85" s="2413"/>
      <c r="M85" s="2161"/>
      <c r="N85" s="2391"/>
      <c r="O85" s="2403"/>
    </row>
    <row r="86" spans="1:15" s="2122" customFormat="1" ht="72.75" hidden="1" customHeight="1">
      <c r="A86" s="3751"/>
      <c r="B86" s="1909" t="str">
        <f t="shared" si="1"/>
        <v>2000002511</v>
      </c>
      <c r="C86" s="1493" t="s">
        <v>3399</v>
      </c>
      <c r="D86" s="2431"/>
      <c r="E86" s="2159"/>
      <c r="F86" s="2073" t="s">
        <v>3401</v>
      </c>
      <c r="G86" s="1921"/>
      <c r="H86" s="2298"/>
      <c r="I86" s="1495" t="s">
        <v>19</v>
      </c>
      <c r="J86" s="1568" t="s">
        <v>63</v>
      </c>
      <c r="K86" s="2161" t="s">
        <v>7539</v>
      </c>
      <c r="L86" s="2413"/>
      <c r="M86" s="2161"/>
      <c r="N86" s="2391"/>
      <c r="O86" s="2403"/>
    </row>
    <row r="87" spans="1:15" s="1883" customFormat="1" ht="72.75" hidden="1" customHeight="1">
      <c r="A87" s="3750"/>
      <c r="B87" s="1909" t="str">
        <f t="shared" si="1"/>
        <v>2000002513</v>
      </c>
      <c r="C87" s="1493" t="s">
        <v>3399</v>
      </c>
      <c r="D87" s="2072"/>
      <c r="E87" s="1947"/>
      <c r="F87" s="2073" t="s">
        <v>3401</v>
      </c>
      <c r="G87" s="1495"/>
      <c r="H87" s="2025"/>
      <c r="I87" s="1495" t="s">
        <v>19</v>
      </c>
      <c r="J87" s="1568" t="s">
        <v>63</v>
      </c>
      <c r="K87" s="1628" t="s">
        <v>7540</v>
      </c>
      <c r="L87" s="2408">
        <v>1000</v>
      </c>
      <c r="M87" s="1628"/>
      <c r="N87" s="1630"/>
      <c r="O87" s="1882"/>
    </row>
    <row r="88" spans="1:15" s="1883" customFormat="1" ht="68.25" hidden="1" customHeight="1">
      <c r="A88" s="3735">
        <v>28</v>
      </c>
      <c r="B88" s="1909" t="str">
        <f t="shared" si="1"/>
        <v>2000002563</v>
      </c>
      <c r="C88" s="1851" t="s">
        <v>5558</v>
      </c>
      <c r="D88" s="2072">
        <v>7400</v>
      </c>
      <c r="E88" s="1947" t="s">
        <v>7541</v>
      </c>
      <c r="F88" s="1941" t="s">
        <v>3401</v>
      </c>
      <c r="G88" s="1495" t="s">
        <v>7542</v>
      </c>
      <c r="H88" s="1899"/>
      <c r="I88" s="1495" t="s">
        <v>19</v>
      </c>
      <c r="J88" s="1947" t="s">
        <v>1138</v>
      </c>
      <c r="K88" s="1628" t="s">
        <v>7543</v>
      </c>
      <c r="L88" s="2408">
        <v>3000</v>
      </c>
      <c r="N88" s="2076"/>
      <c r="O88" s="1630"/>
    </row>
    <row r="89" spans="1:15" s="1883" customFormat="1" ht="68.25" hidden="1" customHeight="1">
      <c r="A89" s="3736"/>
      <c r="B89" s="1909" t="str">
        <f t="shared" si="1"/>
        <v>2000002578</v>
      </c>
      <c r="C89" s="1851" t="s">
        <v>5558</v>
      </c>
      <c r="D89" s="2072"/>
      <c r="E89" s="1947"/>
      <c r="F89" s="1941" t="s">
        <v>3401</v>
      </c>
      <c r="G89" s="1773"/>
      <c r="H89" s="1495"/>
      <c r="I89" s="1568" t="s">
        <v>19</v>
      </c>
      <c r="J89" s="1947" t="s">
        <v>1138</v>
      </c>
      <c r="K89" s="1628" t="s">
        <v>7544</v>
      </c>
      <c r="L89" s="2408">
        <v>2500</v>
      </c>
      <c r="M89" s="2440" t="s">
        <v>7545</v>
      </c>
      <c r="N89" s="2076"/>
      <c r="O89" s="1630"/>
    </row>
    <row r="90" spans="1:15" s="1883" customFormat="1" ht="68.25" hidden="1" customHeight="1">
      <c r="A90" s="3737"/>
      <c r="B90" s="1909" t="str">
        <f t="shared" si="1"/>
        <v>2000002579</v>
      </c>
      <c r="C90" s="1851" t="s">
        <v>5558</v>
      </c>
      <c r="D90" s="2072"/>
      <c r="E90" s="1947"/>
      <c r="F90" s="1941" t="s">
        <v>3401</v>
      </c>
      <c r="G90" s="1773"/>
      <c r="H90" s="1495"/>
      <c r="I90" s="1568" t="s">
        <v>19</v>
      </c>
      <c r="J90" s="1947" t="s">
        <v>1138</v>
      </c>
      <c r="K90" s="1628" t="s">
        <v>7546</v>
      </c>
      <c r="L90" s="2408">
        <v>1930</v>
      </c>
      <c r="M90" s="2075"/>
      <c r="N90" s="2076"/>
      <c r="O90" s="1630"/>
    </row>
    <row r="91" spans="1:15" s="1883" customFormat="1" ht="68.25" hidden="1" customHeight="1">
      <c r="A91" s="2071">
        <v>29</v>
      </c>
      <c r="B91" s="1909" t="str">
        <f t="shared" si="1"/>
        <v>2200001828</v>
      </c>
      <c r="C91" s="1851" t="s">
        <v>5558</v>
      </c>
      <c r="D91" s="2072"/>
      <c r="E91" s="1947"/>
      <c r="F91" s="1941" t="s">
        <v>3401</v>
      </c>
      <c r="G91" s="1773"/>
      <c r="H91" s="1495"/>
      <c r="I91" s="1568" t="s">
        <v>19</v>
      </c>
      <c r="J91" s="1947" t="s">
        <v>1138</v>
      </c>
      <c r="K91" s="1628" t="s">
        <v>7547</v>
      </c>
      <c r="L91" s="2408">
        <v>234</v>
      </c>
      <c r="M91" s="2075"/>
      <c r="N91" s="2076"/>
      <c r="O91" s="1630"/>
    </row>
    <row r="92" spans="1:15" s="1945" customFormat="1" ht="65.25" hidden="1" customHeight="1">
      <c r="A92" s="2394">
        <v>30</v>
      </c>
      <c r="B92" s="2261" t="str">
        <f t="shared" si="1"/>
        <v>2000002554</v>
      </c>
      <c r="C92" s="1545" t="s">
        <v>3109</v>
      </c>
      <c r="D92" s="1918">
        <v>18000</v>
      </c>
      <c r="E92" s="1543" t="s">
        <v>7548</v>
      </c>
      <c r="F92" s="1474" t="s">
        <v>3401</v>
      </c>
      <c r="G92" s="1543" t="s">
        <v>7549</v>
      </c>
      <c r="H92" s="2024" t="s">
        <v>7527</v>
      </c>
      <c r="I92" s="1543" t="s">
        <v>19</v>
      </c>
      <c r="J92" s="1900" t="s">
        <v>63</v>
      </c>
      <c r="K92" s="1988" t="s">
        <v>7550</v>
      </c>
      <c r="L92" s="2409">
        <v>18000</v>
      </c>
      <c r="M92" s="2078"/>
      <c r="N92" s="2078"/>
      <c r="O92" s="1867"/>
    </row>
    <row r="93" spans="1:15" s="1548" customFormat="1" ht="89.25" hidden="1" customHeight="1">
      <c r="A93" s="3735">
        <v>31</v>
      </c>
      <c r="B93" s="2261" t="str">
        <f t="shared" si="1"/>
        <v xml:space="preserve">
200000258</v>
      </c>
      <c r="C93" s="1493" t="s">
        <v>5699</v>
      </c>
      <c r="D93" s="1901">
        <v>4000</v>
      </c>
      <c r="E93" s="1495" t="s">
        <v>7551</v>
      </c>
      <c r="F93" s="1493" t="s">
        <v>84</v>
      </c>
      <c r="G93" s="1495" t="s">
        <v>7552</v>
      </c>
      <c r="H93" s="1495" t="s">
        <v>7527</v>
      </c>
      <c r="I93" s="1495" t="s">
        <v>19</v>
      </c>
      <c r="J93" s="1495" t="s">
        <v>63</v>
      </c>
      <c r="K93" s="1496" t="s">
        <v>7553</v>
      </c>
      <c r="L93" s="2415">
        <v>2000</v>
      </c>
      <c r="M93" s="1496"/>
      <c r="N93" s="2441"/>
      <c r="O93" s="1790"/>
    </row>
    <row r="94" spans="1:15" s="1559" customFormat="1" ht="89.25" hidden="1" customHeight="1">
      <c r="A94" s="3737"/>
      <c r="B94" s="2261" t="str">
        <f t="shared" si="1"/>
        <v>2000002584</v>
      </c>
      <c r="C94" s="1545" t="s">
        <v>5699</v>
      </c>
      <c r="D94" s="1913"/>
      <c r="E94" s="1543"/>
      <c r="F94" s="1545" t="s">
        <v>84</v>
      </c>
      <c r="G94" s="1543"/>
      <c r="H94" s="1543"/>
      <c r="I94" s="1543" t="s">
        <v>19</v>
      </c>
      <c r="J94" s="1543" t="s">
        <v>63</v>
      </c>
      <c r="K94" s="1546" t="s">
        <v>7554</v>
      </c>
      <c r="L94" s="2425">
        <v>2000</v>
      </c>
      <c r="M94" s="1546"/>
      <c r="N94" s="2442"/>
      <c r="O94" s="1852"/>
    </row>
    <row r="95" spans="1:15" s="2150" customFormat="1" ht="84.75" hidden="1" customHeight="1">
      <c r="A95" s="3735">
        <v>32</v>
      </c>
      <c r="B95" s="1909" t="str">
        <f t="shared" si="1"/>
        <v>2000002554</v>
      </c>
      <c r="C95" s="1902" t="s">
        <v>112</v>
      </c>
      <c r="D95" s="2418">
        <v>11700</v>
      </c>
      <c r="E95" s="1921" t="s">
        <v>7548</v>
      </c>
      <c r="F95" s="1902" t="s">
        <v>84</v>
      </c>
      <c r="G95" s="1921" t="s">
        <v>7555</v>
      </c>
      <c r="H95" s="1921" t="s">
        <v>7556</v>
      </c>
      <c r="I95" s="1921" t="s">
        <v>19</v>
      </c>
      <c r="J95" s="1921" t="s">
        <v>63</v>
      </c>
      <c r="K95" s="2194" t="s">
        <v>7557</v>
      </c>
      <c r="L95" s="2428">
        <v>1500</v>
      </c>
      <c r="M95" s="2441"/>
      <c r="N95" s="2441"/>
      <c r="O95" s="2429"/>
    </row>
    <row r="96" spans="1:15" s="1548" customFormat="1" ht="63.75" hidden="1" customHeight="1">
      <c r="A96" s="3736"/>
      <c r="B96" s="1909" t="str">
        <f t="shared" si="1"/>
        <v>2000002538</v>
      </c>
      <c r="C96" s="1493" t="s">
        <v>112</v>
      </c>
      <c r="D96" s="1901"/>
      <c r="E96" s="1495"/>
      <c r="F96" s="1493" t="s">
        <v>84</v>
      </c>
      <c r="G96" s="1495"/>
      <c r="H96" s="1495"/>
      <c r="I96" s="1495" t="s">
        <v>19</v>
      </c>
      <c r="J96" s="1495" t="s">
        <v>63</v>
      </c>
      <c r="K96" s="1496" t="s">
        <v>7558</v>
      </c>
      <c r="L96" s="2415">
        <v>5000</v>
      </c>
      <c r="M96" s="2441"/>
      <c r="N96" s="2441"/>
      <c r="O96" s="1790"/>
    </row>
    <row r="97" spans="1:15" s="1548" customFormat="1" ht="69" hidden="1" customHeight="1">
      <c r="A97" s="3736"/>
      <c r="B97" s="1909" t="str">
        <f t="shared" si="1"/>
        <v>2000002581</v>
      </c>
      <c r="C97" s="1493" t="s">
        <v>112</v>
      </c>
      <c r="D97" s="1901"/>
      <c r="E97" s="1495"/>
      <c r="F97" s="1493" t="s">
        <v>84</v>
      </c>
      <c r="G97" s="1495"/>
      <c r="H97" s="1495"/>
      <c r="I97" s="1495" t="s">
        <v>19</v>
      </c>
      <c r="J97" s="1495" t="s">
        <v>123</v>
      </c>
      <c r="K97" s="1496" t="s">
        <v>7559</v>
      </c>
      <c r="L97" s="2415">
        <v>4200</v>
      </c>
      <c r="M97" s="2441"/>
      <c r="N97" s="2441"/>
      <c r="O97" s="1790"/>
    </row>
    <row r="98" spans="1:15" s="1548" customFormat="1" ht="69" hidden="1" customHeight="1">
      <c r="A98" s="3737"/>
      <c r="B98" s="1909" t="str">
        <f t="shared" si="1"/>
        <v>2000002582</v>
      </c>
      <c r="C98" s="1493" t="s">
        <v>112</v>
      </c>
      <c r="D98" s="1901"/>
      <c r="E98" s="1495"/>
      <c r="F98" s="1493" t="s">
        <v>84</v>
      </c>
      <c r="G98" s="1495"/>
      <c r="H98" s="1495"/>
      <c r="I98" s="1495" t="s">
        <v>19</v>
      </c>
      <c r="J98" s="1495" t="s">
        <v>123</v>
      </c>
      <c r="K98" s="1496" t="s">
        <v>7560</v>
      </c>
      <c r="L98" s="2415">
        <v>1000</v>
      </c>
      <c r="M98" s="2441"/>
      <c r="N98" s="2441"/>
      <c r="O98" s="1790"/>
    </row>
    <row r="99" spans="1:15" s="2122" customFormat="1" ht="60.75" hidden="1" customHeight="1">
      <c r="A99" s="3735">
        <v>33</v>
      </c>
      <c r="B99" s="1909" t="str">
        <f t="shared" si="1"/>
        <v>2000002533</v>
      </c>
      <c r="C99" s="2118" t="s">
        <v>6809</v>
      </c>
      <c r="D99" s="2400">
        <v>29000</v>
      </c>
      <c r="E99" s="2118" t="s">
        <v>7561</v>
      </c>
      <c r="F99" s="2439" t="s">
        <v>3401</v>
      </c>
      <c r="G99" s="2118" t="s">
        <v>7562</v>
      </c>
      <c r="H99" s="2159" t="s">
        <v>7527</v>
      </c>
      <c r="I99" s="2118" t="s">
        <v>19</v>
      </c>
      <c r="J99" s="2118" t="s">
        <v>123</v>
      </c>
      <c r="K99" s="2161" t="s">
        <v>7563</v>
      </c>
      <c r="L99" s="2413">
        <v>8770</v>
      </c>
      <c r="M99" s="2161"/>
      <c r="N99" s="2074"/>
      <c r="O99" s="2403"/>
    </row>
    <row r="100" spans="1:15" s="1883" customFormat="1" ht="63" hidden="1" customHeight="1">
      <c r="A100" s="3736"/>
      <c r="B100" s="1909" t="str">
        <f t="shared" si="1"/>
        <v>2000002372</v>
      </c>
      <c r="C100" s="1851" t="s">
        <v>6809</v>
      </c>
      <c r="D100" s="1915"/>
      <c r="E100" s="1851"/>
      <c r="F100" s="2073" t="s">
        <v>3401</v>
      </c>
      <c r="G100" s="1851"/>
      <c r="H100" s="2025"/>
      <c r="I100" s="1851" t="s">
        <v>19</v>
      </c>
      <c r="J100" s="1851" t="s">
        <v>123</v>
      </c>
      <c r="K100" s="1628" t="s">
        <v>7564</v>
      </c>
      <c r="L100" s="2408">
        <v>6000</v>
      </c>
      <c r="M100" s="1628"/>
      <c r="N100" s="2074"/>
      <c r="O100" s="1882"/>
    </row>
    <row r="101" spans="1:15" s="1883" customFormat="1" ht="63" hidden="1" customHeight="1">
      <c r="A101" s="3736"/>
      <c r="B101" s="1909" t="str">
        <f t="shared" si="1"/>
        <v>2000002576</v>
      </c>
      <c r="C101" s="1851" t="s">
        <v>6809</v>
      </c>
      <c r="D101" s="1915"/>
      <c r="E101" s="1851"/>
      <c r="F101" s="2073" t="s">
        <v>3401</v>
      </c>
      <c r="G101" s="1851"/>
      <c r="H101" s="2025"/>
      <c r="I101" s="1851" t="s">
        <v>19</v>
      </c>
      <c r="J101" s="1851" t="s">
        <v>123</v>
      </c>
      <c r="K101" s="1628" t="s">
        <v>7565</v>
      </c>
      <c r="L101" s="2408">
        <v>1400</v>
      </c>
      <c r="M101" s="1628"/>
      <c r="N101" s="2074"/>
      <c r="O101" s="1882"/>
    </row>
    <row r="102" spans="1:15" s="1883" customFormat="1" ht="63" hidden="1" customHeight="1">
      <c r="A102" s="3736"/>
      <c r="B102" s="1909" t="str">
        <f t="shared" si="1"/>
        <v>2000002577</v>
      </c>
      <c r="C102" s="1851" t="s">
        <v>6809</v>
      </c>
      <c r="D102" s="1915"/>
      <c r="E102" s="1851"/>
      <c r="F102" s="2073" t="s">
        <v>3401</v>
      </c>
      <c r="G102" s="1851"/>
      <c r="H102" s="2025"/>
      <c r="I102" s="1851" t="s">
        <v>19</v>
      </c>
      <c r="J102" s="1851" t="s">
        <v>123</v>
      </c>
      <c r="K102" s="1628" t="s">
        <v>7566</v>
      </c>
      <c r="L102" s="2408">
        <v>1300</v>
      </c>
      <c r="M102" s="1628"/>
      <c r="N102" s="2074"/>
      <c r="O102" s="1882"/>
    </row>
    <row r="103" spans="1:15" s="1883" customFormat="1" ht="63" hidden="1" customHeight="1">
      <c r="A103" s="3736"/>
      <c r="B103" s="1909" t="str">
        <f t="shared" si="1"/>
        <v>2000002575</v>
      </c>
      <c r="C103" s="1851" t="s">
        <v>6809</v>
      </c>
      <c r="D103" s="1915"/>
      <c r="E103" s="1851"/>
      <c r="F103" s="2073" t="s">
        <v>3401</v>
      </c>
      <c r="G103" s="1851"/>
      <c r="H103" s="2025"/>
      <c r="I103" s="1851" t="s">
        <v>19</v>
      </c>
      <c r="J103" s="1851" t="s">
        <v>123</v>
      </c>
      <c r="K103" s="1628" t="s">
        <v>7567</v>
      </c>
      <c r="L103" s="2408">
        <v>2000</v>
      </c>
      <c r="M103" s="1628"/>
      <c r="N103" s="2074"/>
      <c r="O103" s="1882"/>
    </row>
    <row r="104" spans="1:15" s="1883" customFormat="1" ht="63" hidden="1" customHeight="1">
      <c r="A104" s="3736"/>
      <c r="B104" s="1909" t="str">
        <f t="shared" si="1"/>
        <v>2000002580</v>
      </c>
      <c r="C104" s="1851" t="s">
        <v>6809</v>
      </c>
      <c r="D104" s="1915"/>
      <c r="E104" s="1851"/>
      <c r="F104" s="2073" t="s">
        <v>3401</v>
      </c>
      <c r="G104" s="1851"/>
      <c r="H104" s="2025"/>
      <c r="I104" s="1851" t="s">
        <v>19</v>
      </c>
      <c r="J104" s="1851" t="s">
        <v>123</v>
      </c>
      <c r="K104" s="1628" t="s">
        <v>7568</v>
      </c>
      <c r="L104" s="2408">
        <v>7500</v>
      </c>
      <c r="M104" s="1628"/>
      <c r="N104" s="2074"/>
      <c r="O104" s="1882"/>
    </row>
    <row r="105" spans="1:15" s="1883" customFormat="1" ht="63" hidden="1" customHeight="1">
      <c r="A105" s="3737"/>
      <c r="B105" s="1909" t="str">
        <f t="shared" si="1"/>
        <v>2000002582</v>
      </c>
      <c r="C105" s="1851" t="s">
        <v>6809</v>
      </c>
      <c r="D105" s="1915"/>
      <c r="E105" s="1851"/>
      <c r="F105" s="2073" t="s">
        <v>3401</v>
      </c>
      <c r="G105" s="1851"/>
      <c r="H105" s="2025"/>
      <c r="I105" s="1851" t="s">
        <v>19</v>
      </c>
      <c r="J105" s="1851" t="s">
        <v>123</v>
      </c>
      <c r="K105" s="1628" t="s">
        <v>7569</v>
      </c>
      <c r="L105" s="2408">
        <v>2000</v>
      </c>
      <c r="M105" s="1628"/>
      <c r="N105" s="2074"/>
      <c r="O105" s="1882"/>
    </row>
    <row r="106" spans="1:15" s="2122" customFormat="1" ht="96.75" hidden="1" customHeight="1">
      <c r="A106" s="3735">
        <v>34</v>
      </c>
      <c r="B106" s="1909" t="str">
        <f t="shared" si="1"/>
        <v>2000002513</v>
      </c>
      <c r="C106" s="1902" t="s">
        <v>3399</v>
      </c>
      <c r="D106" s="2400">
        <v>8000</v>
      </c>
      <c r="E106" s="1921" t="s">
        <v>7570</v>
      </c>
      <c r="F106" s="2439" t="s">
        <v>3401</v>
      </c>
      <c r="G106" s="1921" t="s">
        <v>7571</v>
      </c>
      <c r="H106" s="2298" t="s">
        <v>7527</v>
      </c>
      <c r="I106" s="1921" t="s">
        <v>19</v>
      </c>
      <c r="J106" s="2279" t="s">
        <v>63</v>
      </c>
      <c r="K106" s="2161" t="s">
        <v>7572</v>
      </c>
      <c r="L106" s="2421">
        <v>3000</v>
      </c>
      <c r="M106" s="2161"/>
      <c r="N106" s="2074"/>
      <c r="O106" s="2403"/>
    </row>
    <row r="107" spans="1:15" s="1548" customFormat="1" ht="70.5" hidden="1" customHeight="1">
      <c r="A107" s="3737"/>
      <c r="B107" s="1909" t="str">
        <f t="shared" si="1"/>
        <v>2000002565</v>
      </c>
      <c r="C107" s="1493" t="s">
        <v>3399</v>
      </c>
      <c r="D107" s="1631"/>
      <c r="E107" s="1851"/>
      <c r="F107" s="2073" t="s">
        <v>3401</v>
      </c>
      <c r="G107" s="1495"/>
      <c r="H107" s="1568"/>
      <c r="I107" s="1495" t="s">
        <v>19</v>
      </c>
      <c r="J107" s="1495" t="s">
        <v>4348</v>
      </c>
      <c r="K107" s="2443" t="s">
        <v>7573</v>
      </c>
      <c r="L107" s="2444">
        <v>5000</v>
      </c>
      <c r="M107" s="1771"/>
      <c r="N107" s="1493"/>
      <c r="O107" s="1790"/>
    </row>
    <row r="108" spans="1:15" s="1777" customFormat="1" ht="156.75" hidden="1" customHeight="1">
      <c r="A108" s="738"/>
      <c r="B108" s="738"/>
      <c r="C108" s="102"/>
      <c r="D108" s="1167"/>
      <c r="E108" s="109"/>
      <c r="F108" s="103"/>
      <c r="G108" s="109"/>
      <c r="H108" s="839"/>
      <c r="I108" s="109"/>
      <c r="J108" s="109"/>
      <c r="K108" s="696"/>
      <c r="L108" s="2445"/>
      <c r="M108" s="143"/>
      <c r="N108" s="102"/>
      <c r="O108" s="1853"/>
    </row>
    <row r="109" spans="1:15" s="1777" customFormat="1" ht="58.5" hidden="1" customHeight="1">
      <c r="A109" s="738"/>
      <c r="B109" s="738"/>
      <c r="C109" s="102"/>
      <c r="D109" s="1167"/>
      <c r="E109" s="109"/>
      <c r="F109" s="103"/>
      <c r="G109" s="109"/>
      <c r="H109" s="839"/>
      <c r="I109" s="109"/>
      <c r="J109" s="109"/>
      <c r="K109" s="143"/>
      <c r="L109" s="2412"/>
      <c r="M109" s="143"/>
      <c r="N109" s="102"/>
      <c r="O109" s="1853"/>
    </row>
    <row r="110" spans="1:15" s="1777" customFormat="1" ht="58.5" hidden="1" customHeight="1">
      <c r="A110" s="738"/>
      <c r="B110" s="738"/>
      <c r="C110" s="102"/>
      <c r="D110" s="1167"/>
      <c r="E110" s="109"/>
      <c r="F110" s="102"/>
      <c r="G110" s="735"/>
      <c r="H110" s="109"/>
      <c r="I110" s="109"/>
      <c r="J110" s="109"/>
      <c r="K110" s="143"/>
      <c r="L110" s="2412"/>
      <c r="M110" s="143"/>
      <c r="N110" s="102"/>
      <c r="O110" s="1853"/>
    </row>
    <row r="111" spans="1:15" s="1777" customFormat="1" ht="58.5" hidden="1" customHeight="1">
      <c r="A111" s="738"/>
      <c r="B111" s="738"/>
      <c r="C111" s="102"/>
      <c r="D111" s="1167"/>
      <c r="E111" s="109"/>
      <c r="F111" s="102"/>
      <c r="G111" s="109"/>
      <c r="H111" s="109"/>
      <c r="I111" s="109"/>
      <c r="J111" s="109"/>
      <c r="K111" s="143"/>
      <c r="L111" s="2412"/>
      <c r="M111" s="143"/>
      <c r="N111" s="102"/>
      <c r="O111" s="1853"/>
    </row>
    <row r="112" spans="1:15" s="1777" customFormat="1" ht="58.5" customHeight="1">
      <c r="A112" s="738"/>
      <c r="B112" s="738"/>
      <c r="C112" s="102"/>
      <c r="D112" s="1167"/>
      <c r="E112" s="109"/>
      <c r="F112" s="102"/>
      <c r="G112" s="109"/>
      <c r="H112" s="109"/>
      <c r="I112" s="109"/>
      <c r="J112" s="109"/>
      <c r="K112" s="143"/>
      <c r="L112" s="2412"/>
      <c r="M112" s="143"/>
      <c r="N112" s="102"/>
      <c r="O112" s="1853"/>
    </row>
    <row r="113" spans="1:15" s="1777" customFormat="1" ht="58.5" customHeight="1">
      <c r="A113" s="738"/>
      <c r="B113" s="738"/>
      <c r="C113" s="102"/>
      <c r="D113" s="1167"/>
      <c r="E113" s="109"/>
      <c r="F113" s="102"/>
      <c r="G113" s="109"/>
      <c r="H113" s="109"/>
      <c r="I113" s="109"/>
      <c r="J113" s="109"/>
      <c r="K113" s="143"/>
      <c r="L113" s="2412"/>
      <c r="M113" s="143"/>
      <c r="N113" s="102"/>
      <c r="O113" s="1853"/>
    </row>
    <row r="114" spans="1:15" s="1777" customFormat="1" ht="58.5" customHeight="1">
      <c r="A114" s="738"/>
      <c r="B114" s="738"/>
      <c r="C114" s="102"/>
      <c r="D114" s="1167"/>
      <c r="E114" s="109"/>
      <c r="F114" s="102"/>
      <c r="G114" s="109"/>
      <c r="H114" s="109"/>
      <c r="I114" s="109"/>
      <c r="J114" s="109"/>
      <c r="K114" s="143"/>
      <c r="L114" s="2412"/>
      <c r="M114" s="143"/>
      <c r="N114" s="102"/>
      <c r="O114" s="1853"/>
    </row>
    <row r="115" spans="1:15" s="1777" customFormat="1" ht="58.5" customHeight="1">
      <c r="A115" s="738"/>
      <c r="B115" s="738"/>
      <c r="C115" s="102"/>
      <c r="D115" s="1167"/>
      <c r="E115" s="109"/>
      <c r="F115" s="102"/>
      <c r="G115" s="109"/>
      <c r="H115" s="109"/>
      <c r="I115" s="109"/>
      <c r="J115" s="109"/>
      <c r="K115" s="143"/>
      <c r="L115" s="2412"/>
      <c r="M115" s="143"/>
      <c r="N115" s="102"/>
      <c r="O115" s="1853"/>
    </row>
    <row r="116" spans="1:15" s="1777" customFormat="1" ht="58.5" customHeight="1">
      <c r="A116" s="738"/>
      <c r="B116" s="738"/>
      <c r="C116" s="102"/>
      <c r="D116" s="1167"/>
      <c r="E116" s="109"/>
      <c r="F116" s="102"/>
      <c r="G116" s="109"/>
      <c r="H116" s="109"/>
      <c r="I116" s="109"/>
      <c r="J116" s="109"/>
      <c r="K116" s="143"/>
      <c r="L116" s="2412"/>
      <c r="M116" s="143"/>
      <c r="N116" s="102"/>
      <c r="O116" s="1853"/>
    </row>
    <row r="117" spans="1:15" s="1777" customFormat="1" ht="58.5" customHeight="1">
      <c r="A117" s="738"/>
      <c r="B117" s="738"/>
      <c r="C117" s="102"/>
      <c r="D117" s="1167"/>
      <c r="E117" s="109"/>
      <c r="F117" s="102"/>
      <c r="G117" s="109"/>
      <c r="H117" s="109"/>
      <c r="I117" s="109"/>
      <c r="J117" s="109"/>
      <c r="K117" s="143"/>
      <c r="L117" s="2412"/>
      <c r="M117" s="143"/>
      <c r="N117" s="102"/>
      <c r="O117" s="1853"/>
    </row>
    <row r="118" spans="1:15" s="1777" customFormat="1" ht="58.5" customHeight="1">
      <c r="A118" s="738"/>
      <c r="B118" s="738"/>
      <c r="C118" s="102"/>
      <c r="D118" s="1167"/>
      <c r="E118" s="109"/>
      <c r="F118" s="102"/>
      <c r="G118" s="109"/>
      <c r="H118" s="109"/>
      <c r="I118" s="109"/>
      <c r="J118" s="109"/>
      <c r="K118" s="143"/>
      <c r="L118" s="2412"/>
      <c r="M118" s="143"/>
      <c r="N118" s="102"/>
      <c r="O118" s="1853"/>
    </row>
    <row r="119" spans="1:15" s="1623" customFormat="1" ht="58.5" customHeight="1">
      <c r="A119" s="1344"/>
      <c r="B119" s="1344"/>
      <c r="C119" s="144"/>
      <c r="D119" s="2064"/>
      <c r="E119" s="111"/>
      <c r="F119" s="144"/>
      <c r="G119" s="111"/>
      <c r="H119" s="111"/>
      <c r="I119" s="111"/>
      <c r="J119" s="111"/>
      <c r="K119" s="1622"/>
      <c r="L119" s="2406"/>
      <c r="M119" s="1622"/>
      <c r="N119" s="144"/>
      <c r="O119" s="1924"/>
    </row>
    <row r="120" spans="1:15" s="1777" customFormat="1" ht="58.5" customHeight="1">
      <c r="A120" s="738"/>
      <c r="B120" s="738"/>
      <c r="C120" s="102"/>
      <c r="D120" s="1167"/>
      <c r="E120" s="109"/>
      <c r="F120" s="102"/>
      <c r="G120" s="109"/>
      <c r="H120" s="109"/>
      <c r="I120" s="109"/>
      <c r="J120" s="109"/>
      <c r="K120" s="143"/>
      <c r="L120" s="2405"/>
      <c r="M120" s="143"/>
      <c r="N120" s="102"/>
      <c r="O120" s="1853"/>
    </row>
    <row r="121" spans="1:15" s="1777" customFormat="1" ht="58.5" customHeight="1">
      <c r="A121" s="738"/>
      <c r="B121" s="738"/>
      <c r="C121" s="102"/>
      <c r="D121" s="1167"/>
      <c r="E121" s="109"/>
      <c r="F121" s="102"/>
      <c r="G121" s="109"/>
      <c r="H121" s="109"/>
      <c r="I121" s="109"/>
      <c r="J121" s="109"/>
      <c r="K121" s="143"/>
      <c r="L121" s="2405"/>
      <c r="M121" s="143"/>
      <c r="N121" s="102"/>
      <c r="O121" s="1853"/>
    </row>
    <row r="122" spans="1:15" s="1777" customFormat="1" ht="58.5" customHeight="1">
      <c r="A122" s="738"/>
      <c r="B122" s="738"/>
      <c r="C122" s="102"/>
      <c r="D122" s="1167"/>
      <c r="E122" s="109"/>
      <c r="F122" s="102"/>
      <c r="G122" s="109"/>
      <c r="H122" s="109"/>
      <c r="I122" s="109"/>
      <c r="J122" s="109"/>
      <c r="K122" s="143"/>
      <c r="L122" s="2405"/>
      <c r="M122" s="143"/>
      <c r="N122" s="102"/>
      <c r="O122" s="1853"/>
    </row>
    <row r="123" spans="1:15" s="1777" customFormat="1" ht="58.5" customHeight="1">
      <c r="A123" s="738"/>
      <c r="B123" s="738"/>
      <c r="C123" s="102"/>
      <c r="D123" s="1167"/>
      <c r="E123" s="109"/>
      <c r="F123" s="102"/>
      <c r="G123" s="109"/>
      <c r="H123" s="109"/>
      <c r="I123" s="109"/>
      <c r="J123" s="109"/>
      <c r="K123" s="143"/>
      <c r="L123" s="2405"/>
      <c r="M123" s="143"/>
      <c r="N123" s="102"/>
      <c r="O123" s="1853"/>
    </row>
    <row r="124" spans="1:15" s="1777" customFormat="1" ht="58.5" customHeight="1">
      <c r="A124" s="738"/>
      <c r="B124" s="738"/>
      <c r="C124" s="102"/>
      <c r="D124" s="1167"/>
      <c r="E124" s="109"/>
      <c r="F124" s="102"/>
      <c r="G124" s="109"/>
      <c r="H124" s="109"/>
      <c r="I124" s="109"/>
      <c r="J124" s="109"/>
      <c r="K124" s="143"/>
      <c r="L124" s="2405"/>
      <c r="M124" s="143"/>
      <c r="N124" s="102"/>
      <c r="O124" s="1853"/>
    </row>
    <row r="125" spans="1:15" s="1777" customFormat="1" ht="58.5" customHeight="1">
      <c r="A125" s="738"/>
      <c r="B125" s="738"/>
      <c r="C125" s="102"/>
      <c r="D125" s="1167"/>
      <c r="E125" s="109"/>
      <c r="F125" s="102"/>
      <c r="G125" s="109"/>
      <c r="H125" s="109"/>
      <c r="I125" s="109"/>
      <c r="J125" s="109"/>
      <c r="K125" s="143"/>
      <c r="L125" s="2405"/>
      <c r="M125" s="143"/>
      <c r="N125" s="102"/>
      <c r="O125" s="1853"/>
    </row>
    <row r="126" spans="1:15" s="1777" customFormat="1" ht="58.5" customHeight="1">
      <c r="A126" s="738"/>
      <c r="B126" s="738"/>
      <c r="C126" s="102"/>
      <c r="D126" s="1167"/>
      <c r="E126" s="109"/>
      <c r="F126" s="102"/>
      <c r="G126" s="109"/>
      <c r="H126" s="109"/>
      <c r="I126" s="109"/>
      <c r="J126" s="109"/>
      <c r="K126" s="143"/>
      <c r="L126" s="2405"/>
      <c r="M126" s="143"/>
      <c r="N126" s="102"/>
      <c r="O126" s="1853"/>
    </row>
    <row r="127" spans="1:15" s="1777" customFormat="1" ht="58.5" customHeight="1">
      <c r="A127" s="738"/>
      <c r="B127" s="738"/>
      <c r="C127" s="102"/>
      <c r="D127" s="1167"/>
      <c r="E127" s="109"/>
      <c r="F127" s="102"/>
      <c r="G127" s="109"/>
      <c r="H127" s="109"/>
      <c r="I127" s="109"/>
      <c r="J127" s="109"/>
      <c r="K127" s="143"/>
      <c r="L127" s="2405"/>
      <c r="M127" s="143"/>
      <c r="N127" s="102"/>
      <c r="O127" s="1853"/>
    </row>
    <row r="128" spans="1:15" s="1777" customFormat="1" ht="58.5" customHeight="1">
      <c r="A128" s="738"/>
      <c r="B128" s="738"/>
      <c r="C128" s="102"/>
      <c r="D128" s="1167"/>
      <c r="E128" s="109"/>
      <c r="F128" s="102"/>
      <c r="G128" s="109"/>
      <c r="H128" s="109"/>
      <c r="I128" s="109"/>
      <c r="J128" s="109"/>
      <c r="K128" s="143"/>
      <c r="L128" s="2405"/>
      <c r="M128" s="143"/>
      <c r="N128" s="102"/>
      <c r="O128" s="1853"/>
    </row>
    <row r="129" spans="1:15" s="1777" customFormat="1" ht="58.5" customHeight="1">
      <c r="A129" s="738"/>
      <c r="B129" s="738"/>
      <c r="C129" s="102"/>
      <c r="D129" s="1167"/>
      <c r="E129" s="109"/>
      <c r="F129" s="102"/>
      <c r="G129" s="109"/>
      <c r="H129" s="109"/>
      <c r="I129" s="109"/>
      <c r="J129" s="109"/>
      <c r="K129" s="143"/>
      <c r="L129" s="2405"/>
      <c r="M129" s="143"/>
      <c r="N129" s="102"/>
      <c r="O129" s="1853"/>
    </row>
    <row r="130" spans="1:15" s="1777" customFormat="1" ht="58.5" customHeight="1">
      <c r="A130" s="738"/>
      <c r="B130" s="738"/>
      <c r="C130" s="102"/>
      <c r="D130" s="1167"/>
      <c r="E130" s="109"/>
      <c r="F130" s="102"/>
      <c r="G130" s="109"/>
      <c r="H130" s="109"/>
      <c r="I130" s="109"/>
      <c r="J130" s="109"/>
      <c r="K130" s="143"/>
      <c r="L130" s="2405"/>
      <c r="M130" s="143"/>
      <c r="N130" s="102"/>
      <c r="O130" s="1853"/>
    </row>
    <row r="131" spans="1:15" s="1777" customFormat="1" ht="58.5" customHeight="1">
      <c r="A131" s="738"/>
      <c r="B131" s="738"/>
      <c r="C131" s="102"/>
      <c r="D131" s="1167"/>
      <c r="E131" s="109"/>
      <c r="F131" s="102"/>
      <c r="G131" s="109"/>
      <c r="H131" s="109"/>
      <c r="I131" s="109"/>
      <c r="J131" s="109"/>
      <c r="K131" s="143"/>
      <c r="L131" s="2405"/>
      <c r="M131" s="143"/>
      <c r="N131" s="102"/>
      <c r="O131" s="1853"/>
    </row>
    <row r="132" spans="1:15" s="1777" customFormat="1" ht="58.5" customHeight="1">
      <c r="A132" s="738"/>
      <c r="B132" s="738"/>
      <c r="C132" s="102"/>
      <c r="D132" s="1167"/>
      <c r="E132" s="109"/>
      <c r="F132" s="102"/>
      <c r="G132" s="109"/>
      <c r="H132" s="109"/>
      <c r="I132" s="109"/>
      <c r="J132" s="109"/>
      <c r="K132" s="143"/>
      <c r="L132" s="2405"/>
      <c r="M132" s="143"/>
      <c r="N132" s="102"/>
      <c r="O132" s="1853"/>
    </row>
    <row r="133" spans="1:15" s="1777" customFormat="1" ht="58.5" customHeight="1">
      <c r="A133" s="738"/>
      <c r="B133" s="738"/>
      <c r="C133" s="102"/>
      <c r="D133" s="1167"/>
      <c r="E133" s="109"/>
      <c r="F133" s="102"/>
      <c r="G133" s="109"/>
      <c r="H133" s="109"/>
      <c r="I133" s="109"/>
      <c r="J133" s="109"/>
      <c r="K133" s="143"/>
      <c r="L133" s="2405"/>
      <c r="M133" s="143"/>
      <c r="N133" s="102"/>
      <c r="O133" s="1853"/>
    </row>
    <row r="134" spans="1:15" s="1777" customFormat="1" ht="58.5" customHeight="1">
      <c r="A134" s="738"/>
      <c r="B134" s="738"/>
      <c r="C134" s="102"/>
      <c r="D134" s="1167"/>
      <c r="E134" s="109"/>
      <c r="F134" s="102"/>
      <c r="G134" s="109"/>
      <c r="H134" s="109"/>
      <c r="I134" s="109"/>
      <c r="J134" s="109"/>
      <c r="K134" s="143"/>
      <c r="L134" s="2405"/>
      <c r="M134" s="143"/>
      <c r="N134" s="102"/>
      <c r="O134" s="1853"/>
    </row>
    <row r="135" spans="1:15" s="1777" customFormat="1" ht="58.5" customHeight="1">
      <c r="A135" s="738"/>
      <c r="B135" s="738"/>
      <c r="C135" s="102"/>
      <c r="D135" s="1167"/>
      <c r="E135" s="109"/>
      <c r="F135" s="102"/>
      <c r="G135" s="109"/>
      <c r="H135" s="109"/>
      <c r="I135" s="109"/>
      <c r="J135" s="109"/>
      <c r="K135" s="143"/>
      <c r="L135" s="2405"/>
      <c r="M135" s="143"/>
      <c r="N135" s="102"/>
      <c r="O135" s="1853"/>
    </row>
    <row r="136" spans="1:15" s="1777" customFormat="1" ht="58.5" customHeight="1">
      <c r="A136" s="738"/>
      <c r="B136" s="738"/>
      <c r="C136" s="102"/>
      <c r="D136" s="1167"/>
      <c r="E136" s="109"/>
      <c r="F136" s="102"/>
      <c r="G136" s="109"/>
      <c r="H136" s="109"/>
      <c r="I136" s="109"/>
      <c r="J136" s="109"/>
      <c r="K136" s="143"/>
      <c r="L136" s="2405"/>
      <c r="M136" s="143"/>
      <c r="N136" s="102"/>
      <c r="O136" s="1853"/>
    </row>
    <row r="137" spans="1:15" s="1777" customFormat="1" ht="58.5" customHeight="1">
      <c r="A137" s="738"/>
      <c r="B137" s="738"/>
      <c r="C137" s="102"/>
      <c r="D137" s="1167"/>
      <c r="E137" s="109"/>
      <c r="F137" s="102"/>
      <c r="G137" s="109"/>
      <c r="H137" s="109"/>
      <c r="I137" s="109"/>
      <c r="J137" s="109"/>
      <c r="K137" s="143"/>
      <c r="L137" s="2405"/>
      <c r="M137" s="143"/>
      <c r="N137" s="102"/>
      <c r="O137" s="1853"/>
    </row>
    <row r="138" spans="1:15" s="1777" customFormat="1" ht="58.5" customHeight="1">
      <c r="A138" s="738"/>
      <c r="B138" s="738"/>
      <c r="C138" s="102"/>
      <c r="D138" s="1167"/>
      <c r="E138" s="109"/>
      <c r="F138" s="102"/>
      <c r="G138" s="109"/>
      <c r="H138" s="109"/>
      <c r="I138" s="109"/>
      <c r="J138" s="109"/>
      <c r="K138" s="143"/>
      <c r="L138" s="2405"/>
      <c r="M138" s="143"/>
      <c r="N138" s="102"/>
      <c r="O138" s="1853"/>
    </row>
    <row r="139" spans="1:15" s="1777" customFormat="1" ht="58.5" customHeight="1">
      <c r="A139" s="738"/>
      <c r="B139" s="738"/>
      <c r="C139" s="102"/>
      <c r="D139" s="1167"/>
      <c r="E139" s="109"/>
      <c r="F139" s="102"/>
      <c r="G139" s="109"/>
      <c r="H139" s="109"/>
      <c r="I139" s="109"/>
      <c r="J139" s="109"/>
      <c r="K139" s="143"/>
      <c r="L139" s="2405"/>
      <c r="M139" s="143"/>
      <c r="N139" s="102"/>
      <c r="O139" s="1853"/>
    </row>
    <row r="140" spans="1:15" s="1777" customFormat="1" ht="58.5" customHeight="1">
      <c r="A140" s="738"/>
      <c r="B140" s="738"/>
      <c r="C140" s="102"/>
      <c r="D140" s="1167"/>
      <c r="E140" s="109"/>
      <c r="F140" s="102"/>
      <c r="G140" s="109"/>
      <c r="H140" s="109"/>
      <c r="I140" s="109"/>
      <c r="J140" s="109"/>
      <c r="K140" s="143"/>
      <c r="L140" s="2405"/>
      <c r="M140" s="143"/>
      <c r="N140" s="102"/>
      <c r="O140" s="1853"/>
    </row>
  </sheetData>
  <autoFilter ref="A4:R111" xr:uid="{00000000-0009-0000-0000-000001000000}">
    <filterColumn colId="10">
      <filters>
        <filter val="_x000a_2200001799 - 493T hàng ưu tiên của THP - 2.05x1260 SAE1006 323 TAN - 2.55x1260 SAE1006 44 TAN - 2.45x1262 SAE1006 126 TAN Hàng hóa ok"/>
        <filter val="2200001799 - THP - 1.720T - CÂN TẢI - TRẢ HÀNG ĐƯỢC LUÔN"/>
        <filter val="2200001799 - THP - 2.000T  - ĐI HẾT LƯỢNG CÒN LẠI SAU KHI ĐÃ XUẤT TÀU PHƯƠNG NAM 46 - HẠ BÃI TRẢ SAU TẾT"/>
        <filter val="2200001799 - THP - 3.000T                                                          _x000a_Hàng hóa ok"/>
      </filters>
    </filterColumn>
  </autoFilter>
  <mergeCells count="28">
    <mergeCell ref="A106:A107"/>
    <mergeCell ref="A88:A90"/>
    <mergeCell ref="A93:A94"/>
    <mergeCell ref="A99:A105"/>
    <mergeCell ref="A95:A98"/>
    <mergeCell ref="A68:A70"/>
    <mergeCell ref="A72:A75"/>
    <mergeCell ref="A77:A83"/>
    <mergeCell ref="A84:A87"/>
    <mergeCell ref="A55:A56"/>
    <mergeCell ref="A57:A58"/>
    <mergeCell ref="A59:A63"/>
    <mergeCell ref="A64:A65"/>
    <mergeCell ref="A66:A67"/>
    <mergeCell ref="A34:A35"/>
    <mergeCell ref="A36:A42"/>
    <mergeCell ref="A43:A47"/>
    <mergeCell ref="A48:A50"/>
    <mergeCell ref="A53:A54"/>
    <mergeCell ref="A20:A21"/>
    <mergeCell ref="A24:A26"/>
    <mergeCell ref="A27:A29"/>
    <mergeCell ref="A30:A32"/>
    <mergeCell ref="D1:M1"/>
    <mergeCell ref="A2:M2"/>
    <mergeCell ref="A3:C3"/>
    <mergeCell ref="A5:A9"/>
    <mergeCell ref="A11:A19"/>
  </mergeCells>
  <conditionalFormatting sqref="A1:B3">
    <cfRule type="duplicateValues" dxfId="74" priority="11"/>
  </conditionalFormatting>
  <conditionalFormatting sqref="A4:B4">
    <cfRule type="duplicateValues" dxfId="73" priority="7"/>
  </conditionalFormatting>
  <conditionalFormatting sqref="B5:B9">
    <cfRule type="duplicateValues" dxfId="72" priority="5"/>
    <cfRule type="duplicateValues" dxfId="71" priority="6"/>
  </conditionalFormatting>
  <conditionalFormatting sqref="B11:B50">
    <cfRule type="duplicateValues" dxfId="70" priority="3"/>
    <cfRule type="duplicateValues" dxfId="69" priority="4"/>
  </conditionalFormatting>
  <conditionalFormatting sqref="B52:B107">
    <cfRule type="duplicateValues" dxfId="68" priority="1"/>
    <cfRule type="duplicateValues" dxfId="67" priority="2"/>
  </conditionalFormatting>
  <conditionalFormatting sqref="C4">
    <cfRule type="duplicateValues" dxfId="66" priority="8"/>
    <cfRule type="duplicateValues" dxfId="65" priority="9"/>
    <cfRule type="duplicateValues" dxfId="64" priority="10"/>
  </conditionalFormatting>
  <pageMargins left="0.7" right="0.7" top="0.75" bottom="0.75" header="0.3" footer="0.3"/>
  <pageSetup paperSize="9" scale="40" orientation="landscape"/>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910CBF-003D-48D2-BE1E-9DC5F1C7E0B4}">
  <sheetPr>
    <tabColor theme="2" tint="-0.249977111117893"/>
    <pageSetUpPr fitToPage="1"/>
  </sheetPr>
  <dimension ref="A1:BD201"/>
  <sheetViews>
    <sheetView zoomScale="55" zoomScaleNormal="55" workbookViewId="0">
      <pane xSplit="3" ySplit="3" topLeftCell="G45" activePane="bottomRight" state="frozen"/>
      <selection pane="topRight"/>
      <selection pane="bottomLeft" activeCell="E39" sqref="E39"/>
      <selection pane="bottomRight" activeCell="G45" sqref="G45"/>
    </sheetView>
  </sheetViews>
  <sheetFormatPr defaultColWidth="32.140625" defaultRowHeight="58.5" customHeight="1"/>
  <cols>
    <col min="1" max="1" width="11" style="359" customWidth="1"/>
    <col min="2" max="2" width="31.42578125" style="763" customWidth="1"/>
    <col min="3" max="3" width="37.42578125" style="1" customWidth="1"/>
    <col min="4" max="4" width="22.28515625" style="1179" customWidth="1"/>
    <col min="5" max="5" width="32.140625" style="271" customWidth="1"/>
    <col min="6" max="6" width="28.5703125" style="1" customWidth="1"/>
    <col min="7" max="7" width="26.28515625" style="271" customWidth="1"/>
    <col min="8" max="8" width="32.140625" style="271" customWidth="1"/>
    <col min="9" max="9" width="27.85546875" style="271" customWidth="1"/>
    <col min="10" max="10" width="27.42578125" style="271" customWidth="1"/>
    <col min="11" max="11" width="99.42578125" style="9" bestFit="1" customWidth="1"/>
    <col min="12" max="12" width="25.5703125" style="2217" customWidth="1"/>
    <col min="13" max="13" width="43.85546875" style="1" customWidth="1"/>
    <col min="14" max="14" width="56.42578125" style="2260" customWidth="1"/>
    <col min="15" max="15" width="29.28515625" style="2225" customWidth="1"/>
    <col min="16" max="16" width="43.140625" style="3" customWidth="1"/>
    <col min="17" max="19" width="24.140625" style="1" customWidth="1"/>
    <col min="20" max="20" width="24.140625" style="307" customWidth="1"/>
    <col min="21" max="21" width="36.42578125" style="3" bestFit="1" customWidth="1"/>
    <col min="22" max="23" width="32.140625" style="3"/>
    <col min="24" max="26" width="32.140625" style="1" bestFit="1" customWidth="1"/>
    <col min="27" max="16384" width="32.140625" style="3"/>
  </cols>
  <sheetData>
    <row r="1" spans="1:56" ht="50.25" customHeight="1">
      <c r="A1" s="3760" t="s">
        <v>7574</v>
      </c>
      <c r="B1" s="3760"/>
      <c r="C1" s="3760"/>
      <c r="D1" s="3760"/>
      <c r="E1" s="3760"/>
      <c r="F1" s="3760"/>
      <c r="G1" s="3760"/>
      <c r="H1" s="3760"/>
      <c r="I1" s="3760"/>
      <c r="J1" s="3760"/>
      <c r="K1" s="3760"/>
      <c r="L1" s="3760"/>
      <c r="M1" s="3760"/>
      <c r="N1" s="3760"/>
      <c r="O1" s="3760"/>
      <c r="P1" s="3760"/>
      <c r="Q1" s="2620"/>
    </row>
    <row r="2" spans="1:56" ht="39.75" customHeight="1">
      <c r="A2" s="3761" t="s">
        <v>5186</v>
      </c>
      <c r="B2" s="3761"/>
      <c r="C2" s="3761"/>
      <c r="D2" s="2215">
        <f>SUBTOTAL(9,D3:D447)</f>
        <v>391027</v>
      </c>
      <c r="E2" s="1932"/>
      <c r="F2" s="2092"/>
      <c r="G2" s="2269" t="s">
        <v>5187</v>
      </c>
      <c r="H2" s="1932"/>
      <c r="I2" s="1932"/>
      <c r="J2" s="1932"/>
      <c r="K2" s="2093">
        <f ca="1">TODAY()</f>
        <v>45960</v>
      </c>
      <c r="L2" s="2272">
        <f>SUBTOTAL(9,L4:L630)</f>
        <v>390002</v>
      </c>
      <c r="M2" s="2339" t="s">
        <v>5924</v>
      </c>
      <c r="N2" s="2099" t="s">
        <v>5925</v>
      </c>
      <c r="O2" s="3762" t="s">
        <v>5170</v>
      </c>
      <c r="P2" s="3762"/>
      <c r="Q2" s="3762" t="s">
        <v>7575</v>
      </c>
      <c r="R2" s="3762"/>
      <c r="S2" s="3763"/>
      <c r="T2" s="3763"/>
    </row>
    <row r="3" spans="1:56" s="2709" customFormat="1" ht="58.5" customHeight="1">
      <c r="A3" s="2703" t="s">
        <v>1</v>
      </c>
      <c r="B3" s="2704" t="s">
        <v>5190</v>
      </c>
      <c r="C3" s="2705" t="s">
        <v>5191</v>
      </c>
      <c r="D3" s="2706" t="s">
        <v>5423</v>
      </c>
      <c r="E3" s="2707" t="s">
        <v>3389</v>
      </c>
      <c r="F3" s="2705" t="s">
        <v>5</v>
      </c>
      <c r="G3" s="2707" t="s">
        <v>3390</v>
      </c>
      <c r="H3" s="2707" t="s">
        <v>5927</v>
      </c>
      <c r="I3" s="2707" t="s">
        <v>8</v>
      </c>
      <c r="J3" s="2707" t="s">
        <v>9</v>
      </c>
      <c r="K3" s="2707" t="s">
        <v>5928</v>
      </c>
      <c r="L3" s="2711" t="s">
        <v>6262</v>
      </c>
      <c r="M3" s="2710" t="s">
        <v>5929</v>
      </c>
      <c r="N3" s="2704" t="s">
        <v>11</v>
      </c>
      <c r="O3" s="2704" t="s">
        <v>5200</v>
      </c>
      <c r="P3" s="2705" t="s">
        <v>5930</v>
      </c>
      <c r="Q3" s="2705" t="s">
        <v>5202</v>
      </c>
      <c r="R3" s="2705" t="s">
        <v>5931</v>
      </c>
      <c r="S3" s="2708" t="s">
        <v>5932</v>
      </c>
      <c r="T3" s="2657" t="s">
        <v>5933</v>
      </c>
      <c r="X3" s="2708"/>
      <c r="Y3" s="2708"/>
      <c r="Z3" s="2708"/>
    </row>
    <row r="4" spans="1:56" s="2150" customFormat="1" ht="58.5" customHeight="1">
      <c r="A4" s="3750">
        <v>1</v>
      </c>
      <c r="B4" s="2159" t="str">
        <f t="shared" ref="B4:B13" si="0">TEXT(LEFT(K4,10),"0000000000")</f>
        <v>2200001953</v>
      </c>
      <c r="C4" s="2391" t="s">
        <v>3957</v>
      </c>
      <c r="D4" s="2656">
        <v>12900</v>
      </c>
      <c r="E4" s="2118" t="s">
        <v>7576</v>
      </c>
      <c r="F4" s="2391" t="s">
        <v>3401</v>
      </c>
      <c r="G4" s="2118" t="s">
        <v>7577</v>
      </c>
      <c r="H4" s="2118" t="s">
        <v>7578</v>
      </c>
      <c r="I4" s="2118" t="s">
        <v>19</v>
      </c>
      <c r="J4" s="2118" t="s">
        <v>1138</v>
      </c>
      <c r="K4" s="2402" t="s">
        <v>7579</v>
      </c>
      <c r="L4" s="2508">
        <v>4650</v>
      </c>
      <c r="M4" s="2160" t="s">
        <v>5937</v>
      </c>
      <c r="N4" s="2369"/>
      <c r="O4" s="1882">
        <v>1</v>
      </c>
      <c r="P4" s="2122"/>
      <c r="Q4" s="1630">
        <v>2200001953</v>
      </c>
      <c r="R4" s="2673" t="e">
        <f>VLOOKUP(Q4,#REF!,2,0)</f>
        <v>#REF!</v>
      </c>
      <c r="S4" s="2628" t="e">
        <f>VLOOKUP(Q4,#REF!,3,0)</f>
        <v>#REF!</v>
      </c>
      <c r="T4" s="2629" t="e">
        <f>R4-S4</f>
        <v>#REF!</v>
      </c>
      <c r="U4" s="2210"/>
      <c r="V4" s="2643"/>
      <c r="W4" s="2643"/>
      <c r="X4" s="2659"/>
      <c r="Y4" s="2659"/>
      <c r="Z4" s="2659"/>
      <c r="AA4" s="2643"/>
      <c r="AB4" s="2643"/>
      <c r="AC4" s="2643"/>
      <c r="AD4" s="2643"/>
      <c r="AE4" s="2643"/>
      <c r="AF4" s="2643"/>
      <c r="AG4" s="2643"/>
      <c r="AH4" s="2643"/>
      <c r="AI4" s="2643"/>
      <c r="AJ4" s="2643"/>
      <c r="AK4" s="2643"/>
      <c r="AL4" s="2643"/>
      <c r="AM4" s="2643"/>
      <c r="AN4" s="2643"/>
      <c r="AO4" s="2643"/>
      <c r="AP4" s="2643"/>
      <c r="AQ4" s="2643"/>
      <c r="AR4" s="2643"/>
      <c r="AS4" s="2643"/>
      <c r="AT4" s="2643"/>
      <c r="AU4" s="2643"/>
      <c r="AV4" s="2643"/>
      <c r="AW4" s="2643"/>
      <c r="AX4" s="2643"/>
      <c r="AY4" s="2643"/>
      <c r="AZ4" s="2643"/>
      <c r="BA4" s="2643"/>
      <c r="BB4" s="2643"/>
      <c r="BC4" s="2643"/>
      <c r="BD4" s="2181"/>
    </row>
    <row r="5" spans="1:56" s="1548" customFormat="1" ht="63.75" customHeight="1">
      <c r="A5" s="3749"/>
      <c r="B5" s="2279" t="str">
        <f t="shared" si="0"/>
        <v>2200001954</v>
      </c>
      <c r="C5" s="1493" t="s">
        <v>3957</v>
      </c>
      <c r="D5" s="1826"/>
      <c r="E5" s="1495"/>
      <c r="F5" s="1493" t="s">
        <v>3401</v>
      </c>
      <c r="G5" s="1495"/>
      <c r="H5" s="1495"/>
      <c r="I5" s="1495" t="s">
        <v>19</v>
      </c>
      <c r="J5" s="1495" t="s">
        <v>1138</v>
      </c>
      <c r="K5" s="1600" t="s">
        <v>7580</v>
      </c>
      <c r="L5" s="2357">
        <v>9150</v>
      </c>
      <c r="M5" s="2196" t="s">
        <v>5937</v>
      </c>
      <c r="N5" s="1843"/>
      <c r="O5" s="1790">
        <v>1</v>
      </c>
      <c r="Q5" s="1493">
        <v>2200001954</v>
      </c>
      <c r="R5" s="2628" t="e">
        <f>VLOOKUP(Q5,#REF!,2,0)</f>
        <v>#REF!</v>
      </c>
      <c r="S5" s="2628" t="e">
        <f>VLOOKUP(Q5,#REF!,3,0)</f>
        <v>#REF!</v>
      </c>
      <c r="T5" s="2629" t="e">
        <f>R5-S5</f>
        <v>#REF!</v>
      </c>
      <c r="U5" s="1474"/>
      <c r="V5" s="1467"/>
      <c r="W5" s="1467"/>
      <c r="X5" s="1474"/>
      <c r="Y5" s="1474"/>
      <c r="Z5" s="1474"/>
      <c r="AA5" s="1467"/>
      <c r="AB5" s="1467"/>
      <c r="AC5" s="1467"/>
      <c r="AD5" s="1467"/>
      <c r="AE5" s="1467"/>
      <c r="AF5" s="1467"/>
      <c r="AG5" s="1467"/>
      <c r="AH5" s="1467"/>
      <c r="AI5" s="1467"/>
      <c r="AJ5" s="1467"/>
      <c r="AK5" s="1467"/>
      <c r="AL5" s="1467"/>
      <c r="AM5" s="1467"/>
      <c r="AN5" s="1467"/>
      <c r="AO5" s="1467"/>
      <c r="AP5" s="1467"/>
      <c r="AQ5" s="1467"/>
      <c r="AR5" s="1467"/>
      <c r="AS5" s="1467"/>
      <c r="AT5" s="1467"/>
      <c r="AU5" s="1467"/>
      <c r="AV5" s="1467"/>
      <c r="AW5" s="1467"/>
      <c r="AX5" s="1467"/>
      <c r="AY5" s="1467"/>
      <c r="AZ5" s="1467"/>
      <c r="BA5" s="1467"/>
      <c r="BB5" s="1467"/>
      <c r="BC5" s="1467"/>
      <c r="BD5" s="1807"/>
    </row>
    <row r="6" spans="1:56" s="2150" customFormat="1" ht="58.5" customHeight="1">
      <c r="A6" s="3749">
        <v>2</v>
      </c>
      <c r="B6" s="2279" t="str">
        <f t="shared" si="0"/>
        <v>2000002836</v>
      </c>
      <c r="C6" s="1902" t="s">
        <v>5701</v>
      </c>
      <c r="D6" s="2607">
        <v>4500</v>
      </c>
      <c r="E6" s="1921" t="s">
        <v>7581</v>
      </c>
      <c r="F6" s="1902" t="s">
        <v>89</v>
      </c>
      <c r="G6" s="1921" t="s">
        <v>7582</v>
      </c>
      <c r="H6" s="1921" t="s">
        <v>7578</v>
      </c>
      <c r="I6" s="1921" t="s">
        <v>19</v>
      </c>
      <c r="J6" s="1921" t="s">
        <v>1138</v>
      </c>
      <c r="K6" s="1845" t="s">
        <v>7583</v>
      </c>
      <c r="L6" s="2630">
        <v>2000</v>
      </c>
      <c r="M6" s="1902" t="s">
        <v>5961</v>
      </c>
      <c r="N6" s="1775" t="s">
        <v>7584</v>
      </c>
      <c r="O6" s="1790">
        <v>1</v>
      </c>
      <c r="R6" s="1902"/>
      <c r="S6" s="1902"/>
      <c r="T6" s="1902"/>
      <c r="V6" s="2129"/>
      <c r="W6" s="2129"/>
      <c r="X6" s="2129">
        <v>2000002870</v>
      </c>
      <c r="Y6" s="2129">
        <v>10082</v>
      </c>
      <c r="Z6" s="2129">
        <v>0</v>
      </c>
      <c r="AA6" s="2129"/>
      <c r="AB6" s="2129"/>
      <c r="AC6" s="2129"/>
      <c r="AD6" s="2129"/>
      <c r="AE6" s="2129"/>
      <c r="AF6" s="2129"/>
      <c r="AG6" s="2129"/>
      <c r="AH6" s="2129"/>
      <c r="AI6" s="2129"/>
      <c r="AJ6" s="2129"/>
      <c r="AK6" s="2129"/>
      <c r="AL6" s="2129"/>
      <c r="AM6" s="2129"/>
      <c r="AN6" s="2129"/>
      <c r="AO6" s="2129"/>
      <c r="AP6" s="2129"/>
      <c r="AQ6" s="2129"/>
      <c r="AR6" s="2129"/>
      <c r="AS6" s="2129"/>
      <c r="AT6" s="2129"/>
      <c r="AU6" s="2129"/>
      <c r="AV6" s="2129"/>
      <c r="AW6" s="2129"/>
      <c r="AX6" s="2129"/>
      <c r="AY6" s="2129"/>
      <c r="AZ6" s="2129"/>
      <c r="BA6" s="2129"/>
      <c r="BB6" s="2129"/>
      <c r="BC6" s="2129"/>
    </row>
    <row r="7" spans="1:56" s="2150" customFormat="1" ht="58.5" customHeight="1">
      <c r="A7" s="3751"/>
      <c r="B7" s="2279" t="str">
        <f t="shared" si="0"/>
        <v>2200001957</v>
      </c>
      <c r="C7" s="1493" t="s">
        <v>5701</v>
      </c>
      <c r="D7" s="1494"/>
      <c r="E7" s="1495"/>
      <c r="F7" s="1493" t="s">
        <v>89</v>
      </c>
      <c r="G7" s="1921"/>
      <c r="H7" s="1921"/>
      <c r="I7" s="1495" t="s">
        <v>19</v>
      </c>
      <c r="J7" s="1495" t="s">
        <v>1138</v>
      </c>
      <c r="K7" s="1548" t="s">
        <v>7585</v>
      </c>
      <c r="L7" s="2560">
        <v>1580</v>
      </c>
      <c r="M7" s="2196" t="s">
        <v>5953</v>
      </c>
      <c r="O7" s="1790">
        <v>1</v>
      </c>
      <c r="Q7" s="1493">
        <v>2200001957</v>
      </c>
      <c r="R7" s="2628" t="e">
        <f>VLOOKUP(Q7,#REF!,2,0)</f>
        <v>#REF!</v>
      </c>
      <c r="S7" s="2628" t="e">
        <f>VLOOKUP(Q7,#REF!,3,0)</f>
        <v>#REF!</v>
      </c>
      <c r="T7" s="2629" t="e">
        <f>R7-S7</f>
        <v>#REF!</v>
      </c>
      <c r="U7" s="1474"/>
      <c r="V7" s="2643"/>
      <c r="W7" s="2643"/>
      <c r="X7" s="2659"/>
      <c r="Y7" s="2659"/>
      <c r="Z7" s="2659"/>
      <c r="AA7" s="2643"/>
      <c r="AB7" s="2643"/>
      <c r="AC7" s="2643"/>
      <c r="AD7" s="2643"/>
      <c r="AE7" s="2643"/>
      <c r="AF7" s="2643"/>
      <c r="AG7" s="2643"/>
      <c r="AH7" s="2643"/>
      <c r="AI7" s="2643"/>
      <c r="AJ7" s="2643"/>
      <c r="AK7" s="2643"/>
      <c r="AL7" s="2643"/>
      <c r="AM7" s="2643"/>
      <c r="AN7" s="2643"/>
      <c r="AO7" s="2643"/>
      <c r="AP7" s="2643"/>
      <c r="AQ7" s="2643"/>
      <c r="AR7" s="2643"/>
      <c r="AS7" s="2643"/>
      <c r="AT7" s="2643"/>
      <c r="AU7" s="2643"/>
      <c r="AV7" s="2643"/>
      <c r="AW7" s="2643"/>
      <c r="AX7" s="2643"/>
      <c r="AY7" s="2643"/>
      <c r="AZ7" s="2643"/>
      <c r="BA7" s="2643"/>
      <c r="BB7" s="2643"/>
      <c r="BC7" s="2643"/>
      <c r="BD7" s="2181"/>
    </row>
    <row r="8" spans="1:56" s="2150" customFormat="1" ht="58.5" customHeight="1">
      <c r="A8" s="3751"/>
      <c r="B8" s="2279" t="str">
        <f t="shared" si="0"/>
        <v>2200001960</v>
      </c>
      <c r="C8" s="1493" t="s">
        <v>5701</v>
      </c>
      <c r="D8" s="1494"/>
      <c r="E8" s="1495"/>
      <c r="F8" s="1493" t="s">
        <v>89</v>
      </c>
      <c r="G8" s="1921"/>
      <c r="H8" s="1921"/>
      <c r="I8" s="1495" t="s">
        <v>19</v>
      </c>
      <c r="J8" s="1495" t="s">
        <v>1138</v>
      </c>
      <c r="K8" s="1559" t="s">
        <v>7586</v>
      </c>
      <c r="L8" s="2631">
        <v>221</v>
      </c>
      <c r="M8" s="2196" t="s">
        <v>5953</v>
      </c>
      <c r="N8" s="2127"/>
      <c r="O8" s="1790">
        <v>1</v>
      </c>
      <c r="P8" s="2127"/>
      <c r="Q8" s="1493">
        <v>2200001960</v>
      </c>
      <c r="R8" s="2628" t="e">
        <f>VLOOKUP(Q8,#REF!,2,0)</f>
        <v>#REF!</v>
      </c>
      <c r="S8" s="2628" t="e">
        <f>VLOOKUP(Q8,#REF!,3,0)</f>
        <v>#REF!</v>
      </c>
      <c r="T8" s="2629" t="e">
        <f>R8-S8</f>
        <v>#REF!</v>
      </c>
      <c r="U8" s="1474"/>
      <c r="V8" s="2643"/>
      <c r="W8" s="2643"/>
      <c r="X8" s="2659"/>
      <c r="Y8" s="2659"/>
      <c r="Z8" s="2659"/>
      <c r="AA8" s="2643"/>
      <c r="AB8" s="2643"/>
      <c r="AC8" s="2643"/>
      <c r="AD8" s="2643"/>
      <c r="AE8" s="2643"/>
      <c r="AF8" s="2643"/>
      <c r="AG8" s="2643"/>
      <c r="AH8" s="2643"/>
      <c r="AI8" s="2643"/>
      <c r="AJ8" s="2643"/>
      <c r="AK8" s="2643"/>
      <c r="AL8" s="2643"/>
      <c r="AM8" s="2643"/>
      <c r="AN8" s="2643"/>
      <c r="AO8" s="2643"/>
      <c r="AP8" s="2643"/>
      <c r="AQ8" s="2643"/>
      <c r="AR8" s="2643"/>
      <c r="AS8" s="2643"/>
      <c r="AT8" s="2643"/>
      <c r="AU8" s="2643"/>
      <c r="AV8" s="2643"/>
      <c r="AW8" s="2643"/>
      <c r="AX8" s="2643"/>
      <c r="AY8" s="2643"/>
      <c r="AZ8" s="2643"/>
      <c r="BA8" s="2643"/>
      <c r="BB8" s="2643"/>
      <c r="BC8" s="2643"/>
      <c r="BD8" s="2181"/>
    </row>
    <row r="9" spans="1:56" s="2150" customFormat="1" ht="58.5" customHeight="1">
      <c r="A9" s="3750"/>
      <c r="B9" s="2279" t="str">
        <f t="shared" si="0"/>
        <v>2200001961</v>
      </c>
      <c r="C9" s="1493" t="s">
        <v>5701</v>
      </c>
      <c r="D9" s="1494"/>
      <c r="E9" s="1495"/>
      <c r="F9" s="1493" t="s">
        <v>89</v>
      </c>
      <c r="G9" s="1921"/>
      <c r="H9" s="1921"/>
      <c r="I9" s="1495" t="s">
        <v>19</v>
      </c>
      <c r="J9" s="1495" t="s">
        <v>1138</v>
      </c>
      <c r="K9" s="1559" t="s">
        <v>7587</v>
      </c>
      <c r="L9" s="2631">
        <v>485</v>
      </c>
      <c r="M9" s="1493" t="s">
        <v>7588</v>
      </c>
      <c r="N9" s="2127"/>
      <c r="O9" s="1790">
        <v>1</v>
      </c>
      <c r="P9" s="2127"/>
      <c r="Q9" s="2127"/>
      <c r="R9" s="2263"/>
      <c r="S9" s="2263"/>
      <c r="T9" s="2263"/>
      <c r="U9" s="2127"/>
      <c r="V9" s="2122"/>
      <c r="W9" s="2122"/>
      <c r="X9" s="2122">
        <v>2000002902</v>
      </c>
      <c r="Y9" s="2122">
        <v>1009</v>
      </c>
      <c r="Z9" s="2122">
        <v>3993</v>
      </c>
      <c r="AA9" s="2122"/>
      <c r="AB9" s="2122"/>
      <c r="AC9" s="2122"/>
      <c r="AD9" s="2122"/>
      <c r="AE9" s="2122"/>
      <c r="AF9" s="2122"/>
      <c r="AG9" s="2122"/>
      <c r="AH9" s="2122"/>
      <c r="AI9" s="2122"/>
      <c r="AJ9" s="2122"/>
      <c r="AK9" s="2122"/>
      <c r="AL9" s="2122"/>
      <c r="AM9" s="2122"/>
      <c r="AN9" s="2122"/>
      <c r="AO9" s="2122"/>
      <c r="AP9" s="2122"/>
      <c r="AQ9" s="2122"/>
      <c r="AR9" s="2122"/>
      <c r="AS9" s="2122"/>
      <c r="AT9" s="2122"/>
      <c r="AU9" s="2122"/>
      <c r="AV9" s="2122"/>
      <c r="AW9" s="2122"/>
      <c r="AX9" s="2122"/>
      <c r="AY9" s="2122"/>
      <c r="AZ9" s="2122"/>
      <c r="BA9" s="2122"/>
      <c r="BB9" s="2122"/>
      <c r="BC9" s="2122"/>
    </row>
    <row r="10" spans="1:56" s="1902" customFormat="1" ht="58.5" customHeight="1">
      <c r="A10" s="3814">
        <v>3</v>
      </c>
      <c r="B10" s="2638" t="str">
        <f t="shared" si="0"/>
        <v>2000002868</v>
      </c>
      <c r="C10" s="2638" t="s">
        <v>3699</v>
      </c>
      <c r="D10" s="2607">
        <v>4300</v>
      </c>
      <c r="E10" s="2479" t="s">
        <v>7589</v>
      </c>
      <c r="F10" s="2638" t="s">
        <v>61</v>
      </c>
      <c r="G10" s="2638" t="s">
        <v>7590</v>
      </c>
      <c r="H10" s="2479" t="s">
        <v>7591</v>
      </c>
      <c r="I10" s="2638" t="s">
        <v>19</v>
      </c>
      <c r="J10" s="2638" t="s">
        <v>74</v>
      </c>
      <c r="K10" s="2641" t="s">
        <v>7592</v>
      </c>
      <c r="L10" s="2642">
        <v>600</v>
      </c>
      <c r="M10" s="2638" t="s">
        <v>5961</v>
      </c>
      <c r="N10" s="2638"/>
      <c r="O10" s="2638">
        <v>1</v>
      </c>
      <c r="P10" s="2638"/>
      <c r="Q10" s="2638"/>
      <c r="R10" s="2638"/>
      <c r="S10" s="2638"/>
      <c r="T10" s="2638"/>
      <c r="U10" s="2638"/>
      <c r="V10" s="2263"/>
      <c r="W10" s="2263"/>
      <c r="X10" s="2263">
        <v>2000002903</v>
      </c>
      <c r="Y10" s="2263">
        <v>5077</v>
      </c>
      <c r="Z10" s="2263">
        <v>0</v>
      </c>
      <c r="AA10" s="2263"/>
      <c r="AB10" s="2263"/>
      <c r="AC10" s="2263"/>
      <c r="AD10" s="2263"/>
      <c r="AE10" s="2263"/>
      <c r="AF10" s="2263"/>
      <c r="AG10" s="2263"/>
      <c r="AH10" s="2263"/>
      <c r="AI10" s="2263"/>
      <c r="AJ10" s="2263"/>
      <c r="AK10" s="2263"/>
      <c r="AL10" s="2263"/>
      <c r="AM10" s="2263"/>
      <c r="AN10" s="2263"/>
      <c r="AO10" s="2263"/>
      <c r="AP10" s="2263"/>
      <c r="AQ10" s="2263"/>
      <c r="AR10" s="2263"/>
      <c r="AS10" s="2263"/>
      <c r="AT10" s="2263"/>
      <c r="AU10" s="2263"/>
      <c r="AV10" s="2263"/>
      <c r="AW10" s="2263"/>
      <c r="AX10" s="2263"/>
      <c r="AY10" s="2263"/>
      <c r="AZ10" s="2263"/>
      <c r="BA10" s="2263"/>
      <c r="BB10" s="2263"/>
      <c r="BC10" s="2263"/>
    </row>
    <row r="11" spans="1:56" s="1902" customFormat="1" ht="58.5" customHeight="1">
      <c r="A11" s="3815"/>
      <c r="B11" s="1808" t="str">
        <f t="shared" si="0"/>
        <v>2000002864</v>
      </c>
      <c r="C11" s="1808" t="s">
        <v>3699</v>
      </c>
      <c r="D11" s="1808"/>
      <c r="E11" s="1808"/>
      <c r="F11" s="1808" t="s">
        <v>61</v>
      </c>
      <c r="G11" s="1808"/>
      <c r="H11" s="1808"/>
      <c r="I11" s="1808" t="s">
        <v>19</v>
      </c>
      <c r="J11" s="1808" t="s">
        <v>74</v>
      </c>
      <c r="K11" s="2632" t="s">
        <v>7593</v>
      </c>
      <c r="L11" s="1903">
        <v>1800</v>
      </c>
      <c r="M11" s="2633" t="s">
        <v>5937</v>
      </c>
      <c r="N11" s="1808"/>
      <c r="O11" s="1808">
        <v>1</v>
      </c>
      <c r="P11" s="1808"/>
      <c r="Q11" s="1808">
        <v>2000002864</v>
      </c>
      <c r="R11" s="2628" t="e">
        <f>VLOOKUP(Q11,#REF!,2,0)</f>
        <v>#REF!</v>
      </c>
      <c r="S11" s="2628" t="e">
        <f>VLOOKUP(Q11,#REF!,3,0)</f>
        <v>#REF!</v>
      </c>
      <c r="T11" s="2629" t="e">
        <f>R11-S11</f>
        <v>#REF!</v>
      </c>
      <c r="U11" s="1474"/>
      <c r="V11" s="2659"/>
      <c r="W11" s="2659"/>
      <c r="X11" s="2659"/>
      <c r="Y11" s="2659"/>
      <c r="Z11" s="2659"/>
      <c r="AA11" s="2659"/>
      <c r="AB11" s="2659"/>
      <c r="AC11" s="2659"/>
      <c r="AD11" s="2659"/>
      <c r="AE11" s="2659"/>
      <c r="AF11" s="2659"/>
      <c r="AG11" s="2659"/>
      <c r="AH11" s="2659"/>
      <c r="AI11" s="2659"/>
      <c r="AJ11" s="2659"/>
      <c r="AK11" s="2659"/>
      <c r="AL11" s="2659"/>
      <c r="AM11" s="2659"/>
      <c r="AN11" s="2659"/>
      <c r="AO11" s="2659"/>
      <c r="AP11" s="2659"/>
      <c r="AQ11" s="2659"/>
      <c r="AR11" s="2659"/>
      <c r="AS11" s="2659"/>
      <c r="AT11" s="2659"/>
      <c r="AU11" s="2659"/>
      <c r="AV11" s="2659"/>
      <c r="AW11" s="2659"/>
      <c r="AX11" s="2659"/>
      <c r="AY11" s="2659"/>
      <c r="AZ11" s="2659"/>
      <c r="BA11" s="2659"/>
      <c r="BB11" s="2659"/>
      <c r="BC11" s="2659"/>
      <c r="BD11" s="2563"/>
    </row>
    <row r="12" spans="1:56" s="1902" customFormat="1" ht="58.5" customHeight="1">
      <c r="A12" s="3816"/>
      <c r="B12" s="1808" t="str">
        <f t="shared" si="0"/>
        <v>2000002889</v>
      </c>
      <c r="C12" s="1808" t="s">
        <v>3699</v>
      </c>
      <c r="D12" s="1808"/>
      <c r="E12" s="1808"/>
      <c r="F12" s="1808" t="s">
        <v>61</v>
      </c>
      <c r="G12" s="1808"/>
      <c r="H12" s="1808"/>
      <c r="I12" s="1808" t="s">
        <v>19</v>
      </c>
      <c r="J12" s="1808" t="s">
        <v>74</v>
      </c>
      <c r="K12" s="2632" t="s">
        <v>7594</v>
      </c>
      <c r="L12" s="1903">
        <v>1900</v>
      </c>
      <c r="M12" s="2633" t="s">
        <v>5937</v>
      </c>
      <c r="N12" s="1808"/>
      <c r="O12" s="1808">
        <v>1</v>
      </c>
      <c r="P12" s="1808"/>
      <c r="Q12" s="2634">
        <v>2000002889</v>
      </c>
      <c r="R12" s="2628" t="e">
        <f>VLOOKUP(Q12,#REF!,2,0)</f>
        <v>#REF!</v>
      </c>
      <c r="S12" s="2628" t="e">
        <f>VLOOKUP(Q12,#REF!,3,0)</f>
        <v>#REF!</v>
      </c>
      <c r="T12" s="2629" t="e">
        <f>R12-S12</f>
        <v>#REF!</v>
      </c>
      <c r="U12" s="1474"/>
      <c r="V12" s="2659"/>
      <c r="W12" s="2659"/>
      <c r="X12" s="2659"/>
      <c r="Y12" s="2659"/>
      <c r="Z12" s="2659"/>
      <c r="AA12" s="2659"/>
      <c r="AB12" s="2659"/>
      <c r="AC12" s="2659"/>
      <c r="AD12" s="2659"/>
      <c r="AE12" s="2659"/>
      <c r="AF12" s="2659"/>
      <c r="AG12" s="2659"/>
      <c r="AH12" s="2659"/>
      <c r="AI12" s="2659"/>
      <c r="AJ12" s="2659"/>
      <c r="AK12" s="2659"/>
      <c r="AL12" s="2659"/>
      <c r="AM12" s="2659"/>
      <c r="AN12" s="2659"/>
      <c r="AO12" s="2659"/>
      <c r="AP12" s="2659"/>
      <c r="AQ12" s="2659"/>
      <c r="AR12" s="2659"/>
      <c r="AS12" s="2659"/>
      <c r="AT12" s="2659"/>
      <c r="AU12" s="2659"/>
      <c r="AV12" s="2659"/>
      <c r="AW12" s="2659"/>
      <c r="AX12" s="2659"/>
      <c r="AY12" s="2659"/>
      <c r="AZ12" s="2659"/>
      <c r="BA12" s="2659"/>
      <c r="BB12" s="2659"/>
      <c r="BC12" s="2659"/>
      <c r="BD12" s="2563"/>
    </row>
    <row r="13" spans="1:56" s="1559" customFormat="1" ht="58.5" customHeight="1">
      <c r="A13" s="2436">
        <v>4</v>
      </c>
      <c r="B13" s="2279" t="str">
        <f t="shared" si="0"/>
        <v>2000002826</v>
      </c>
      <c r="C13" s="1902" t="s">
        <v>5728</v>
      </c>
      <c r="D13" s="2607">
        <v>4300</v>
      </c>
      <c r="E13" s="1921" t="s">
        <v>7595</v>
      </c>
      <c r="F13" s="1902" t="s">
        <v>89</v>
      </c>
      <c r="G13" s="1921" t="s">
        <v>7596</v>
      </c>
      <c r="H13" s="1921" t="s">
        <v>7578</v>
      </c>
      <c r="I13" s="1921" t="s">
        <v>19</v>
      </c>
      <c r="J13" s="1921" t="s">
        <v>1138</v>
      </c>
      <c r="K13" s="1845" t="s">
        <v>7597</v>
      </c>
      <c r="L13" s="2583">
        <v>4300</v>
      </c>
      <c r="M13" s="1493" t="s">
        <v>5961</v>
      </c>
      <c r="N13" s="1859"/>
      <c r="O13" s="1790">
        <v>1</v>
      </c>
      <c r="P13" s="1548"/>
      <c r="Q13" s="1548"/>
      <c r="R13" s="1493"/>
      <c r="S13" s="1493"/>
      <c r="T13" s="1493"/>
      <c r="U13" s="1548"/>
      <c r="V13" s="1945"/>
      <c r="W13" s="1945"/>
      <c r="X13" s="1945">
        <v>2000002917</v>
      </c>
      <c r="Y13" s="1945">
        <v>11213</v>
      </c>
      <c r="Z13" s="1945">
        <v>0</v>
      </c>
      <c r="AA13" s="1945"/>
      <c r="AB13" s="1945"/>
      <c r="AC13" s="1945"/>
      <c r="AD13" s="1945"/>
      <c r="AE13" s="1945"/>
      <c r="AF13" s="1945"/>
      <c r="AG13" s="1945"/>
      <c r="AH13" s="1945"/>
      <c r="AI13" s="1945"/>
      <c r="AJ13" s="1945"/>
      <c r="AK13" s="1945"/>
      <c r="AL13" s="1945"/>
      <c r="AM13" s="1945"/>
      <c r="AN13" s="1945"/>
      <c r="AO13" s="1945"/>
      <c r="AP13" s="1945"/>
      <c r="AQ13" s="1945"/>
      <c r="AR13" s="1945"/>
      <c r="AS13" s="1945"/>
      <c r="AT13" s="1945"/>
      <c r="AU13" s="1945"/>
      <c r="AV13" s="1945"/>
      <c r="AW13" s="1945"/>
      <c r="AX13" s="1945"/>
      <c r="AY13" s="1945"/>
      <c r="AZ13" s="1945"/>
      <c r="BA13" s="1945"/>
      <c r="BB13" s="1945"/>
      <c r="BC13" s="1945"/>
    </row>
    <row r="14" spans="1:56" s="1559" customFormat="1" ht="58.5" customHeight="1">
      <c r="A14" s="3735">
        <v>5</v>
      </c>
      <c r="B14" s="2279" t="str">
        <f t="shared" ref="B14" si="1">TEXT(LEFT(K14,10),"0000000000")</f>
        <v>2000002904</v>
      </c>
      <c r="C14" s="2263" t="s">
        <v>42</v>
      </c>
      <c r="D14" s="2607">
        <v>6000</v>
      </c>
      <c r="E14" s="1921" t="s">
        <v>7598</v>
      </c>
      <c r="F14" s="1902" t="s">
        <v>3401</v>
      </c>
      <c r="G14" s="2187" t="s">
        <v>7599</v>
      </c>
      <c r="H14" s="1909" t="s">
        <v>7600</v>
      </c>
      <c r="I14" s="1921" t="s">
        <v>19</v>
      </c>
      <c r="J14" s="1921" t="s">
        <v>123</v>
      </c>
      <c r="K14" s="1548" t="s">
        <v>7601</v>
      </c>
      <c r="L14" s="2183">
        <v>4300</v>
      </c>
      <c r="M14" s="2196" t="s">
        <v>5961</v>
      </c>
      <c r="N14" s="1775"/>
      <c r="O14" s="1852">
        <v>1</v>
      </c>
      <c r="P14" s="2150"/>
      <c r="Q14" s="2150"/>
      <c r="R14" s="2150"/>
      <c r="S14" s="2150"/>
      <c r="T14" s="2150"/>
      <c r="U14" s="2150"/>
      <c r="X14" s="1559">
        <v>2000002919</v>
      </c>
      <c r="Y14" s="1559">
        <v>434</v>
      </c>
      <c r="Z14" s="1559">
        <v>0</v>
      </c>
    </row>
    <row r="15" spans="1:56" s="1559" customFormat="1" ht="58.5" customHeight="1">
      <c r="A15" s="3736"/>
      <c r="B15" s="1568" t="str">
        <f t="shared" ref="B15:B22" si="2">TEXT(LEFT(K15,10),"0000000000")</f>
        <v>2000002905</v>
      </c>
      <c r="C15" s="1545" t="s">
        <v>42</v>
      </c>
      <c r="D15" s="2613"/>
      <c r="E15" s="1543"/>
      <c r="F15" s="1493" t="s">
        <v>3401</v>
      </c>
      <c r="G15" s="1774"/>
      <c r="H15" s="2051"/>
      <c r="I15" s="1495" t="s">
        <v>19</v>
      </c>
      <c r="J15" s="1495" t="s">
        <v>123</v>
      </c>
      <c r="K15" s="1547" t="s">
        <v>7602</v>
      </c>
      <c r="L15" s="1826">
        <v>700</v>
      </c>
      <c r="M15" s="2196" t="s">
        <v>5961</v>
      </c>
      <c r="N15" s="2565"/>
      <c r="O15" s="1852">
        <v>1</v>
      </c>
      <c r="P15" s="2127"/>
      <c r="Q15" s="2127"/>
      <c r="R15" s="2127"/>
      <c r="S15" s="2127"/>
      <c r="T15" s="2127"/>
      <c r="U15" s="2127"/>
      <c r="X15" s="1559">
        <v>2000002925</v>
      </c>
      <c r="Y15" s="1559">
        <v>2706</v>
      </c>
      <c r="Z15" s="1559">
        <v>0</v>
      </c>
    </row>
    <row r="16" spans="1:56" s="1559" customFormat="1" ht="58.5" customHeight="1">
      <c r="A16" s="3736"/>
      <c r="B16" s="1568" t="str">
        <f t="shared" si="2"/>
        <v>2000002898</v>
      </c>
      <c r="C16" s="1545" t="s">
        <v>42</v>
      </c>
      <c r="D16" s="2613"/>
      <c r="E16" s="1543"/>
      <c r="F16" s="1493" t="s">
        <v>3401</v>
      </c>
      <c r="G16" s="1543"/>
      <c r="H16" s="1543"/>
      <c r="I16" s="1495" t="s">
        <v>19</v>
      </c>
      <c r="J16" s="1495" t="s">
        <v>123</v>
      </c>
      <c r="K16" s="1546" t="s">
        <v>7603</v>
      </c>
      <c r="L16" s="2543">
        <v>1000</v>
      </c>
      <c r="M16" s="1495" t="s">
        <v>5961</v>
      </c>
      <c r="N16" s="2544"/>
      <c r="O16" s="1852">
        <v>1</v>
      </c>
      <c r="R16" s="1545"/>
      <c r="S16" s="1545"/>
      <c r="T16" s="1545"/>
      <c r="X16" s="1559">
        <v>2000002926</v>
      </c>
      <c r="Y16" s="1559">
        <v>2831</v>
      </c>
      <c r="Z16" s="1559">
        <v>1092</v>
      </c>
    </row>
    <row r="17" spans="1:56" s="1559" customFormat="1" ht="100.5" customHeight="1">
      <c r="A17" s="2436">
        <v>6</v>
      </c>
      <c r="B17" s="2279" t="str">
        <f t="shared" si="2"/>
        <v>2000002887</v>
      </c>
      <c r="C17" s="1902" t="s">
        <v>3733</v>
      </c>
      <c r="D17" s="2607">
        <v>8000</v>
      </c>
      <c r="E17" s="1921" t="s">
        <v>7604</v>
      </c>
      <c r="F17" s="1902" t="s">
        <v>3401</v>
      </c>
      <c r="G17" s="1921" t="s">
        <v>7605</v>
      </c>
      <c r="H17" s="1909" t="s">
        <v>7606</v>
      </c>
      <c r="I17" s="1921" t="s">
        <v>19</v>
      </c>
      <c r="J17" s="1921" t="s">
        <v>253</v>
      </c>
      <c r="K17" s="1845" t="s">
        <v>7607</v>
      </c>
      <c r="L17" s="2583">
        <v>8000</v>
      </c>
      <c r="M17" s="2196" t="s">
        <v>5937</v>
      </c>
      <c r="N17" s="1775"/>
      <c r="O17" s="1790">
        <v>1</v>
      </c>
      <c r="P17" s="2150"/>
      <c r="Q17" s="1493">
        <v>2000002887</v>
      </c>
      <c r="R17" s="2628" t="e">
        <f>VLOOKUP(Q17,#REF!,2,0)</f>
        <v>#REF!</v>
      </c>
      <c r="S17" s="2628" t="e">
        <f>VLOOKUP(Q17,#REF!,3,0)</f>
        <v>#REF!</v>
      </c>
      <c r="T17" s="2629" t="e">
        <f>R17-S17</f>
        <v>#REF!</v>
      </c>
      <c r="U17" s="1474"/>
      <c r="V17" s="1467"/>
      <c r="W17" s="1467"/>
      <c r="X17" s="1474"/>
      <c r="Y17" s="1474"/>
      <c r="Z17" s="1474"/>
      <c r="AA17" s="1467"/>
      <c r="AB17" s="1467"/>
      <c r="AC17" s="1467"/>
      <c r="AD17" s="1467"/>
      <c r="AE17" s="1467"/>
      <c r="AF17" s="1467"/>
      <c r="AG17" s="1467"/>
      <c r="AH17" s="1467"/>
      <c r="AI17" s="1467"/>
      <c r="AJ17" s="1467"/>
      <c r="AK17" s="1467"/>
      <c r="AL17" s="1467"/>
      <c r="AM17" s="1467"/>
      <c r="AN17" s="1467"/>
      <c r="AO17" s="1467"/>
      <c r="AP17" s="1467"/>
      <c r="AQ17" s="1467"/>
      <c r="AR17" s="1467"/>
      <c r="AS17" s="1467"/>
      <c r="AT17" s="1467"/>
      <c r="AU17" s="1467"/>
      <c r="AV17" s="1467"/>
      <c r="AW17" s="1467"/>
      <c r="AX17" s="1467"/>
      <c r="AY17" s="1467"/>
      <c r="AZ17" s="1467"/>
      <c r="BA17" s="1467"/>
      <c r="BB17" s="1467"/>
      <c r="BC17" s="1467"/>
      <c r="BD17" s="1747"/>
    </row>
    <row r="18" spans="1:56" s="1545" customFormat="1" ht="83.25" customHeight="1">
      <c r="A18" s="2638">
        <v>7</v>
      </c>
      <c r="B18" s="2638" t="str">
        <f t="shared" si="2"/>
        <v>2000002856</v>
      </c>
      <c r="C18" s="2638" t="s">
        <v>4278</v>
      </c>
      <c r="D18" s="2607">
        <v>3990</v>
      </c>
      <c r="E18" s="2479" t="s">
        <v>7608</v>
      </c>
      <c r="F18" s="2638" t="s">
        <v>61</v>
      </c>
      <c r="G18" s="2638" t="s">
        <v>7609</v>
      </c>
      <c r="H18" s="2479" t="s">
        <v>7610</v>
      </c>
      <c r="I18" s="2638" t="s">
        <v>19</v>
      </c>
      <c r="J18" s="2638" t="s">
        <v>123</v>
      </c>
      <c r="K18" s="2639" t="s">
        <v>7611</v>
      </c>
      <c r="L18" s="2607">
        <v>3900</v>
      </c>
      <c r="M18" s="2638" t="s">
        <v>5937</v>
      </c>
      <c r="N18" s="2638"/>
      <c r="O18" s="1808">
        <v>1</v>
      </c>
      <c r="P18" s="2638"/>
      <c r="Q18" s="1493">
        <v>2000002856</v>
      </c>
      <c r="R18" s="2628" t="e">
        <f>VLOOKUP(Q18,#REF!,2,0)</f>
        <v>#REF!</v>
      </c>
      <c r="S18" s="2628" t="e">
        <f>VLOOKUP(Q18,#REF!,3,0)</f>
        <v>#REF!</v>
      </c>
      <c r="T18" s="2629" t="e">
        <f>R18-S18</f>
        <v>#REF!</v>
      </c>
      <c r="U18" s="1474"/>
      <c r="V18" s="1474"/>
      <c r="W18" s="1474"/>
      <c r="X18" s="1474"/>
      <c r="Y18" s="1474"/>
      <c r="Z18" s="1474"/>
      <c r="AA18" s="1474"/>
      <c r="AB18" s="1474"/>
      <c r="AC18" s="1474"/>
      <c r="AD18" s="1474"/>
      <c r="AE18" s="1474"/>
      <c r="AF18" s="1474"/>
      <c r="AG18" s="1474"/>
      <c r="AH18" s="1474"/>
      <c r="AI18" s="1474"/>
      <c r="AJ18" s="1474"/>
      <c r="AK18" s="1474"/>
      <c r="AL18" s="1474"/>
      <c r="AM18" s="1474"/>
      <c r="AN18" s="1474"/>
      <c r="AO18" s="1474"/>
      <c r="AP18" s="1474"/>
      <c r="AQ18" s="1474"/>
      <c r="AR18" s="1474"/>
      <c r="AS18" s="1474"/>
      <c r="AT18" s="1474"/>
      <c r="AU18" s="1474"/>
      <c r="AV18" s="1474"/>
      <c r="AW18" s="1474"/>
      <c r="AX18" s="1474"/>
      <c r="AY18" s="1474"/>
      <c r="AZ18" s="1474"/>
      <c r="BA18" s="1474"/>
      <c r="BB18" s="1474"/>
      <c r="BC18" s="1474"/>
      <c r="BD18" s="1601"/>
    </row>
    <row r="19" spans="1:56" s="1559" customFormat="1" ht="58.5" customHeight="1">
      <c r="A19" s="3749">
        <v>8</v>
      </c>
      <c r="B19" s="2279" t="str">
        <f t="shared" si="2"/>
        <v>2000002826</v>
      </c>
      <c r="C19" s="1902" t="s">
        <v>71</v>
      </c>
      <c r="D19" s="2607">
        <v>3720</v>
      </c>
      <c r="E19" s="1921" t="s">
        <v>7612</v>
      </c>
      <c r="F19" s="1902" t="s">
        <v>84</v>
      </c>
      <c r="G19" s="1921" t="s">
        <v>7613</v>
      </c>
      <c r="H19" s="1921" t="s">
        <v>7614</v>
      </c>
      <c r="I19" s="1921" t="s">
        <v>19</v>
      </c>
      <c r="J19" s="1921" t="s">
        <v>959</v>
      </c>
      <c r="K19" s="1845" t="s">
        <v>7615</v>
      </c>
      <c r="L19" s="2583">
        <v>700</v>
      </c>
      <c r="M19" s="1493" t="s">
        <v>5961</v>
      </c>
      <c r="N19" s="1859"/>
      <c r="O19" s="1790">
        <v>1</v>
      </c>
      <c r="P19" s="1548"/>
      <c r="Q19" s="1548"/>
      <c r="R19" s="1493"/>
      <c r="S19" s="1493"/>
      <c r="T19" s="1493"/>
      <c r="U19" s="1548"/>
      <c r="V19" s="1945"/>
      <c r="W19" s="1945"/>
      <c r="X19" s="1945">
        <v>2000002936</v>
      </c>
      <c r="Y19" s="1945">
        <v>6552</v>
      </c>
      <c r="Z19" s="1945">
        <v>0</v>
      </c>
      <c r="AA19" s="1945"/>
      <c r="AB19" s="1945"/>
      <c r="AC19" s="1945"/>
      <c r="AD19" s="1945"/>
      <c r="AE19" s="1945"/>
      <c r="AF19" s="1945"/>
      <c r="AG19" s="1945"/>
      <c r="AH19" s="1945"/>
      <c r="AI19" s="1945"/>
      <c r="AJ19" s="1945"/>
      <c r="AK19" s="1945"/>
      <c r="AL19" s="1945"/>
      <c r="AM19" s="1945"/>
      <c r="AN19" s="1945"/>
      <c r="AO19" s="1945"/>
      <c r="AP19" s="1945"/>
      <c r="AQ19" s="1945"/>
      <c r="AR19" s="1945"/>
      <c r="AS19" s="1945"/>
      <c r="AT19" s="1945"/>
      <c r="AU19" s="1945"/>
      <c r="AV19" s="1945"/>
      <c r="AW19" s="1945"/>
      <c r="AX19" s="1945"/>
      <c r="AY19" s="1945"/>
      <c r="AZ19" s="1945"/>
      <c r="BA19" s="1945"/>
      <c r="BB19" s="1945"/>
      <c r="BC19" s="1945"/>
    </row>
    <row r="20" spans="1:56" s="1559" customFormat="1" ht="58.5" customHeight="1">
      <c r="A20" s="3751"/>
      <c r="B20" s="2279" t="str">
        <f t="shared" si="2"/>
        <v>2000002838</v>
      </c>
      <c r="C20" s="1493" t="s">
        <v>71</v>
      </c>
      <c r="D20" s="1494"/>
      <c r="E20" s="1495"/>
      <c r="F20" s="1493" t="s">
        <v>84</v>
      </c>
      <c r="G20" s="1543"/>
      <c r="H20" s="1543"/>
      <c r="I20" s="1495" t="s">
        <v>19</v>
      </c>
      <c r="J20" s="1495" t="s">
        <v>959</v>
      </c>
      <c r="K20" s="1828" t="s">
        <v>7616</v>
      </c>
      <c r="L20" s="2543">
        <v>1000</v>
      </c>
      <c r="M20" s="2196" t="s">
        <v>5937</v>
      </c>
      <c r="N20" s="2544"/>
      <c r="O20" s="1852">
        <v>1</v>
      </c>
      <c r="Q20" s="1493">
        <v>2000002838</v>
      </c>
      <c r="R20" s="2628" t="e">
        <f>VLOOKUP(Q20,#REF!,2,0)</f>
        <v>#REF!</v>
      </c>
      <c r="S20" s="2628" t="e">
        <f>VLOOKUP(Q20,#REF!,3,0)</f>
        <v>#REF!</v>
      </c>
      <c r="T20" s="2629" t="e">
        <f>R20-S20</f>
        <v>#REF!</v>
      </c>
      <c r="U20" s="1474"/>
      <c r="V20" s="1467"/>
      <c r="W20" s="1467"/>
      <c r="X20" s="1474"/>
      <c r="Y20" s="1474"/>
      <c r="Z20" s="1474"/>
      <c r="AA20" s="1467"/>
      <c r="AB20" s="1467"/>
      <c r="AC20" s="1467"/>
      <c r="AD20" s="1467"/>
      <c r="AE20" s="1467"/>
      <c r="AF20" s="1467"/>
      <c r="AG20" s="1467"/>
      <c r="AH20" s="1467"/>
      <c r="AI20" s="1467"/>
      <c r="AJ20" s="1467"/>
      <c r="AK20" s="1467"/>
      <c r="AL20" s="1467"/>
      <c r="AM20" s="1467"/>
      <c r="AN20" s="1467"/>
      <c r="AO20" s="1467"/>
      <c r="AP20" s="1467"/>
      <c r="AQ20" s="1467"/>
      <c r="AR20" s="1467"/>
      <c r="AS20" s="1467"/>
      <c r="AT20" s="1467"/>
      <c r="AU20" s="1467"/>
      <c r="AV20" s="1467"/>
      <c r="AW20" s="1467"/>
      <c r="AX20" s="1467"/>
      <c r="AY20" s="1467"/>
      <c r="AZ20" s="1467"/>
      <c r="BA20" s="1467"/>
      <c r="BB20" s="1467"/>
      <c r="BC20" s="1467"/>
      <c r="BD20" s="1747"/>
    </row>
    <row r="21" spans="1:56" s="1559" customFormat="1" ht="58.5" customHeight="1">
      <c r="A21" s="3751"/>
      <c r="B21" s="2279" t="str">
        <f t="shared" si="2"/>
        <v>2000002831</v>
      </c>
      <c r="C21" s="1493" t="s">
        <v>71</v>
      </c>
      <c r="D21" s="1494"/>
      <c r="E21" s="1495"/>
      <c r="F21" s="1493" t="s">
        <v>84</v>
      </c>
      <c r="G21" s="1543"/>
      <c r="H21" s="1543"/>
      <c r="I21" s="1495" t="s">
        <v>19</v>
      </c>
      <c r="J21" s="1495" t="s">
        <v>959</v>
      </c>
      <c r="K21" s="1600" t="s">
        <v>7617</v>
      </c>
      <c r="L21" s="2357">
        <v>1000</v>
      </c>
      <c r="M21" s="1748" t="s">
        <v>5961</v>
      </c>
      <c r="N21" s="1859"/>
      <c r="O21" s="1790">
        <v>1</v>
      </c>
      <c r="Q21" s="1545"/>
      <c r="R21" s="2640"/>
      <c r="S21" s="2640"/>
      <c r="T21" s="2640"/>
      <c r="U21" s="1467"/>
      <c r="V21" s="1945"/>
      <c r="W21" s="1945"/>
      <c r="X21" s="1945">
        <v>2000002951</v>
      </c>
      <c r="Y21" s="1945">
        <v>396</v>
      </c>
      <c r="Z21" s="1945">
        <v>0</v>
      </c>
      <c r="AA21" s="1945"/>
      <c r="AB21" s="1945"/>
      <c r="AC21" s="1945"/>
      <c r="AD21" s="1945"/>
      <c r="AE21" s="1945"/>
      <c r="AF21" s="1945"/>
      <c r="AG21" s="1945"/>
      <c r="AH21" s="1945"/>
      <c r="AI21" s="1945"/>
      <c r="AJ21" s="1945"/>
      <c r="AK21" s="1945"/>
      <c r="AL21" s="1945"/>
      <c r="AM21" s="1945"/>
      <c r="AN21" s="1945"/>
      <c r="AO21" s="1945"/>
      <c r="AP21" s="1945"/>
      <c r="AQ21" s="1945"/>
      <c r="AR21" s="1945"/>
      <c r="AS21" s="1945"/>
      <c r="AT21" s="1945"/>
      <c r="AU21" s="1945"/>
      <c r="AV21" s="1945"/>
      <c r="AW21" s="1945"/>
      <c r="AX21" s="1945"/>
      <c r="AY21" s="1945"/>
      <c r="AZ21" s="1945"/>
      <c r="BA21" s="1945"/>
      <c r="BB21" s="1945"/>
      <c r="BC21" s="1945"/>
    </row>
    <row r="22" spans="1:56" s="1559" customFormat="1" ht="58.5" customHeight="1">
      <c r="A22" s="3750"/>
      <c r="B22" s="2279" t="str">
        <f t="shared" si="2"/>
        <v>2200001962</v>
      </c>
      <c r="C22" s="1493" t="s">
        <v>71</v>
      </c>
      <c r="D22" s="1494"/>
      <c r="E22" s="1495"/>
      <c r="F22" s="1493" t="s">
        <v>84</v>
      </c>
      <c r="G22" s="1543"/>
      <c r="H22" s="1543"/>
      <c r="I22" s="1495" t="s">
        <v>19</v>
      </c>
      <c r="J22" s="1495" t="s">
        <v>959</v>
      </c>
      <c r="K22" s="1828" t="s">
        <v>7618</v>
      </c>
      <c r="L22" s="2543">
        <v>1000</v>
      </c>
      <c r="M22" s="1493" t="s">
        <v>7588</v>
      </c>
      <c r="N22" s="2544"/>
      <c r="O22" s="1852">
        <v>1</v>
      </c>
      <c r="R22" s="1545"/>
      <c r="S22" s="1545"/>
      <c r="T22" s="1545"/>
      <c r="U22" s="1467"/>
      <c r="X22" s="1559">
        <v>2000002953</v>
      </c>
      <c r="Y22" s="1559">
        <v>2497</v>
      </c>
      <c r="Z22" s="1559">
        <v>0</v>
      </c>
    </row>
    <row r="23" spans="1:56" s="1559" customFormat="1" ht="58.5" customHeight="1">
      <c r="A23" s="3749">
        <v>0</v>
      </c>
      <c r="B23" s="2279" t="str">
        <f t="shared" ref="B23:B31" si="3">TEXT(LEFT(K23,10),"0000000000")</f>
        <v>2000002881</v>
      </c>
      <c r="C23" s="2187" t="s">
        <v>7619</v>
      </c>
      <c r="D23" s="2456">
        <v>24000</v>
      </c>
      <c r="E23" s="2187" t="s">
        <v>7620</v>
      </c>
      <c r="F23" s="2263" t="s">
        <v>3416</v>
      </c>
      <c r="G23" s="2187" t="s">
        <v>7621</v>
      </c>
      <c r="H23" s="2261" t="s">
        <v>7622</v>
      </c>
      <c r="I23" s="1921" t="s">
        <v>19</v>
      </c>
      <c r="J23" s="1921" t="s">
        <v>20</v>
      </c>
      <c r="K23" s="1845" t="s">
        <v>7623</v>
      </c>
      <c r="L23" s="2583">
        <v>6000</v>
      </c>
      <c r="M23" s="2196" t="s">
        <v>5937</v>
      </c>
      <c r="N23" s="1775"/>
      <c r="O23" s="1790">
        <v>1</v>
      </c>
      <c r="P23" s="2127"/>
      <c r="Q23" s="1545">
        <v>2000002881</v>
      </c>
      <c r="R23" s="2628" t="e">
        <f>VLOOKUP(Q23,#REF!,2,0)</f>
        <v>#REF!</v>
      </c>
      <c r="S23" s="2628" t="e">
        <f>VLOOKUP(Q23,#REF!,3,0)</f>
        <v>#REF!</v>
      </c>
      <c r="T23" s="2629" t="e">
        <f>R23-S23</f>
        <v>#REF!</v>
      </c>
      <c r="U23" s="1474"/>
      <c r="V23" s="1467"/>
      <c r="W23" s="1467"/>
      <c r="X23" s="1474"/>
      <c r="Y23" s="1474"/>
      <c r="Z23" s="1474"/>
      <c r="AA23" s="1467"/>
      <c r="AB23" s="1467"/>
      <c r="AC23" s="1467"/>
      <c r="AD23" s="1467"/>
      <c r="AE23" s="1467"/>
      <c r="AF23" s="1467"/>
      <c r="AG23" s="1467"/>
      <c r="AH23" s="1467"/>
      <c r="AI23" s="1467"/>
      <c r="AJ23" s="1467"/>
      <c r="AK23" s="1467"/>
      <c r="AL23" s="1467"/>
      <c r="AM23" s="1467"/>
      <c r="AN23" s="1467"/>
      <c r="AO23" s="1467"/>
      <c r="AP23" s="1467"/>
      <c r="AQ23" s="1467"/>
      <c r="AR23" s="1467"/>
      <c r="AS23" s="1467"/>
      <c r="AT23" s="1467"/>
      <c r="AU23" s="1467"/>
      <c r="AV23" s="1467"/>
      <c r="AW23" s="1467"/>
      <c r="AX23" s="1467"/>
      <c r="AY23" s="1467"/>
      <c r="AZ23" s="1467"/>
      <c r="BA23" s="1467"/>
      <c r="BB23" s="1467"/>
      <c r="BC23" s="1467"/>
      <c r="BD23" s="1747"/>
    </row>
    <row r="24" spans="1:56" s="1559" customFormat="1" ht="58.5" customHeight="1">
      <c r="A24" s="3751"/>
      <c r="B24" s="2279" t="str">
        <f t="shared" si="3"/>
        <v>2000002882</v>
      </c>
      <c r="C24" s="1545" t="s">
        <v>3629</v>
      </c>
      <c r="D24" s="2613"/>
      <c r="E24" s="1543"/>
      <c r="F24" s="1545" t="s">
        <v>3416</v>
      </c>
      <c r="G24" s="1543"/>
      <c r="H24" s="1543"/>
      <c r="I24" s="1495" t="s">
        <v>19</v>
      </c>
      <c r="J24" s="1495" t="s">
        <v>20</v>
      </c>
      <c r="K24" s="1605" t="s">
        <v>7624</v>
      </c>
      <c r="L24" s="2543">
        <v>5866</v>
      </c>
      <c r="M24" s="2196" t="s">
        <v>5937</v>
      </c>
      <c r="N24" s="2544"/>
      <c r="O24" s="1852">
        <v>1</v>
      </c>
      <c r="Q24" s="1545">
        <v>2000002882</v>
      </c>
      <c r="R24" s="2628" t="e">
        <f>VLOOKUP(Q24,#REF!,2,0)</f>
        <v>#REF!</v>
      </c>
      <c r="S24" s="2628" t="e">
        <f>VLOOKUP(Q24,#REF!,3,0)</f>
        <v>#REF!</v>
      </c>
      <c r="T24" s="2629" t="e">
        <f>R24-S24</f>
        <v>#REF!</v>
      </c>
      <c r="U24" s="1474"/>
      <c r="V24" s="1467"/>
      <c r="W24" s="1467"/>
      <c r="X24" s="1474"/>
      <c r="Y24" s="1474"/>
      <c r="Z24" s="1474"/>
      <c r="AA24" s="1467"/>
      <c r="AB24" s="1467"/>
      <c r="AC24" s="1467"/>
      <c r="AD24" s="1467"/>
      <c r="AE24" s="1467"/>
      <c r="AF24" s="1467"/>
      <c r="AG24" s="1467"/>
      <c r="AH24" s="1467"/>
      <c r="AI24" s="1467"/>
      <c r="AJ24" s="1467"/>
      <c r="AK24" s="1467"/>
      <c r="AL24" s="1467"/>
      <c r="AM24" s="1467"/>
      <c r="AN24" s="1467"/>
      <c r="AO24" s="1467"/>
      <c r="AP24" s="1467"/>
      <c r="AQ24" s="1467"/>
      <c r="AR24" s="1467"/>
      <c r="AS24" s="1467"/>
      <c r="AT24" s="1467"/>
      <c r="AU24" s="1467"/>
      <c r="AV24" s="1467"/>
      <c r="AW24" s="1467"/>
      <c r="AX24" s="1467"/>
      <c r="AY24" s="1467"/>
      <c r="AZ24" s="1467"/>
      <c r="BA24" s="1467"/>
      <c r="BB24" s="1467"/>
      <c r="BC24" s="1467"/>
      <c r="BD24" s="1747"/>
    </row>
    <row r="25" spans="1:56" s="1559" customFormat="1" ht="58.5" customHeight="1">
      <c r="A25" s="3751"/>
      <c r="B25" s="2279" t="str">
        <f t="shared" si="3"/>
        <v>2200001958</v>
      </c>
      <c r="C25" s="1545" t="s">
        <v>3629</v>
      </c>
      <c r="D25" s="2613"/>
      <c r="E25" s="1543"/>
      <c r="F25" s="1545" t="s">
        <v>3416</v>
      </c>
      <c r="G25" s="1543"/>
      <c r="H25" s="1543"/>
      <c r="I25" s="1495" t="s">
        <v>19</v>
      </c>
      <c r="J25" s="1495" t="s">
        <v>959</v>
      </c>
      <c r="K25" s="1605" t="s">
        <v>7625</v>
      </c>
      <c r="L25" s="2543">
        <v>2766</v>
      </c>
      <c r="M25" s="2196" t="s">
        <v>7293</v>
      </c>
      <c r="N25" s="2544" t="s">
        <v>7626</v>
      </c>
      <c r="O25" s="1852">
        <v>1</v>
      </c>
      <c r="Q25" s="1545">
        <v>2200001958</v>
      </c>
      <c r="R25" s="2628" t="e">
        <f>VLOOKUP(Q25,#REF!,2,0)</f>
        <v>#REF!</v>
      </c>
      <c r="S25" s="2628" t="e">
        <f>VLOOKUP(Q25,#REF!,3,0)</f>
        <v>#REF!</v>
      </c>
      <c r="T25" s="2629" t="e">
        <f>R25-S25</f>
        <v>#REF!</v>
      </c>
      <c r="U25" s="1474"/>
      <c r="V25" s="1467"/>
      <c r="W25" s="1467"/>
      <c r="X25" s="1474"/>
      <c r="Y25" s="1474"/>
      <c r="Z25" s="1474"/>
      <c r="AA25" s="1467"/>
      <c r="AB25" s="1467"/>
      <c r="AC25" s="1467"/>
      <c r="AD25" s="1467"/>
      <c r="AE25" s="1467"/>
      <c r="AF25" s="1467"/>
      <c r="AG25" s="1467"/>
      <c r="AH25" s="1467"/>
      <c r="AI25" s="1467"/>
      <c r="AJ25" s="1467"/>
      <c r="AK25" s="1467"/>
      <c r="AL25" s="1467"/>
      <c r="AM25" s="1467"/>
      <c r="AN25" s="1467"/>
      <c r="AO25" s="1467"/>
      <c r="AP25" s="1467"/>
      <c r="AQ25" s="1467"/>
      <c r="AR25" s="1467"/>
      <c r="AS25" s="1467"/>
      <c r="AT25" s="1467"/>
      <c r="AU25" s="1467"/>
      <c r="AV25" s="1467"/>
      <c r="AW25" s="1467"/>
      <c r="AX25" s="1467"/>
      <c r="AY25" s="1467"/>
      <c r="AZ25" s="1467"/>
      <c r="BA25" s="1467"/>
      <c r="BB25" s="1467"/>
      <c r="BC25" s="1467"/>
      <c r="BD25" s="1747"/>
    </row>
    <row r="26" spans="1:56" s="1559" customFormat="1" ht="58.5" customHeight="1">
      <c r="A26" s="3751"/>
      <c r="B26" s="2279" t="str">
        <f t="shared" si="3"/>
        <v>2200001964</v>
      </c>
      <c r="C26" s="1545" t="s">
        <v>3629</v>
      </c>
      <c r="D26" s="2613"/>
      <c r="E26" s="1543"/>
      <c r="F26" s="1545" t="s">
        <v>3416</v>
      </c>
      <c r="G26" s="1543"/>
      <c r="H26" s="1543"/>
      <c r="I26" s="1495" t="s">
        <v>19</v>
      </c>
      <c r="J26" s="1495" t="s">
        <v>959</v>
      </c>
      <c r="K26" s="1605" t="s">
        <v>7627</v>
      </c>
      <c r="L26" s="2543">
        <v>2762</v>
      </c>
      <c r="M26" s="1495" t="s">
        <v>7628</v>
      </c>
      <c r="N26" s="2544"/>
      <c r="O26" s="1852">
        <v>1</v>
      </c>
      <c r="R26" s="1545"/>
      <c r="S26" s="1545"/>
      <c r="T26" s="1545"/>
      <c r="U26" s="1467"/>
      <c r="V26" s="1945"/>
      <c r="W26" s="1945"/>
      <c r="X26" s="1945">
        <v>2000002970</v>
      </c>
      <c r="Y26" s="1945">
        <v>202</v>
      </c>
      <c r="Z26" s="1945">
        <v>0</v>
      </c>
      <c r="AA26" s="1945"/>
      <c r="AB26" s="1945"/>
      <c r="AC26" s="1945"/>
      <c r="AD26" s="1945"/>
      <c r="AE26" s="1945"/>
      <c r="AF26" s="1945"/>
      <c r="AG26" s="1945"/>
      <c r="AH26" s="1945"/>
      <c r="AI26" s="1945"/>
      <c r="AJ26" s="1945"/>
      <c r="AK26" s="1945"/>
      <c r="AL26" s="1945"/>
      <c r="AM26" s="1945"/>
      <c r="AN26" s="1945"/>
      <c r="AO26" s="1945"/>
      <c r="AP26" s="1945"/>
      <c r="AQ26" s="1945"/>
      <c r="AR26" s="1945"/>
      <c r="AS26" s="1945"/>
      <c r="AT26" s="1945"/>
      <c r="AU26" s="1945"/>
      <c r="AV26" s="1945"/>
      <c r="AW26" s="1945"/>
      <c r="AX26" s="1945"/>
      <c r="AY26" s="1945"/>
      <c r="AZ26" s="1945"/>
      <c r="BA26" s="1945"/>
      <c r="BB26" s="1945"/>
      <c r="BC26" s="1945"/>
    </row>
    <row r="27" spans="1:56" s="1559" customFormat="1" ht="58.5" customHeight="1">
      <c r="A27" s="3751"/>
      <c r="B27" s="2279" t="str">
        <f t="shared" si="3"/>
        <v>2200001960</v>
      </c>
      <c r="C27" s="1545" t="s">
        <v>3629</v>
      </c>
      <c r="D27" s="2613"/>
      <c r="E27" s="1543"/>
      <c r="F27" s="1545" t="s">
        <v>3416</v>
      </c>
      <c r="G27" s="1543"/>
      <c r="H27" s="1543"/>
      <c r="I27" s="1495" t="s">
        <v>19</v>
      </c>
      <c r="J27" s="1495" t="s">
        <v>959</v>
      </c>
      <c r="K27" s="1774" t="s">
        <v>7629</v>
      </c>
      <c r="L27" s="2631">
        <v>313</v>
      </c>
      <c r="M27" s="2196" t="s">
        <v>5953</v>
      </c>
      <c r="N27" s="2544"/>
      <c r="O27" s="1852">
        <v>1</v>
      </c>
      <c r="Q27" s="1545">
        <v>2200001960</v>
      </c>
      <c r="R27" s="2628" t="e">
        <f>VLOOKUP(Q27,#REF!,2,0)</f>
        <v>#REF!</v>
      </c>
      <c r="S27" s="2628" t="e">
        <f>VLOOKUP(Q27,#REF!,3,0)</f>
        <v>#REF!</v>
      </c>
      <c r="T27" s="2629" t="e">
        <f>R27-S27</f>
        <v>#REF!</v>
      </c>
      <c r="U27" s="1474"/>
      <c r="V27" s="1467"/>
      <c r="W27" s="1467"/>
      <c r="X27" s="1474"/>
      <c r="Y27" s="1474"/>
      <c r="Z27" s="1474"/>
      <c r="AA27" s="1467"/>
      <c r="AB27" s="1467"/>
      <c r="AC27" s="1467"/>
      <c r="AD27" s="1467"/>
      <c r="AE27" s="1467"/>
      <c r="AF27" s="1467"/>
      <c r="AG27" s="1467"/>
      <c r="AH27" s="1467"/>
      <c r="AI27" s="1467"/>
      <c r="AJ27" s="1467"/>
      <c r="AK27" s="1467"/>
      <c r="AL27" s="1467"/>
      <c r="AM27" s="1467"/>
      <c r="AN27" s="1467"/>
      <c r="AO27" s="1467"/>
      <c r="AP27" s="1467"/>
      <c r="AQ27" s="1467"/>
      <c r="AR27" s="1467"/>
      <c r="AS27" s="1467"/>
      <c r="AT27" s="1467"/>
      <c r="AU27" s="1467"/>
      <c r="AV27" s="1467"/>
      <c r="AW27" s="1467"/>
      <c r="AX27" s="1467"/>
      <c r="AY27" s="1467"/>
      <c r="AZ27" s="1467"/>
      <c r="BA27" s="1467"/>
      <c r="BB27" s="1467"/>
      <c r="BC27" s="1467"/>
      <c r="BD27" s="1747"/>
    </row>
    <row r="28" spans="1:56" s="1559" customFormat="1" ht="58.5" customHeight="1">
      <c r="A28" s="3751"/>
      <c r="B28" s="2279" t="str">
        <f t="shared" si="3"/>
        <v>2200001920</v>
      </c>
      <c r="C28" s="1545" t="s">
        <v>3629</v>
      </c>
      <c r="D28" s="2613"/>
      <c r="E28" s="1543"/>
      <c r="F28" s="1545" t="s">
        <v>3416</v>
      </c>
      <c r="G28" s="1543"/>
      <c r="H28" s="1543"/>
      <c r="I28" s="1495" t="s">
        <v>19</v>
      </c>
      <c r="J28" s="1495" t="s">
        <v>959</v>
      </c>
      <c r="K28" s="1774" t="s">
        <v>7630</v>
      </c>
      <c r="L28" s="2631">
        <v>1600</v>
      </c>
      <c r="M28" s="2196" t="s">
        <v>5937</v>
      </c>
      <c r="N28" s="2544"/>
      <c r="O28" s="1852">
        <v>1</v>
      </c>
      <c r="Q28" s="1545">
        <v>2200001920</v>
      </c>
      <c r="R28" s="2628" t="e">
        <f>VLOOKUP(Q28,#REF!,2,0)</f>
        <v>#REF!</v>
      </c>
      <c r="S28" s="2628" t="e">
        <f>VLOOKUP(Q28,#REF!,3,0)</f>
        <v>#REF!</v>
      </c>
      <c r="T28" s="2629" t="e">
        <f>R28-S28</f>
        <v>#REF!</v>
      </c>
      <c r="U28" s="1474"/>
      <c r="V28" s="1467"/>
      <c r="W28" s="1467"/>
      <c r="X28" s="1474"/>
      <c r="Y28" s="1474"/>
      <c r="Z28" s="1474"/>
      <c r="AA28" s="1467"/>
      <c r="AB28" s="1467"/>
      <c r="AC28" s="1467"/>
      <c r="AD28" s="1467"/>
      <c r="AE28" s="1467"/>
      <c r="AF28" s="1467"/>
      <c r="AG28" s="1467"/>
      <c r="AH28" s="1467"/>
      <c r="AI28" s="1467"/>
      <c r="AJ28" s="1467"/>
      <c r="AK28" s="1467"/>
      <c r="AL28" s="1467"/>
      <c r="AM28" s="1467"/>
      <c r="AN28" s="1467"/>
      <c r="AO28" s="1467"/>
      <c r="AP28" s="1467"/>
      <c r="AQ28" s="1467"/>
      <c r="AR28" s="1467"/>
      <c r="AS28" s="1467"/>
      <c r="AT28" s="1467"/>
      <c r="AU28" s="1467"/>
      <c r="AV28" s="1467"/>
      <c r="AW28" s="1467"/>
      <c r="AX28" s="1467"/>
      <c r="AY28" s="1467"/>
      <c r="AZ28" s="1467"/>
      <c r="BA28" s="1467"/>
      <c r="BB28" s="1467"/>
      <c r="BC28" s="1467"/>
      <c r="BD28" s="1747"/>
    </row>
    <row r="29" spans="1:56" s="1559" customFormat="1" ht="58.5" customHeight="1">
      <c r="A29" s="3751"/>
      <c r="B29" s="2279" t="str">
        <f t="shared" si="3"/>
        <v>2200001954</v>
      </c>
      <c r="C29" s="1545" t="s">
        <v>3629</v>
      </c>
      <c r="D29" s="2613"/>
      <c r="E29" s="1543"/>
      <c r="F29" s="1545" t="s">
        <v>3416</v>
      </c>
      <c r="G29" s="1543"/>
      <c r="H29" s="1543"/>
      <c r="I29" s="1495" t="s">
        <v>19</v>
      </c>
      <c r="J29" s="1495" t="s">
        <v>959</v>
      </c>
      <c r="K29" s="1774" t="s">
        <v>7631</v>
      </c>
      <c r="L29" s="2631">
        <v>860</v>
      </c>
      <c r="M29" s="2196" t="s">
        <v>5937</v>
      </c>
      <c r="N29" s="2544"/>
      <c r="O29" s="1852">
        <v>1</v>
      </c>
      <c r="Q29" s="1545">
        <v>2200001954</v>
      </c>
      <c r="R29" s="2628" t="e">
        <f>VLOOKUP(Q29,#REF!,2,0)</f>
        <v>#REF!</v>
      </c>
      <c r="S29" s="2628" t="e">
        <f>VLOOKUP(Q29,#REF!,3,0)</f>
        <v>#REF!</v>
      </c>
      <c r="T29" s="2629" t="e">
        <f>R29-S29</f>
        <v>#REF!</v>
      </c>
      <c r="U29" s="1474"/>
      <c r="V29" s="1467"/>
      <c r="W29" s="1467"/>
      <c r="X29" s="1474"/>
      <c r="Y29" s="1474"/>
      <c r="Z29" s="1474"/>
      <c r="AA29" s="1467"/>
      <c r="AB29" s="1467"/>
      <c r="AC29" s="1467"/>
      <c r="AD29" s="1467"/>
      <c r="AE29" s="1467"/>
      <c r="AF29" s="1467"/>
      <c r="AG29" s="1467"/>
      <c r="AH29" s="1467"/>
      <c r="AI29" s="1467"/>
      <c r="AJ29" s="1467"/>
      <c r="AK29" s="1467"/>
      <c r="AL29" s="1467"/>
      <c r="AM29" s="1467"/>
      <c r="AN29" s="1467"/>
      <c r="AO29" s="1467"/>
      <c r="AP29" s="1467"/>
      <c r="AQ29" s="1467"/>
      <c r="AR29" s="1467"/>
      <c r="AS29" s="1467"/>
      <c r="AT29" s="1467"/>
      <c r="AU29" s="1467"/>
      <c r="AV29" s="1467"/>
      <c r="AW29" s="1467"/>
      <c r="AX29" s="1467"/>
      <c r="AY29" s="1467"/>
      <c r="AZ29" s="1467"/>
      <c r="BA29" s="1467"/>
      <c r="BB29" s="1467"/>
      <c r="BC29" s="1467"/>
      <c r="BD29" s="1747"/>
    </row>
    <row r="30" spans="1:56" s="1559" customFormat="1" ht="58.5" customHeight="1">
      <c r="A30" s="3751"/>
      <c r="B30" s="2279" t="str">
        <f t="shared" si="3"/>
        <v>2200001965</v>
      </c>
      <c r="C30" s="1545" t="s">
        <v>3629</v>
      </c>
      <c r="D30" s="2613"/>
      <c r="E30" s="1543"/>
      <c r="F30" s="1545" t="s">
        <v>3416</v>
      </c>
      <c r="G30" s="1543"/>
      <c r="H30" s="1543"/>
      <c r="I30" s="1495" t="s">
        <v>19</v>
      </c>
      <c r="J30" s="1495" t="s">
        <v>959</v>
      </c>
      <c r="K30" s="1774" t="s">
        <v>7632</v>
      </c>
      <c r="L30" s="2631">
        <v>1602</v>
      </c>
      <c r="M30" s="2196" t="s">
        <v>5953</v>
      </c>
      <c r="N30" s="2544"/>
      <c r="O30" s="1852">
        <v>1</v>
      </c>
      <c r="Q30" s="1545">
        <v>2200001965</v>
      </c>
      <c r="R30" s="2628" t="e">
        <f>VLOOKUP(Q30,#REF!,2,0)</f>
        <v>#REF!</v>
      </c>
      <c r="S30" s="2628" t="e">
        <f>VLOOKUP(Q30,#REF!,3,0)</f>
        <v>#REF!</v>
      </c>
      <c r="T30" s="2629" t="e">
        <f>R30-S30</f>
        <v>#REF!</v>
      </c>
      <c r="U30" s="1474"/>
      <c r="V30" s="1467"/>
      <c r="W30" s="1467"/>
      <c r="X30" s="1474"/>
      <c r="Y30" s="1474"/>
      <c r="Z30" s="1474"/>
      <c r="AA30" s="1467"/>
      <c r="AB30" s="1467"/>
      <c r="AC30" s="1467"/>
      <c r="AD30" s="1467"/>
      <c r="AE30" s="1467"/>
      <c r="AF30" s="1467"/>
      <c r="AG30" s="1467"/>
      <c r="AH30" s="1467"/>
      <c r="AI30" s="1467"/>
      <c r="AJ30" s="1467"/>
      <c r="AK30" s="1467"/>
      <c r="AL30" s="1467"/>
      <c r="AM30" s="1467"/>
      <c r="AN30" s="1467"/>
      <c r="AO30" s="1467"/>
      <c r="AP30" s="1467"/>
      <c r="AQ30" s="1467"/>
      <c r="AR30" s="1467"/>
      <c r="AS30" s="1467"/>
      <c r="AT30" s="1467"/>
      <c r="AU30" s="1467"/>
      <c r="AV30" s="1467"/>
      <c r="AW30" s="1467"/>
      <c r="AX30" s="1467"/>
      <c r="AY30" s="1467"/>
      <c r="AZ30" s="1467"/>
      <c r="BA30" s="1467"/>
      <c r="BB30" s="1467"/>
      <c r="BC30" s="1467"/>
      <c r="BD30" s="1747"/>
    </row>
    <row r="31" spans="1:56" s="1559" customFormat="1" ht="58.5" customHeight="1">
      <c r="A31" s="3750"/>
      <c r="B31" s="2279" t="str">
        <f t="shared" si="3"/>
        <v>2200001968</v>
      </c>
      <c r="C31" s="1545" t="s">
        <v>3629</v>
      </c>
      <c r="D31" s="2613"/>
      <c r="E31" s="1543"/>
      <c r="F31" s="1545" t="s">
        <v>3416</v>
      </c>
      <c r="G31" s="1543"/>
      <c r="H31" s="1543"/>
      <c r="I31" s="1495" t="s">
        <v>19</v>
      </c>
      <c r="J31" s="1495" t="s">
        <v>959</v>
      </c>
      <c r="K31" s="1600" t="s">
        <v>7633</v>
      </c>
      <c r="L31" s="2357">
        <v>1734</v>
      </c>
      <c r="M31" s="2196" t="s">
        <v>5953</v>
      </c>
      <c r="N31" s="1860" t="s">
        <v>7634</v>
      </c>
      <c r="O31" s="1852">
        <v>1</v>
      </c>
      <c r="Q31" s="1545">
        <v>2200001968</v>
      </c>
      <c r="R31" s="2628" t="e">
        <f>VLOOKUP(Q31,#REF!,2,0)</f>
        <v>#REF!</v>
      </c>
      <c r="S31" s="2628" t="e">
        <f>VLOOKUP(Q31,#REF!,3,0)</f>
        <v>#REF!</v>
      </c>
      <c r="T31" s="2629" t="e">
        <f>R31-S31</f>
        <v>#REF!</v>
      </c>
      <c r="U31" s="1474"/>
      <c r="V31" s="1467"/>
      <c r="W31" s="1467"/>
      <c r="X31" s="1474"/>
      <c r="Y31" s="1474"/>
      <c r="Z31" s="1474"/>
      <c r="AA31" s="1467"/>
      <c r="AB31" s="1467"/>
      <c r="AC31" s="1467"/>
      <c r="AD31" s="1467"/>
      <c r="AE31" s="1467"/>
      <c r="AF31" s="1467"/>
      <c r="AG31" s="1467"/>
      <c r="AH31" s="1467"/>
      <c r="AI31" s="1467"/>
      <c r="AJ31" s="1467"/>
      <c r="AK31" s="1467"/>
      <c r="AL31" s="1467"/>
      <c r="AM31" s="1467"/>
      <c r="AN31" s="1467"/>
      <c r="AO31" s="1467"/>
      <c r="AP31" s="1467"/>
      <c r="AQ31" s="1467"/>
      <c r="AR31" s="1467"/>
      <c r="AS31" s="1467"/>
      <c r="AT31" s="1467"/>
      <c r="AU31" s="1467"/>
      <c r="AV31" s="1467"/>
      <c r="AW31" s="1467"/>
      <c r="AX31" s="1467"/>
      <c r="AY31" s="1467"/>
      <c r="AZ31" s="1467"/>
      <c r="BA31" s="1467"/>
      <c r="BB31" s="1467"/>
      <c r="BC31" s="1467"/>
      <c r="BD31" s="1747"/>
    </row>
    <row r="32" spans="1:56" s="2127" customFormat="1" ht="71.25" customHeight="1">
      <c r="A32" s="2582">
        <v>10</v>
      </c>
      <c r="B32" s="2279" t="str">
        <f t="shared" ref="B32:B41" si="4">TEXT(LEFT(K32,10),"0000000000")</f>
        <v>2000002878</v>
      </c>
      <c r="C32" s="2263" t="s">
        <v>52</v>
      </c>
      <c r="D32" s="2456">
        <v>4620</v>
      </c>
      <c r="E32" s="2187" t="s">
        <v>7635</v>
      </c>
      <c r="F32" s="2263" t="s">
        <v>16</v>
      </c>
      <c r="G32" s="2187" t="s">
        <v>7636</v>
      </c>
      <c r="H32" s="2187" t="s">
        <v>7637</v>
      </c>
      <c r="I32" s="1921" t="s">
        <v>19</v>
      </c>
      <c r="J32" s="2187" t="s">
        <v>63</v>
      </c>
      <c r="K32" s="2682" t="s">
        <v>7638</v>
      </c>
      <c r="L32" s="2564">
        <v>4620</v>
      </c>
      <c r="M32" s="1909" t="s">
        <v>7639</v>
      </c>
      <c r="N32" s="2565"/>
      <c r="O32" s="1852">
        <v>1</v>
      </c>
      <c r="R32" s="2263"/>
      <c r="S32" s="2263"/>
      <c r="T32" s="2263"/>
      <c r="V32" s="2129"/>
      <c r="W32" s="2129"/>
      <c r="X32" s="2129">
        <v>2400001198</v>
      </c>
      <c r="Y32" s="2129">
        <v>23</v>
      </c>
      <c r="Z32" s="2129">
        <v>0</v>
      </c>
      <c r="AA32" s="2129"/>
      <c r="AB32" s="2129"/>
      <c r="AC32" s="2129"/>
      <c r="AD32" s="2129"/>
      <c r="AE32" s="2129"/>
      <c r="AF32" s="2129"/>
      <c r="AG32" s="2129"/>
      <c r="AH32" s="2129"/>
      <c r="AI32" s="2129"/>
      <c r="AJ32" s="2129"/>
      <c r="AK32" s="2129"/>
      <c r="AL32" s="2129"/>
      <c r="AM32" s="2129"/>
      <c r="AN32" s="2129"/>
      <c r="AO32" s="2129"/>
      <c r="AP32" s="2129"/>
      <c r="AQ32" s="2129"/>
      <c r="AR32" s="2129"/>
      <c r="AS32" s="2129"/>
      <c r="AT32" s="2129"/>
      <c r="AU32" s="2129"/>
      <c r="AV32" s="2129"/>
      <c r="AW32" s="2129"/>
      <c r="AX32" s="2129"/>
      <c r="AY32" s="2129"/>
      <c r="AZ32" s="2129"/>
      <c r="BA32" s="2129"/>
      <c r="BB32" s="2129"/>
      <c r="BC32" s="2129"/>
    </row>
    <row r="33" spans="1:56" s="2127" customFormat="1" ht="58.5" customHeight="1">
      <c r="A33" s="3749">
        <v>11</v>
      </c>
      <c r="B33" s="2279" t="str">
        <f>TEXT(LEFT(K33,10),"0000000000")</f>
        <v>2400001161</v>
      </c>
      <c r="C33" s="2263" t="s">
        <v>7640</v>
      </c>
      <c r="D33" s="2456">
        <v>1619</v>
      </c>
      <c r="E33" s="2187" t="s">
        <v>7641</v>
      </c>
      <c r="F33" s="2263" t="s">
        <v>6761</v>
      </c>
      <c r="G33" s="2187" t="s">
        <v>7642</v>
      </c>
      <c r="H33" s="2261" t="s">
        <v>7643</v>
      </c>
      <c r="I33" s="1921" t="s">
        <v>19</v>
      </c>
      <c r="J33" s="1561" t="s">
        <v>7644</v>
      </c>
      <c r="K33" s="1911" t="s">
        <v>7645</v>
      </c>
      <c r="L33" s="2635">
        <v>25</v>
      </c>
      <c r="M33" s="2196" t="s">
        <v>5961</v>
      </c>
      <c r="N33" s="2565"/>
      <c r="O33" s="1852">
        <v>1</v>
      </c>
      <c r="R33" s="2263"/>
      <c r="S33" s="2263"/>
      <c r="T33" s="2263"/>
    </row>
    <row r="34" spans="1:56" s="1559" customFormat="1" ht="58.5" customHeight="1">
      <c r="A34" s="3751"/>
      <c r="B34" s="2279" t="str">
        <f t="shared" si="4"/>
        <v>2400001162</v>
      </c>
      <c r="C34" s="2263" t="s">
        <v>7640</v>
      </c>
      <c r="D34" s="2613"/>
      <c r="E34" s="1543"/>
      <c r="F34" s="1545"/>
      <c r="G34" s="1543"/>
      <c r="H34" s="1543"/>
      <c r="I34" s="1495" t="s">
        <v>19</v>
      </c>
      <c r="J34" s="1899" t="s">
        <v>7644</v>
      </c>
      <c r="K34" s="1547" t="s">
        <v>7646</v>
      </c>
      <c r="L34" s="2636">
        <v>25</v>
      </c>
      <c r="M34" s="2196" t="s">
        <v>5961</v>
      </c>
      <c r="N34" s="2544"/>
      <c r="O34" s="1852">
        <v>1</v>
      </c>
      <c r="R34" s="1545"/>
      <c r="S34" s="1545"/>
      <c r="T34" s="1545"/>
    </row>
    <row r="35" spans="1:56" s="1559" customFormat="1" ht="58.5" customHeight="1">
      <c r="A35" s="3751"/>
      <c r="B35" s="2279" t="str">
        <f t="shared" si="4"/>
        <v>2400001163</v>
      </c>
      <c r="C35" s="2263" t="s">
        <v>7640</v>
      </c>
      <c r="D35" s="2613"/>
      <c r="E35" s="1543"/>
      <c r="F35" s="1545"/>
      <c r="G35" s="1543"/>
      <c r="H35" s="1543"/>
      <c r="I35" s="1773" t="s">
        <v>19</v>
      </c>
      <c r="J35" s="1495" t="s">
        <v>7644</v>
      </c>
      <c r="K35" s="1771" t="s">
        <v>7647</v>
      </c>
      <c r="L35" s="2636">
        <v>900</v>
      </c>
      <c r="M35" s="1493" t="s">
        <v>5961</v>
      </c>
      <c r="N35" s="2544" t="s">
        <v>7648</v>
      </c>
      <c r="O35" s="1852">
        <v>1</v>
      </c>
      <c r="R35" s="1545"/>
      <c r="S35" s="1545"/>
      <c r="T35" s="1545"/>
    </row>
    <row r="36" spans="1:56" s="1559" customFormat="1" ht="58.5" customHeight="1">
      <c r="A36" s="3751"/>
      <c r="B36" s="2279" t="str">
        <f t="shared" si="4"/>
        <v>2400001160</v>
      </c>
      <c r="C36" s="2263" t="s">
        <v>7640</v>
      </c>
      <c r="D36" s="2613"/>
      <c r="E36" s="1543"/>
      <c r="F36" s="1545"/>
      <c r="G36" s="1543"/>
      <c r="H36" s="1543"/>
      <c r="I36" s="1495" t="s">
        <v>19</v>
      </c>
      <c r="J36" s="1872" t="s">
        <v>7644</v>
      </c>
      <c r="K36" s="1547" t="s">
        <v>7649</v>
      </c>
      <c r="L36" s="2636">
        <v>200</v>
      </c>
      <c r="M36" s="1493" t="s">
        <v>5961</v>
      </c>
      <c r="N36" s="2544"/>
      <c r="O36" s="1852">
        <v>1</v>
      </c>
      <c r="R36" s="1545"/>
      <c r="S36" s="1545"/>
      <c r="T36" s="1545"/>
    </row>
    <row r="37" spans="1:56" s="1548" customFormat="1" ht="58.5" customHeight="1">
      <c r="A37" s="3751"/>
      <c r="B37" s="2279" t="str">
        <f t="shared" si="4"/>
        <v>2400001183</v>
      </c>
      <c r="C37" s="2263" t="s">
        <v>7640</v>
      </c>
      <c r="D37" s="1494"/>
      <c r="E37" s="1770"/>
      <c r="G37" s="1770"/>
      <c r="H37" s="1770"/>
      <c r="I37" s="1495" t="s">
        <v>19</v>
      </c>
      <c r="J37" s="1495" t="s">
        <v>7644</v>
      </c>
      <c r="K37" s="2683" t="s">
        <v>7650</v>
      </c>
      <c r="L37" s="2637">
        <v>100</v>
      </c>
      <c r="M37" s="1748" t="s">
        <v>7651</v>
      </c>
      <c r="N37" s="2590" t="s">
        <v>7652</v>
      </c>
      <c r="O37" s="1790">
        <v>1</v>
      </c>
    </row>
    <row r="38" spans="1:56" s="1548" customFormat="1" ht="58.5" customHeight="1">
      <c r="A38" s="3751"/>
      <c r="B38" s="2279" t="str">
        <f t="shared" si="4"/>
        <v>2400001165</v>
      </c>
      <c r="C38" s="2263" t="s">
        <v>7640</v>
      </c>
      <c r="D38" s="1494"/>
      <c r="E38" s="1770"/>
      <c r="G38" s="1770"/>
      <c r="H38" s="1770"/>
      <c r="I38" s="1495" t="s">
        <v>19</v>
      </c>
      <c r="J38" s="1495" t="s">
        <v>7644</v>
      </c>
      <c r="K38" s="2683" t="s">
        <v>7653</v>
      </c>
      <c r="L38" s="2637">
        <v>300</v>
      </c>
      <c r="M38" s="1493" t="s">
        <v>5961</v>
      </c>
      <c r="N38" s="2590"/>
      <c r="O38" s="1790">
        <v>1</v>
      </c>
    </row>
    <row r="39" spans="1:56" s="1548" customFormat="1" ht="58.5" customHeight="1">
      <c r="A39" s="3751"/>
      <c r="B39" s="2279" t="str">
        <f t="shared" si="4"/>
        <v>2400001184</v>
      </c>
      <c r="C39" s="2263" t="s">
        <v>7640</v>
      </c>
      <c r="D39" s="1494"/>
      <c r="E39" s="1770"/>
      <c r="G39" s="1770"/>
      <c r="H39" s="1770"/>
      <c r="I39" s="1495" t="s">
        <v>19</v>
      </c>
      <c r="J39" s="1495" t="s">
        <v>7644</v>
      </c>
      <c r="K39" s="2683" t="s">
        <v>7654</v>
      </c>
      <c r="L39" s="2637">
        <v>69</v>
      </c>
      <c r="M39" s="1493" t="s">
        <v>5961</v>
      </c>
      <c r="N39" s="2590" t="s">
        <v>7652</v>
      </c>
      <c r="O39" s="1790">
        <v>1</v>
      </c>
      <c r="V39" s="1559"/>
      <c r="W39" s="1559"/>
      <c r="X39" s="1559"/>
      <c r="Y39" s="1559"/>
      <c r="Z39" s="1559"/>
      <c r="AA39" s="1559"/>
      <c r="AB39" s="1559"/>
      <c r="AC39" s="1559"/>
      <c r="AD39" s="1559"/>
      <c r="AE39" s="1559"/>
      <c r="AF39" s="1559"/>
      <c r="AG39" s="1559"/>
      <c r="AH39" s="1559"/>
      <c r="AI39" s="1559"/>
      <c r="AJ39" s="1559"/>
      <c r="AK39" s="1559"/>
      <c r="AL39" s="1559"/>
      <c r="AM39" s="1559"/>
      <c r="AN39" s="1559"/>
      <c r="AO39" s="1559"/>
      <c r="AP39" s="1559"/>
      <c r="AQ39" s="1559"/>
      <c r="AR39" s="1559"/>
      <c r="AS39" s="1559"/>
      <c r="AT39" s="1559"/>
      <c r="AU39" s="1559"/>
      <c r="AV39" s="1559"/>
      <c r="AW39" s="1559"/>
      <c r="AX39" s="1559"/>
      <c r="AY39" s="1559"/>
      <c r="AZ39" s="1559"/>
      <c r="BA39" s="1559"/>
      <c r="BB39" s="1559"/>
      <c r="BC39" s="1559"/>
    </row>
    <row r="40" spans="1:56" s="2150" customFormat="1" ht="57.75" customHeight="1">
      <c r="A40" s="2582">
        <v>12</v>
      </c>
      <c r="B40" s="2279" t="str">
        <f t="shared" si="4"/>
        <v>2000002884</v>
      </c>
      <c r="C40" s="1902" t="s">
        <v>5319</v>
      </c>
      <c r="D40" s="2607">
        <v>11900</v>
      </c>
      <c r="E40" s="1921" t="s">
        <v>7655</v>
      </c>
      <c r="F40" s="1902" t="s">
        <v>3416</v>
      </c>
      <c r="G40" s="1921" t="s">
        <v>7656</v>
      </c>
      <c r="H40" s="1909" t="s">
        <v>7622</v>
      </c>
      <c r="I40" s="1921" t="s">
        <v>19</v>
      </c>
      <c r="J40" s="1921" t="s">
        <v>253</v>
      </c>
      <c r="K40" s="2617" t="s">
        <v>7657</v>
      </c>
      <c r="L40" s="2564">
        <v>12000</v>
      </c>
      <c r="M40" s="2196" t="s">
        <v>5937</v>
      </c>
      <c r="N40" s="1775"/>
      <c r="O40" s="1790">
        <v>1</v>
      </c>
      <c r="Q40" s="1902">
        <v>2000002884</v>
      </c>
      <c r="R40" s="2628" t="e">
        <f>VLOOKUP(Q40,#REF!,2,0)</f>
        <v>#REF!</v>
      </c>
      <c r="S40" s="2628" t="e">
        <f>VLOOKUP(Q40,#REF!,3,0)</f>
        <v>#REF!</v>
      </c>
      <c r="T40" s="2629" t="e">
        <f>R40-S40</f>
        <v>#REF!</v>
      </c>
      <c r="U40" s="1474"/>
      <c r="V40" s="2643"/>
      <c r="W40" s="2643"/>
      <c r="X40" s="2659"/>
      <c r="Y40" s="2659"/>
      <c r="Z40" s="2659"/>
      <c r="AA40" s="2643"/>
      <c r="AB40" s="2643"/>
      <c r="AC40" s="2643"/>
      <c r="AD40" s="2643"/>
      <c r="AE40" s="2643"/>
      <c r="AF40" s="2643"/>
      <c r="AG40" s="2643"/>
      <c r="AH40" s="2643"/>
      <c r="AI40" s="2643"/>
      <c r="AJ40" s="2643"/>
      <c r="AK40" s="2643"/>
      <c r="AL40" s="2643"/>
      <c r="AM40" s="2643"/>
      <c r="AN40" s="2643"/>
      <c r="AO40" s="2643"/>
      <c r="AP40" s="2643"/>
      <c r="AQ40" s="2643"/>
      <c r="AR40" s="2643"/>
      <c r="AS40" s="2643"/>
      <c r="AT40" s="2643"/>
      <c r="AU40" s="2643"/>
      <c r="AV40" s="2643"/>
      <c r="AW40" s="2643"/>
      <c r="AX40" s="2643"/>
      <c r="AY40" s="2643"/>
      <c r="AZ40" s="2643"/>
      <c r="BA40" s="2643"/>
      <c r="BB40" s="2643"/>
      <c r="BC40" s="2643"/>
      <c r="BD40" s="2181"/>
    </row>
    <row r="41" spans="1:56" s="2150" customFormat="1" ht="52.5" customHeight="1">
      <c r="A41" s="2436">
        <v>13</v>
      </c>
      <c r="B41" s="2279" t="str">
        <f t="shared" si="4"/>
        <v>2000002881</v>
      </c>
      <c r="C41" s="1902" t="s">
        <v>2921</v>
      </c>
      <c r="D41" s="2607">
        <v>6000</v>
      </c>
      <c r="E41" s="1921" t="s">
        <v>7658</v>
      </c>
      <c r="F41" s="1902" t="s">
        <v>3416</v>
      </c>
      <c r="G41" s="1921" t="s">
        <v>4140</v>
      </c>
      <c r="H41" s="1921"/>
      <c r="I41" s="1921" t="s">
        <v>19</v>
      </c>
      <c r="J41" s="1921" t="s">
        <v>20</v>
      </c>
      <c r="K41" s="1845" t="s">
        <v>7623</v>
      </c>
      <c r="L41" s="2583">
        <v>6000</v>
      </c>
      <c r="M41" s="2196" t="s">
        <v>5937</v>
      </c>
      <c r="N41" s="1775"/>
      <c r="O41" s="1790">
        <v>1</v>
      </c>
      <c r="Q41" s="1493">
        <v>2000002881</v>
      </c>
      <c r="R41" s="2628" t="e">
        <f>VLOOKUP(Q41,#REF!,2,0)</f>
        <v>#REF!</v>
      </c>
      <c r="S41" s="2628" t="e">
        <f>VLOOKUP(Q41,#REF!,3,0)</f>
        <v>#REF!</v>
      </c>
      <c r="T41" s="2629" t="e">
        <f>R41-S41</f>
        <v>#REF!</v>
      </c>
      <c r="U41" s="1474"/>
      <c r="V41" s="2643"/>
      <c r="W41" s="2643"/>
      <c r="X41" s="2659"/>
      <c r="Y41" s="2659"/>
      <c r="Z41" s="2659"/>
      <c r="AA41" s="2643"/>
      <c r="AB41" s="2643"/>
      <c r="AC41" s="2643"/>
      <c r="AD41" s="2643"/>
      <c r="AE41" s="2643"/>
      <c r="AF41" s="2643"/>
      <c r="AG41" s="2643"/>
      <c r="AH41" s="2643"/>
      <c r="AI41" s="2643"/>
      <c r="AJ41" s="2643"/>
      <c r="AK41" s="2643"/>
      <c r="AL41" s="2643"/>
      <c r="AM41" s="2643"/>
      <c r="AN41" s="2643"/>
      <c r="AO41" s="2643"/>
      <c r="AP41" s="2643"/>
      <c r="AQ41" s="2643"/>
      <c r="AR41" s="2643"/>
      <c r="AS41" s="2643"/>
      <c r="AT41" s="2643"/>
      <c r="AU41" s="2643"/>
      <c r="AV41" s="2643"/>
      <c r="AW41" s="2643"/>
      <c r="AX41" s="2643"/>
      <c r="AY41" s="2643"/>
      <c r="AZ41" s="2643"/>
      <c r="BA41" s="2643"/>
      <c r="BB41" s="2643"/>
      <c r="BC41" s="2643"/>
      <c r="BD41" s="2181"/>
    </row>
    <row r="42" spans="1:56" s="2150" customFormat="1" ht="52.5" customHeight="1">
      <c r="A42" s="3749">
        <v>14</v>
      </c>
      <c r="B42" s="2279" t="str">
        <f t="shared" ref="B42:B66" si="5">TEXT(LEFT(K42,10),"0000000000")</f>
        <v>2000002864</v>
      </c>
      <c r="C42" s="2263" t="s">
        <v>3425</v>
      </c>
      <c r="D42" s="2456">
        <v>3140</v>
      </c>
      <c r="E42" s="1921" t="s">
        <v>7659</v>
      </c>
      <c r="F42" s="2263" t="s">
        <v>61</v>
      </c>
      <c r="G42" s="2187" t="s">
        <v>7660</v>
      </c>
      <c r="H42" s="2187" t="s">
        <v>7661</v>
      </c>
      <c r="I42" s="1921" t="s">
        <v>19</v>
      </c>
      <c r="J42" s="2187" t="s">
        <v>74</v>
      </c>
      <c r="K42" s="2617" t="s">
        <v>7662</v>
      </c>
      <c r="L42" s="2564">
        <v>200</v>
      </c>
      <c r="M42" s="2196" t="s">
        <v>5937</v>
      </c>
      <c r="N42" s="2544"/>
      <c r="O42" s="1852">
        <v>1</v>
      </c>
      <c r="P42" s="1559"/>
      <c r="Q42" s="1493">
        <v>2000002864</v>
      </c>
      <c r="R42" s="2628" t="e">
        <f>VLOOKUP(Q42,#REF!,2,0)</f>
        <v>#REF!</v>
      </c>
      <c r="S42" s="2628" t="e">
        <f>VLOOKUP(Q42,#REF!,3,0)</f>
        <v>#REF!</v>
      </c>
      <c r="T42" s="2629" t="e">
        <f>R42-S42</f>
        <v>#REF!</v>
      </c>
      <c r="U42" s="1474"/>
      <c r="V42" s="2643"/>
      <c r="W42" s="2643"/>
      <c r="X42" s="2659"/>
      <c r="Y42" s="2659"/>
      <c r="Z42" s="2659"/>
      <c r="AA42" s="2643"/>
      <c r="AB42" s="2643"/>
      <c r="AC42" s="2643"/>
      <c r="AD42" s="2643"/>
      <c r="AE42" s="2643"/>
      <c r="AF42" s="2643"/>
      <c r="AG42" s="2643"/>
      <c r="AH42" s="2643"/>
      <c r="AI42" s="2643"/>
      <c r="AJ42" s="2643"/>
      <c r="AK42" s="2643"/>
      <c r="AL42" s="2643"/>
      <c r="AM42" s="2643"/>
      <c r="AN42" s="2643"/>
      <c r="AO42" s="2643"/>
      <c r="AP42" s="2643"/>
      <c r="AQ42" s="2643"/>
      <c r="AR42" s="2643"/>
      <c r="AS42" s="2643"/>
      <c r="AT42" s="2643"/>
      <c r="AU42" s="2643"/>
      <c r="AV42" s="2643"/>
      <c r="AW42" s="2643"/>
      <c r="AX42" s="2643"/>
      <c r="AY42" s="2643"/>
      <c r="AZ42" s="2643"/>
      <c r="BA42" s="2643"/>
      <c r="BB42" s="2643"/>
      <c r="BC42" s="2643"/>
      <c r="BD42" s="2181"/>
    </row>
    <row r="43" spans="1:56" s="2150" customFormat="1" ht="52.5" customHeight="1">
      <c r="A43" s="3751"/>
      <c r="B43" s="2279" t="str">
        <f t="shared" si="5"/>
        <v>2000002879</v>
      </c>
      <c r="C43" s="1545" t="s">
        <v>3425</v>
      </c>
      <c r="D43" s="2613"/>
      <c r="E43" s="1543" t="s">
        <v>125</v>
      </c>
      <c r="F43" s="1545" t="s">
        <v>61</v>
      </c>
      <c r="G43" s="1543"/>
      <c r="H43" s="1543"/>
      <c r="I43" s="1495" t="s">
        <v>19</v>
      </c>
      <c r="J43" s="1543" t="s">
        <v>123</v>
      </c>
      <c r="K43" s="1828" t="s">
        <v>7663</v>
      </c>
      <c r="L43" s="2543">
        <v>2200</v>
      </c>
      <c r="M43" s="1495" t="s">
        <v>5961</v>
      </c>
      <c r="N43" s="2544"/>
      <c r="O43" s="1852">
        <v>1</v>
      </c>
      <c r="P43" s="1559"/>
      <c r="Q43" s="1559"/>
      <c r="R43" s="1545"/>
      <c r="S43" s="1545"/>
      <c r="T43" s="1545"/>
      <c r="U43" s="1559"/>
      <c r="V43" s="2122"/>
      <c r="W43" s="2122"/>
      <c r="X43" s="2122"/>
      <c r="Y43" s="2122"/>
      <c r="Z43" s="2122"/>
      <c r="AA43" s="2122"/>
      <c r="AB43" s="2122"/>
      <c r="AC43" s="2122"/>
      <c r="AD43" s="2122"/>
      <c r="AE43" s="2122"/>
      <c r="AF43" s="2122"/>
      <c r="AG43" s="2122"/>
      <c r="AH43" s="2122"/>
      <c r="AI43" s="2122"/>
      <c r="AJ43" s="2122"/>
      <c r="AK43" s="2122"/>
      <c r="AL43" s="2122"/>
      <c r="AM43" s="2122"/>
      <c r="AN43" s="2122"/>
      <c r="AO43" s="2122"/>
      <c r="AP43" s="2122"/>
      <c r="AQ43" s="2122"/>
      <c r="AR43" s="2122"/>
      <c r="AS43" s="2122"/>
      <c r="AT43" s="2122"/>
      <c r="AU43" s="2122"/>
      <c r="AV43" s="2122"/>
      <c r="AW43" s="2122"/>
      <c r="AX43" s="2122"/>
      <c r="AY43" s="2122"/>
      <c r="AZ43" s="2122"/>
      <c r="BA43" s="2122"/>
      <c r="BB43" s="2122"/>
      <c r="BC43" s="2122"/>
    </row>
    <row r="44" spans="1:56" s="2150" customFormat="1" ht="52.5" customHeight="1">
      <c r="A44" s="3751"/>
      <c r="B44" s="2279" t="str">
        <f t="shared" si="5"/>
        <v>2000002813</v>
      </c>
      <c r="C44" s="1545" t="s">
        <v>3425</v>
      </c>
      <c r="D44" s="1494"/>
      <c r="E44" s="1495"/>
      <c r="F44" s="1545" t="s">
        <v>61</v>
      </c>
      <c r="G44" s="1495"/>
      <c r="H44" s="1495"/>
      <c r="I44" s="1495" t="s">
        <v>19</v>
      </c>
      <c r="J44" s="1495" t="s">
        <v>1230</v>
      </c>
      <c r="K44" s="1600" t="s">
        <v>7664</v>
      </c>
      <c r="L44" s="2357">
        <v>500</v>
      </c>
      <c r="M44" s="2196" t="s">
        <v>5961</v>
      </c>
      <c r="N44" s="1859" t="s">
        <v>7665</v>
      </c>
      <c r="O44" s="1790">
        <v>1</v>
      </c>
      <c r="P44" s="1548"/>
      <c r="Q44" s="1548"/>
      <c r="R44" s="1493"/>
      <c r="S44" s="1493"/>
      <c r="T44" s="1493"/>
      <c r="U44" s="1548"/>
      <c r="V44" s="2127"/>
      <c r="W44" s="2127"/>
      <c r="X44" s="2127"/>
      <c r="Y44" s="2127"/>
      <c r="Z44" s="2127"/>
      <c r="AA44" s="2127"/>
      <c r="AB44" s="2127"/>
      <c r="AC44" s="2127"/>
      <c r="AD44" s="2127"/>
      <c r="AE44" s="2127"/>
      <c r="AF44" s="2127"/>
      <c r="AG44" s="2127"/>
      <c r="AH44" s="2127"/>
      <c r="AI44" s="2127"/>
      <c r="AJ44" s="2127"/>
      <c r="AK44" s="2127"/>
      <c r="AL44" s="2127"/>
      <c r="AM44" s="2127"/>
      <c r="AN44" s="2127"/>
      <c r="AO44" s="2127"/>
      <c r="AP44" s="2127"/>
      <c r="AQ44" s="2127"/>
      <c r="AR44" s="2127"/>
      <c r="AS44" s="2127"/>
      <c r="AT44" s="2127"/>
      <c r="AU44" s="2127"/>
      <c r="AV44" s="2127"/>
      <c r="AW44" s="2127"/>
      <c r="AX44" s="2127"/>
      <c r="AY44" s="2127"/>
      <c r="AZ44" s="2127"/>
      <c r="BA44" s="2127"/>
      <c r="BB44" s="2127"/>
      <c r="BC44" s="2127"/>
    </row>
    <row r="45" spans="1:56" s="2150" customFormat="1" ht="65.25" customHeight="1">
      <c r="A45" s="3750"/>
      <c r="B45" s="2279" t="str">
        <f t="shared" si="5"/>
        <v>2000002792</v>
      </c>
      <c r="C45" s="1545" t="s">
        <v>3425</v>
      </c>
      <c r="D45" s="2613"/>
      <c r="E45" s="1543"/>
      <c r="F45" s="1545" t="s">
        <v>61</v>
      </c>
      <c r="G45" s="1543"/>
      <c r="H45" s="1543"/>
      <c r="I45" s="1495" t="s">
        <v>19</v>
      </c>
      <c r="J45" s="1495" t="s">
        <v>123</v>
      </c>
      <c r="K45" s="1600" t="s">
        <v>7666</v>
      </c>
      <c r="L45" s="2357">
        <v>240</v>
      </c>
      <c r="M45" s="2196" t="s">
        <v>7667</v>
      </c>
      <c r="N45" s="2544"/>
      <c r="O45" s="1852">
        <v>1</v>
      </c>
      <c r="P45" s="1559"/>
      <c r="Q45" s="2640">
        <v>2000002792</v>
      </c>
      <c r="R45" s="2628" t="e">
        <f>VLOOKUP(Q45,#REF!,2,0)</f>
        <v>#REF!</v>
      </c>
      <c r="S45" s="2628" t="e">
        <f>VLOOKUP(Q45,#REF!,3,0)</f>
        <v>#REF!</v>
      </c>
      <c r="T45" s="2629" t="e">
        <f>R45-S45</f>
        <v>#REF!</v>
      </c>
      <c r="U45" s="1474"/>
      <c r="V45" s="2643"/>
      <c r="W45" s="2643"/>
      <c r="X45" s="2659"/>
      <c r="Y45" s="2659"/>
      <c r="Z45" s="2659"/>
      <c r="AA45" s="2643"/>
      <c r="AB45" s="2643"/>
      <c r="AC45" s="2643"/>
      <c r="AD45" s="2643"/>
      <c r="AE45" s="2643"/>
      <c r="AF45" s="2643"/>
      <c r="AG45" s="2643"/>
      <c r="AH45" s="2643"/>
      <c r="AI45" s="2643"/>
      <c r="AJ45" s="2643"/>
      <c r="AK45" s="2643"/>
      <c r="AL45" s="2643"/>
      <c r="AM45" s="2643"/>
      <c r="AN45" s="2643"/>
      <c r="AO45" s="2643"/>
      <c r="AP45" s="2643"/>
      <c r="AQ45" s="2643"/>
      <c r="AR45" s="2643"/>
      <c r="AS45" s="2643"/>
      <c r="AT45" s="2643"/>
      <c r="AU45" s="2643"/>
      <c r="AV45" s="2643"/>
      <c r="AW45" s="2643"/>
      <c r="AX45" s="2643"/>
      <c r="AY45" s="2643"/>
      <c r="AZ45" s="2643"/>
      <c r="BA45" s="2643"/>
      <c r="BB45" s="2643"/>
      <c r="BC45" s="2643"/>
      <c r="BD45" s="2181"/>
    </row>
    <row r="46" spans="1:56" s="1548" customFormat="1" ht="57.75" customHeight="1">
      <c r="A46" s="3749">
        <v>15</v>
      </c>
      <c r="B46" s="2279" t="str">
        <f t="shared" si="5"/>
        <v>2000002824</v>
      </c>
      <c r="C46" s="1902" t="s">
        <v>3733</v>
      </c>
      <c r="D46" s="2607">
        <v>8500</v>
      </c>
      <c r="E46" s="1921" t="s">
        <v>7668</v>
      </c>
      <c r="F46" s="1902" t="s">
        <v>3401</v>
      </c>
      <c r="G46" s="1921" t="s">
        <v>7669</v>
      </c>
      <c r="H46" s="1909" t="s">
        <v>7622</v>
      </c>
      <c r="I46" s="1921" t="s">
        <v>19</v>
      </c>
      <c r="J46" s="1921" t="s">
        <v>1138</v>
      </c>
      <c r="K46" s="1845" t="s">
        <v>7670</v>
      </c>
      <c r="L46" s="2337">
        <v>4500</v>
      </c>
      <c r="M46" s="1493" t="s">
        <v>5961</v>
      </c>
      <c r="N46" s="1775"/>
      <c r="O46" s="1790">
        <v>1</v>
      </c>
      <c r="P46" s="2150"/>
      <c r="Q46" s="2150"/>
      <c r="R46" s="1902"/>
      <c r="S46" s="1902"/>
      <c r="T46" s="1902"/>
      <c r="U46" s="2150"/>
      <c r="V46" s="1883"/>
      <c r="W46" s="1883"/>
      <c r="X46" s="1883"/>
      <c r="Y46" s="1883"/>
      <c r="Z46" s="1883"/>
      <c r="AA46" s="1883"/>
      <c r="AB46" s="1883"/>
      <c r="AC46" s="1883"/>
      <c r="AD46" s="1883"/>
      <c r="AE46" s="1883"/>
      <c r="AF46" s="1883"/>
      <c r="AG46" s="1883"/>
      <c r="AH46" s="1883"/>
      <c r="AI46" s="1883"/>
      <c r="AJ46" s="1883"/>
      <c r="AK46" s="1883"/>
      <c r="AL46" s="1883"/>
      <c r="AM46" s="1883"/>
      <c r="AN46" s="1883"/>
      <c r="AO46" s="1883"/>
      <c r="AP46" s="1883"/>
      <c r="AQ46" s="1883"/>
      <c r="AR46" s="1883"/>
      <c r="AS46" s="1883"/>
      <c r="AT46" s="1883"/>
      <c r="AU46" s="1883"/>
      <c r="AV46" s="1883"/>
      <c r="AW46" s="1883"/>
      <c r="AX46" s="1883"/>
      <c r="AY46" s="1883"/>
      <c r="AZ46" s="1883"/>
      <c r="BA46" s="1883"/>
      <c r="BB46" s="1883"/>
      <c r="BC46" s="1883"/>
    </row>
    <row r="47" spans="1:56" s="1548" customFormat="1" ht="53.25" customHeight="1">
      <c r="A47" s="3750"/>
      <c r="B47" s="2279" t="str">
        <f t="shared" si="5"/>
        <v>2000002825</v>
      </c>
      <c r="C47" s="1493" t="s">
        <v>3733</v>
      </c>
      <c r="D47" s="1494"/>
      <c r="E47" s="1495"/>
      <c r="F47" s="1493" t="s">
        <v>3401</v>
      </c>
      <c r="G47" s="1495"/>
      <c r="H47" s="1495"/>
      <c r="I47" s="1495" t="s">
        <v>19</v>
      </c>
      <c r="J47" s="1495" t="s">
        <v>1138</v>
      </c>
      <c r="K47" s="1496" t="s">
        <v>7671</v>
      </c>
      <c r="L47" s="2357">
        <v>4000</v>
      </c>
      <c r="M47" s="1493" t="s">
        <v>5961</v>
      </c>
      <c r="N47" s="1859"/>
      <c r="O47" s="1790">
        <v>1</v>
      </c>
      <c r="R47" s="1493"/>
      <c r="S47" s="1493"/>
      <c r="T47" s="1493"/>
    </row>
    <row r="48" spans="1:56" s="2150" customFormat="1" ht="58.5" customHeight="1">
      <c r="A48" s="3735">
        <v>16</v>
      </c>
      <c r="B48" s="2279" t="str">
        <f t="shared" si="5"/>
        <v>2000002892</v>
      </c>
      <c r="C48" s="2263" t="s">
        <v>7672</v>
      </c>
      <c r="D48" s="2456">
        <v>4300</v>
      </c>
      <c r="E48" s="2187" t="s">
        <v>7673</v>
      </c>
      <c r="F48" s="2263" t="s">
        <v>84</v>
      </c>
      <c r="G48" s="2187" t="s">
        <v>7674</v>
      </c>
      <c r="H48" s="2187"/>
      <c r="I48" s="1921" t="s">
        <v>19</v>
      </c>
      <c r="J48" s="1921" t="s">
        <v>63</v>
      </c>
      <c r="K48" s="1845" t="s">
        <v>7675</v>
      </c>
      <c r="L48" s="2583">
        <v>1000</v>
      </c>
      <c r="M48" s="1921" t="s">
        <v>7676</v>
      </c>
      <c r="N48" s="2565"/>
      <c r="O48" s="1852">
        <v>1</v>
      </c>
      <c r="P48" s="2127"/>
      <c r="Q48" s="2127"/>
      <c r="R48" s="2263"/>
      <c r="S48" s="2263"/>
      <c r="T48" s="2263"/>
      <c r="U48" s="2127"/>
    </row>
    <row r="49" spans="1:56" s="2150" customFormat="1" ht="58.5" customHeight="1">
      <c r="A49" s="3736"/>
      <c r="B49" s="2279" t="str">
        <f t="shared" si="5"/>
        <v>2000002911</v>
      </c>
      <c r="C49" s="1545" t="s">
        <v>7672</v>
      </c>
      <c r="D49" s="1494"/>
      <c r="E49" s="1770"/>
      <c r="F49" s="1545" t="s">
        <v>84</v>
      </c>
      <c r="G49" s="2187"/>
      <c r="H49" s="2187"/>
      <c r="I49" s="1495" t="s">
        <v>19</v>
      </c>
      <c r="J49" s="1495" t="s">
        <v>63</v>
      </c>
      <c r="K49" s="1600" t="s">
        <v>7677</v>
      </c>
      <c r="L49" s="2357">
        <v>500</v>
      </c>
      <c r="M49" s="1493" t="s">
        <v>5961</v>
      </c>
      <c r="N49" s="2565"/>
      <c r="O49" s="1852">
        <v>1</v>
      </c>
      <c r="P49" s="2127"/>
      <c r="Q49" s="2127"/>
      <c r="R49" s="2263"/>
      <c r="S49" s="2263"/>
      <c r="T49" s="2263"/>
      <c r="U49" s="2643"/>
    </row>
    <row r="50" spans="1:56" s="2150" customFormat="1" ht="58.5" customHeight="1">
      <c r="A50" s="3737"/>
      <c r="B50" s="2279" t="str">
        <f t="shared" si="5"/>
        <v>2000002898</v>
      </c>
      <c r="C50" s="1545" t="s">
        <v>7672</v>
      </c>
      <c r="D50" s="1494"/>
      <c r="E50" s="1770"/>
      <c r="F50" s="1545" t="s">
        <v>84</v>
      </c>
      <c r="G50" s="1770"/>
      <c r="H50" s="1770"/>
      <c r="I50" s="1495" t="s">
        <v>19</v>
      </c>
      <c r="J50" s="1495" t="s">
        <v>5976</v>
      </c>
      <c r="K50" s="1547" t="s">
        <v>7678</v>
      </c>
      <c r="L50" s="2357">
        <v>2800</v>
      </c>
      <c r="M50" s="1495" t="s">
        <v>5961</v>
      </c>
      <c r="N50" s="1775"/>
      <c r="O50" s="1852">
        <v>1</v>
      </c>
      <c r="U50" s="2643"/>
      <c r="V50" s="2127"/>
      <c r="W50" s="2127"/>
      <c r="X50" s="2127"/>
      <c r="Y50" s="2127"/>
      <c r="Z50" s="2127"/>
      <c r="AA50" s="2127"/>
      <c r="AB50" s="2127"/>
      <c r="AC50" s="2127"/>
      <c r="AD50" s="2127"/>
      <c r="AE50" s="2127"/>
      <c r="AF50" s="2127"/>
      <c r="AG50" s="2127"/>
      <c r="AH50" s="2127"/>
      <c r="AI50" s="2127"/>
      <c r="AJ50" s="2127"/>
      <c r="AK50" s="2127"/>
      <c r="AL50" s="2127"/>
      <c r="AM50" s="2127"/>
      <c r="AN50" s="2127"/>
      <c r="AO50" s="2127"/>
      <c r="AP50" s="2127"/>
      <c r="AQ50" s="2127"/>
      <c r="AR50" s="2127"/>
      <c r="AS50" s="2127"/>
      <c r="AT50" s="2127"/>
      <c r="AU50" s="2127"/>
      <c r="AV50" s="2127"/>
      <c r="AW50" s="2127"/>
      <c r="AX50" s="2127"/>
      <c r="AY50" s="2127"/>
      <c r="AZ50" s="2127"/>
      <c r="BA50" s="2127"/>
      <c r="BB50" s="2127"/>
      <c r="BC50" s="2127"/>
    </row>
    <row r="51" spans="1:56" s="1548" customFormat="1" ht="52.5" customHeight="1">
      <c r="A51" s="3749">
        <v>17</v>
      </c>
      <c r="B51" s="2279" t="str">
        <f t="shared" si="5"/>
        <v>2000002857</v>
      </c>
      <c r="C51" s="2263" t="s">
        <v>5319</v>
      </c>
      <c r="D51" s="2607">
        <v>11900</v>
      </c>
      <c r="E51" s="1921" t="s">
        <v>7679</v>
      </c>
      <c r="F51" s="2263" t="s">
        <v>3416</v>
      </c>
      <c r="G51" s="1921" t="s">
        <v>7680</v>
      </c>
      <c r="H51" s="1921"/>
      <c r="I51" s="1921" t="s">
        <v>19</v>
      </c>
      <c r="J51" s="1921" t="s">
        <v>123</v>
      </c>
      <c r="K51" s="2194" t="s">
        <v>7681</v>
      </c>
      <c r="L51" s="2645">
        <v>3000</v>
      </c>
      <c r="M51" s="2196" t="s">
        <v>7682</v>
      </c>
      <c r="N51" s="1859"/>
      <c r="O51" s="1790">
        <v>2</v>
      </c>
      <c r="Q51" s="1493">
        <v>2000002857</v>
      </c>
      <c r="R51" s="2628" t="e">
        <f>VLOOKUP(Q51,#REF!,2,0)</f>
        <v>#REF!</v>
      </c>
      <c r="S51" s="2628" t="e">
        <f>VLOOKUP(Q51,#REF!,3,0)</f>
        <v>#REF!</v>
      </c>
      <c r="T51" s="2629" t="e">
        <f>R51-S51</f>
        <v>#REF!</v>
      </c>
      <c r="U51" s="1474"/>
      <c r="V51" s="1467"/>
      <c r="W51" s="1467"/>
      <c r="X51" s="1474"/>
      <c r="Y51" s="1474"/>
      <c r="Z51" s="1474"/>
      <c r="AA51" s="1467"/>
      <c r="AB51" s="1467"/>
      <c r="AC51" s="1467"/>
      <c r="AD51" s="1467"/>
      <c r="AE51" s="1467"/>
      <c r="AF51" s="1467"/>
      <c r="AG51" s="1467"/>
      <c r="AH51" s="1467"/>
      <c r="AI51" s="1467"/>
      <c r="AJ51" s="1467"/>
      <c r="AK51" s="1467"/>
      <c r="AL51" s="1467"/>
      <c r="AM51" s="1467"/>
      <c r="AN51" s="1467"/>
      <c r="AO51" s="1467"/>
      <c r="AP51" s="1467"/>
      <c r="AQ51" s="1467"/>
      <c r="AR51" s="1467"/>
      <c r="AS51" s="1467"/>
      <c r="AT51" s="1467"/>
      <c r="AU51" s="1467"/>
      <c r="AV51" s="1467"/>
      <c r="AW51" s="1467"/>
      <c r="AX51" s="1467"/>
      <c r="AY51" s="1467"/>
      <c r="AZ51" s="1467"/>
      <c r="BA51" s="1467"/>
      <c r="BB51" s="1467"/>
      <c r="BC51" s="1467"/>
      <c r="BD51" s="1807"/>
    </row>
    <row r="52" spans="1:56" s="1548" customFormat="1" ht="52.5" customHeight="1">
      <c r="A52" s="3751"/>
      <c r="B52" s="2279" t="str">
        <f t="shared" si="5"/>
        <v>2000002854</v>
      </c>
      <c r="C52" s="1545" t="s">
        <v>5319</v>
      </c>
      <c r="D52" s="1808"/>
      <c r="E52" s="1495"/>
      <c r="F52" s="1545" t="s">
        <v>3416</v>
      </c>
      <c r="G52" s="1495"/>
      <c r="H52" s="1495"/>
      <c r="I52" s="1495" t="s">
        <v>19</v>
      </c>
      <c r="J52" s="1495" t="s">
        <v>123</v>
      </c>
      <c r="K52" s="1496" t="s">
        <v>7683</v>
      </c>
      <c r="L52" s="2357">
        <v>2000</v>
      </c>
      <c r="M52" s="1495" t="s">
        <v>7684</v>
      </c>
      <c r="N52" s="1859"/>
      <c r="O52" s="1790">
        <v>2</v>
      </c>
      <c r="R52" s="1493"/>
      <c r="S52" s="1493"/>
      <c r="T52" s="1493"/>
      <c r="V52" s="1945"/>
      <c r="W52" s="1945"/>
      <c r="X52" s="1945"/>
      <c r="Y52" s="1945"/>
      <c r="Z52" s="1945"/>
      <c r="AA52" s="1945"/>
      <c r="AB52" s="1945"/>
      <c r="AC52" s="1945"/>
      <c r="AD52" s="1945"/>
      <c r="AE52" s="1945"/>
      <c r="AF52" s="1945"/>
      <c r="AG52" s="1945"/>
      <c r="AH52" s="1945"/>
      <c r="AI52" s="1945"/>
      <c r="AJ52" s="1945"/>
      <c r="AK52" s="1945"/>
      <c r="AL52" s="1945"/>
      <c r="AM52" s="1945"/>
      <c r="AN52" s="1945"/>
      <c r="AO52" s="1945"/>
      <c r="AP52" s="1945"/>
      <c r="AQ52" s="1945"/>
      <c r="AR52" s="1945"/>
      <c r="AS52" s="1945"/>
      <c r="AT52" s="1945"/>
      <c r="AU52" s="1945"/>
      <c r="AV52" s="1945"/>
      <c r="AW52" s="1945"/>
      <c r="AX52" s="1945"/>
      <c r="AY52" s="1945"/>
      <c r="AZ52" s="1945"/>
      <c r="BA52" s="1945"/>
      <c r="BB52" s="1945"/>
      <c r="BC52" s="1945"/>
    </row>
    <row r="53" spans="1:56" s="1548" customFormat="1" ht="52.5" customHeight="1">
      <c r="A53" s="3751"/>
      <c r="B53" s="2279" t="str">
        <f t="shared" si="5"/>
        <v>2000002914</v>
      </c>
      <c r="C53" s="1545" t="s">
        <v>5319</v>
      </c>
      <c r="D53" s="1808"/>
      <c r="E53" s="1495"/>
      <c r="F53" s="1545" t="s">
        <v>3416</v>
      </c>
      <c r="G53" s="1495"/>
      <c r="H53" s="1495"/>
      <c r="I53" s="1495" t="s">
        <v>19</v>
      </c>
      <c r="J53" s="1495" t="s">
        <v>123</v>
      </c>
      <c r="K53" s="1496" t="s">
        <v>7685</v>
      </c>
      <c r="L53" s="2357">
        <v>2000</v>
      </c>
      <c r="M53" s="2196" t="s">
        <v>7682</v>
      </c>
      <c r="N53" s="1859"/>
      <c r="O53" s="1790">
        <v>2</v>
      </c>
      <c r="Q53" s="1493">
        <v>2000002914</v>
      </c>
      <c r="R53" s="2628" t="e">
        <f>VLOOKUP(Q53,#REF!,2,0)</f>
        <v>#REF!</v>
      </c>
      <c r="S53" s="2628" t="e">
        <f>VLOOKUP(Q53,#REF!,3,0)</f>
        <v>#REF!</v>
      </c>
      <c r="T53" s="2629" t="e">
        <f>R53-S53</f>
        <v>#REF!</v>
      </c>
      <c r="U53" s="1474"/>
      <c r="V53" s="1467"/>
      <c r="W53" s="1467"/>
      <c r="X53" s="1474"/>
      <c r="Y53" s="1474"/>
      <c r="Z53" s="1474"/>
      <c r="AA53" s="1467"/>
      <c r="AB53" s="1467"/>
      <c r="AC53" s="1467"/>
      <c r="AD53" s="1467"/>
      <c r="AE53" s="1467"/>
      <c r="AF53" s="1467"/>
      <c r="AG53" s="1467"/>
      <c r="AH53" s="1467"/>
      <c r="AI53" s="1467"/>
      <c r="AJ53" s="1467"/>
      <c r="AK53" s="1467"/>
      <c r="AL53" s="1467"/>
      <c r="AM53" s="1467"/>
      <c r="AN53" s="1467"/>
      <c r="AO53" s="1467"/>
      <c r="AP53" s="1467"/>
      <c r="AQ53" s="1467"/>
      <c r="AR53" s="1467"/>
      <c r="AS53" s="1467"/>
      <c r="AT53" s="1467"/>
      <c r="AU53" s="1467"/>
      <c r="AV53" s="1467"/>
      <c r="AW53" s="1467"/>
      <c r="AX53" s="1467"/>
      <c r="AY53" s="1467"/>
      <c r="AZ53" s="1467"/>
      <c r="BA53" s="1467"/>
      <c r="BB53" s="1467"/>
      <c r="BC53" s="1467"/>
      <c r="BD53" s="1807"/>
    </row>
    <row r="54" spans="1:56" s="1548" customFormat="1" ht="52.5" customHeight="1">
      <c r="A54" s="3751"/>
      <c r="B54" s="2279" t="str">
        <f t="shared" si="5"/>
        <v>2000002885</v>
      </c>
      <c r="C54" s="1545" t="s">
        <v>5319</v>
      </c>
      <c r="D54" s="1494"/>
      <c r="E54" s="1495"/>
      <c r="F54" s="1545" t="s">
        <v>3416</v>
      </c>
      <c r="G54" s="1495"/>
      <c r="H54" s="1495"/>
      <c r="I54" s="1495" t="s">
        <v>19</v>
      </c>
      <c r="J54" s="1495" t="s">
        <v>1230</v>
      </c>
      <c r="K54" s="1547" t="s">
        <v>7686</v>
      </c>
      <c r="L54" s="2357">
        <v>5000</v>
      </c>
      <c r="M54" s="2196" t="s">
        <v>7687</v>
      </c>
      <c r="N54" s="1843"/>
      <c r="O54" s="1790">
        <v>2</v>
      </c>
      <c r="Q54" s="1493">
        <v>2000002885</v>
      </c>
      <c r="R54" s="2628" t="e">
        <f>VLOOKUP(Q54,#REF!,2,0)</f>
        <v>#REF!</v>
      </c>
      <c r="S54" s="2628" t="e">
        <f>VLOOKUP(Q54,#REF!,3,0)</f>
        <v>#REF!</v>
      </c>
      <c r="T54" s="2629" t="e">
        <f>R54-S54</f>
        <v>#REF!</v>
      </c>
      <c r="U54" s="1474"/>
      <c r="V54" s="1467"/>
      <c r="W54" s="1467"/>
      <c r="X54" s="1474"/>
      <c r="Y54" s="1474"/>
      <c r="Z54" s="1474"/>
      <c r="AA54" s="1467"/>
      <c r="AB54" s="1467"/>
      <c r="AC54" s="1467"/>
      <c r="AD54" s="1467"/>
      <c r="AE54" s="1467"/>
      <c r="AF54" s="1467"/>
      <c r="AG54" s="1467"/>
      <c r="AH54" s="1467"/>
      <c r="AI54" s="1467"/>
      <c r="AJ54" s="1467"/>
      <c r="AK54" s="1467"/>
      <c r="AL54" s="1467"/>
      <c r="AM54" s="1467"/>
      <c r="AN54" s="1467"/>
      <c r="AO54" s="1467"/>
      <c r="AP54" s="1467"/>
      <c r="AQ54" s="1467"/>
      <c r="AR54" s="1467"/>
      <c r="AS54" s="1467"/>
      <c r="AT54" s="1467"/>
      <c r="AU54" s="1467"/>
      <c r="AV54" s="1467"/>
      <c r="AW54" s="1467"/>
      <c r="AX54" s="1467"/>
      <c r="AY54" s="1467"/>
      <c r="AZ54" s="1467"/>
      <c r="BA54" s="1467"/>
      <c r="BB54" s="1467"/>
      <c r="BC54" s="1467"/>
      <c r="BD54" s="1807"/>
    </row>
    <row r="55" spans="1:56" s="1548" customFormat="1" ht="52.5" customHeight="1">
      <c r="A55" s="3749">
        <v>18</v>
      </c>
      <c r="B55" s="1568" t="str">
        <f t="shared" si="5"/>
        <v>2200001970</v>
      </c>
      <c r="C55" s="2263" t="s">
        <v>5575</v>
      </c>
      <c r="D55" s="2607">
        <v>3800</v>
      </c>
      <c r="E55" s="1921" t="s">
        <v>7688</v>
      </c>
      <c r="F55" s="2263" t="s">
        <v>3416</v>
      </c>
      <c r="G55" s="2187" t="s">
        <v>7689</v>
      </c>
      <c r="H55" s="1916"/>
      <c r="I55" s="1921" t="s">
        <v>19</v>
      </c>
      <c r="J55" s="1921" t="s">
        <v>101</v>
      </c>
      <c r="K55" s="1496" t="s">
        <v>7690</v>
      </c>
      <c r="L55" s="2646">
        <v>1300</v>
      </c>
      <c r="M55" s="2196" t="s">
        <v>7628</v>
      </c>
      <c r="N55" s="1862" t="s">
        <v>7691</v>
      </c>
      <c r="O55" s="1852">
        <v>2</v>
      </c>
      <c r="P55" s="2150"/>
      <c r="Q55" s="2150">
        <v>2200001967</v>
      </c>
      <c r="R55" s="2628" t="e">
        <f>VLOOKUP(Q55,#REF!,2,0)</f>
        <v>#REF!</v>
      </c>
      <c r="S55" s="2628" t="e">
        <f>VLOOKUP(Q55,#REF!,3,0)</f>
        <v>#REF!</v>
      </c>
      <c r="T55" s="2629" t="e">
        <f>R55-S55</f>
        <v>#REF!</v>
      </c>
      <c r="U55" s="2643"/>
      <c r="V55" s="1883"/>
      <c r="W55" s="1883"/>
      <c r="X55" s="1883"/>
      <c r="Y55" s="1883"/>
      <c r="Z55" s="1883"/>
      <c r="AA55" s="1883"/>
      <c r="AB55" s="1883"/>
      <c r="AC55" s="1883"/>
      <c r="AD55" s="1883"/>
      <c r="AE55" s="1883"/>
      <c r="AF55" s="1883"/>
      <c r="AG55" s="1883"/>
      <c r="AH55" s="1883"/>
      <c r="AI55" s="1883"/>
      <c r="AJ55" s="1883"/>
      <c r="AK55" s="1883"/>
      <c r="AL55" s="1883"/>
      <c r="AM55" s="1883"/>
      <c r="AN55" s="1883"/>
      <c r="AO55" s="1883"/>
      <c r="AP55" s="1883"/>
      <c r="AQ55" s="1883"/>
      <c r="AR55" s="1883"/>
      <c r="AS55" s="1883"/>
      <c r="AT55" s="1883"/>
      <c r="AU55" s="1883"/>
      <c r="AV55" s="1883"/>
      <c r="AW55" s="1883"/>
      <c r="AX55" s="1883"/>
      <c r="AY55" s="1883"/>
      <c r="AZ55" s="1883"/>
      <c r="BA55" s="1883"/>
      <c r="BB55" s="1883"/>
      <c r="BC55" s="1883"/>
    </row>
    <row r="56" spans="1:56" s="1548" customFormat="1" ht="52.5" customHeight="1">
      <c r="A56" s="3750"/>
      <c r="B56" s="1568" t="str">
        <f t="shared" si="5"/>
        <v>2000002876</v>
      </c>
      <c r="C56" s="1545" t="s">
        <v>5575</v>
      </c>
      <c r="D56" s="1808"/>
      <c r="E56" s="1495"/>
      <c r="F56" s="1545" t="s">
        <v>3416</v>
      </c>
      <c r="G56" s="1495"/>
      <c r="H56" s="1495"/>
      <c r="I56" s="1495" t="s">
        <v>19</v>
      </c>
      <c r="J56" s="1495" t="s">
        <v>101</v>
      </c>
      <c r="K56" s="1600" t="s">
        <v>7692</v>
      </c>
      <c r="L56" s="2357">
        <v>2500</v>
      </c>
      <c r="M56" s="1495" t="s">
        <v>5961</v>
      </c>
      <c r="N56" s="1859"/>
      <c r="O56" s="1790">
        <v>2</v>
      </c>
      <c r="R56" s="1493"/>
      <c r="S56" s="1493"/>
      <c r="T56" s="1493"/>
      <c r="V56" s="1559"/>
      <c r="W56" s="1559"/>
      <c r="X56" s="1559"/>
      <c r="Y56" s="1559"/>
      <c r="Z56" s="1559"/>
      <c r="AA56" s="1559"/>
      <c r="AB56" s="1559"/>
      <c r="AC56" s="1559"/>
      <c r="AD56" s="1559"/>
      <c r="AE56" s="1559"/>
      <c r="AF56" s="1559"/>
      <c r="AG56" s="1559"/>
      <c r="AH56" s="1559"/>
      <c r="AI56" s="1559"/>
      <c r="AJ56" s="1559"/>
      <c r="AK56" s="1559"/>
      <c r="AL56" s="1559"/>
      <c r="AM56" s="1559"/>
      <c r="AN56" s="1559"/>
      <c r="AO56" s="1559"/>
      <c r="AP56" s="1559"/>
      <c r="AQ56" s="1559"/>
      <c r="AR56" s="1559"/>
      <c r="AS56" s="1559"/>
      <c r="AT56" s="1559"/>
      <c r="AU56" s="1559"/>
      <c r="AV56" s="1559"/>
      <c r="AW56" s="1559"/>
      <c r="AX56" s="1559"/>
      <c r="AY56" s="1559"/>
      <c r="AZ56" s="1559"/>
      <c r="BA56" s="1559"/>
      <c r="BB56" s="1559"/>
      <c r="BC56" s="1559"/>
    </row>
    <row r="57" spans="1:56" s="1548" customFormat="1" ht="50.25" customHeight="1">
      <c r="A57" s="3744">
        <v>19</v>
      </c>
      <c r="B57" s="2279" t="str">
        <f t="shared" si="5"/>
        <v>2000002885</v>
      </c>
      <c r="C57" s="2263" t="s">
        <v>3109</v>
      </c>
      <c r="D57" s="2607">
        <v>18500</v>
      </c>
      <c r="E57" s="1921" t="s">
        <v>7693</v>
      </c>
      <c r="F57" s="2263" t="s">
        <v>3401</v>
      </c>
      <c r="G57" s="1921" t="s">
        <v>7694</v>
      </c>
      <c r="H57" s="1921"/>
      <c r="I57" s="1921" t="s">
        <v>19</v>
      </c>
      <c r="J57" s="1921" t="s">
        <v>1230</v>
      </c>
      <c r="K57" s="1911" t="s">
        <v>7686</v>
      </c>
      <c r="L57" s="2583">
        <v>7600</v>
      </c>
      <c r="M57" s="2196" t="s">
        <v>5937</v>
      </c>
      <c r="N57" s="1843"/>
      <c r="O57" s="1790">
        <v>2</v>
      </c>
      <c r="Q57" s="1493">
        <v>2000002885</v>
      </c>
      <c r="R57" s="2628" t="e">
        <f>VLOOKUP(Q57,#REF!,2,0)</f>
        <v>#REF!</v>
      </c>
      <c r="S57" s="2628" t="e">
        <f>VLOOKUP(Q57,#REF!,3,0)</f>
        <v>#REF!</v>
      </c>
      <c r="T57" s="2629" t="e">
        <f>R57-S57</f>
        <v>#REF!</v>
      </c>
      <c r="U57" s="1474"/>
      <c r="V57" s="1467"/>
      <c r="W57" s="1467"/>
      <c r="X57" s="1474"/>
      <c r="Y57" s="1474"/>
      <c r="Z57" s="1474"/>
      <c r="AA57" s="1467"/>
      <c r="AB57" s="1467"/>
      <c r="AC57" s="1467"/>
      <c r="AD57" s="1467"/>
      <c r="AE57" s="1467"/>
      <c r="AF57" s="1467"/>
      <c r="AG57" s="1467"/>
      <c r="AH57" s="1467"/>
      <c r="AI57" s="1467"/>
      <c r="AJ57" s="1467"/>
      <c r="AK57" s="1467"/>
      <c r="AL57" s="1467"/>
      <c r="AM57" s="1467"/>
      <c r="AN57" s="1467"/>
      <c r="AO57" s="1467"/>
      <c r="AP57" s="1467"/>
      <c r="AQ57" s="1467"/>
      <c r="AR57" s="1467"/>
      <c r="AS57" s="1467"/>
      <c r="AT57" s="1467"/>
      <c r="AU57" s="1467"/>
      <c r="AV57" s="1467"/>
      <c r="AW57" s="1467"/>
      <c r="AX57" s="1467"/>
      <c r="AY57" s="1467"/>
      <c r="AZ57" s="1467"/>
      <c r="BA57" s="1467"/>
      <c r="BB57" s="1467"/>
      <c r="BC57" s="1467"/>
      <c r="BD57" s="1807"/>
    </row>
    <row r="58" spans="1:56" s="2150" customFormat="1" ht="66.75" customHeight="1">
      <c r="A58" s="3744"/>
      <c r="B58" s="1568" t="str">
        <f t="shared" si="5"/>
        <v>2000002907</v>
      </c>
      <c r="C58" s="1545" t="s">
        <v>3109</v>
      </c>
      <c r="D58" s="1808"/>
      <c r="E58" s="1495"/>
      <c r="F58" s="1545" t="s">
        <v>3401</v>
      </c>
      <c r="G58" s="1495"/>
      <c r="H58" s="1495"/>
      <c r="I58" s="1495" t="s">
        <v>19</v>
      </c>
      <c r="J58" s="1495" t="s">
        <v>63</v>
      </c>
      <c r="K58" s="1496" t="s">
        <v>7695</v>
      </c>
      <c r="L58" s="2357">
        <v>4100</v>
      </c>
      <c r="M58" s="1748" t="s">
        <v>5961</v>
      </c>
      <c r="N58" s="1775"/>
      <c r="O58" s="2429">
        <v>2</v>
      </c>
      <c r="R58" s="1902"/>
      <c r="S58" s="1902"/>
      <c r="T58" s="1902"/>
      <c r="U58" s="2643"/>
      <c r="V58" s="2122"/>
      <c r="W58" s="2122"/>
      <c r="X58" s="2122"/>
      <c r="Y58" s="2122"/>
      <c r="Z58" s="2122"/>
      <c r="AA58" s="2122"/>
      <c r="AB58" s="2122"/>
      <c r="AC58" s="2122"/>
      <c r="AD58" s="2122"/>
      <c r="AE58" s="2122"/>
      <c r="AF58" s="2122"/>
      <c r="AG58" s="2122"/>
      <c r="AH58" s="2122"/>
      <c r="AI58" s="2122"/>
      <c r="AJ58" s="2122"/>
      <c r="AK58" s="2122"/>
      <c r="AL58" s="2122"/>
      <c r="AM58" s="2122"/>
      <c r="AN58" s="2122"/>
      <c r="AO58" s="2122"/>
      <c r="AP58" s="2122"/>
      <c r="AQ58" s="2122"/>
      <c r="AR58" s="2122"/>
      <c r="AS58" s="2122"/>
      <c r="AT58" s="2122"/>
      <c r="AU58" s="2122"/>
      <c r="AV58" s="2122"/>
      <c r="AW58" s="2122"/>
      <c r="AX58" s="2122"/>
      <c r="AY58" s="2122"/>
      <c r="AZ58" s="2122"/>
      <c r="BA58" s="2122"/>
      <c r="BB58" s="2122"/>
      <c r="BC58" s="2122"/>
    </row>
    <row r="59" spans="1:56" s="2150" customFormat="1" ht="66.75" customHeight="1">
      <c r="A59" s="3744"/>
      <c r="B59" s="1568" t="str">
        <f t="shared" si="5"/>
        <v>2000002929</v>
      </c>
      <c r="C59" s="1545" t="s">
        <v>3109</v>
      </c>
      <c r="D59" s="1808"/>
      <c r="E59" s="1495"/>
      <c r="F59" s="1545" t="s">
        <v>3401</v>
      </c>
      <c r="G59" s="1495"/>
      <c r="H59" s="1495"/>
      <c r="I59" s="1495" t="s">
        <v>19</v>
      </c>
      <c r="J59" s="1495" t="s">
        <v>63</v>
      </c>
      <c r="K59" s="1496" t="s">
        <v>7696</v>
      </c>
      <c r="L59" s="2543">
        <v>1200</v>
      </c>
      <c r="M59" s="1748" t="s">
        <v>5961</v>
      </c>
      <c r="N59" s="1775"/>
      <c r="O59" s="2626">
        <v>2</v>
      </c>
      <c r="R59" s="1902"/>
      <c r="S59" s="1902"/>
      <c r="T59" s="1902"/>
      <c r="U59" s="2643"/>
    </row>
    <row r="60" spans="1:56" s="2150" customFormat="1" ht="44.25" customHeight="1">
      <c r="A60" s="3744"/>
      <c r="B60" s="1568" t="str">
        <f t="shared" si="5"/>
        <v>2000002912</v>
      </c>
      <c r="C60" s="1545" t="s">
        <v>3109</v>
      </c>
      <c r="D60" s="1494"/>
      <c r="E60" s="1770"/>
      <c r="F60" s="1545" t="s">
        <v>3401</v>
      </c>
      <c r="G60" s="1774"/>
      <c r="H60" s="1770"/>
      <c r="I60" s="1495" t="s">
        <v>19</v>
      </c>
      <c r="J60" s="1495" t="s">
        <v>63</v>
      </c>
      <c r="K60" s="1828" t="s">
        <v>7697</v>
      </c>
      <c r="L60" s="2543">
        <v>2608</v>
      </c>
      <c r="M60" s="1748" t="s">
        <v>7698</v>
      </c>
      <c r="N60" s="1775"/>
      <c r="O60" s="2626">
        <v>2</v>
      </c>
      <c r="U60" s="2643"/>
    </row>
    <row r="61" spans="1:56" s="2150" customFormat="1" ht="66.75" customHeight="1">
      <c r="A61" s="3744"/>
      <c r="B61" s="1568" t="str">
        <f t="shared" si="5"/>
        <v>2000002910</v>
      </c>
      <c r="C61" s="1545" t="s">
        <v>3109</v>
      </c>
      <c r="D61" s="1808"/>
      <c r="E61" s="1495"/>
      <c r="F61" s="1545" t="s">
        <v>3401</v>
      </c>
      <c r="G61" s="1495"/>
      <c r="H61" s="1495"/>
      <c r="I61" s="1495" t="s">
        <v>19</v>
      </c>
      <c r="J61" s="1495" t="s">
        <v>63</v>
      </c>
      <c r="K61" s="1600" t="s">
        <v>7699</v>
      </c>
      <c r="L61" s="2357">
        <v>3000</v>
      </c>
      <c r="M61" s="1748" t="s">
        <v>5961</v>
      </c>
      <c r="N61" s="1775"/>
      <c r="O61" s="2429">
        <v>2</v>
      </c>
      <c r="R61" s="1902"/>
      <c r="S61" s="1902"/>
      <c r="T61" s="1902"/>
      <c r="U61" s="2643"/>
    </row>
    <row r="62" spans="1:56" s="2150" customFormat="1" ht="50.25" customHeight="1">
      <c r="A62" s="3749">
        <v>20</v>
      </c>
      <c r="B62" s="2279" t="str">
        <f>TEXT(LEFT(K62,10),"0000000000")</f>
        <v>2000002906</v>
      </c>
      <c r="C62" s="1902" t="s">
        <v>193</v>
      </c>
      <c r="D62" s="2607">
        <v>11700</v>
      </c>
      <c r="E62" s="1921" t="s">
        <v>7700</v>
      </c>
      <c r="F62" s="1902" t="s">
        <v>3401</v>
      </c>
      <c r="G62" s="1921" t="s">
        <v>7701</v>
      </c>
      <c r="H62" s="1921"/>
      <c r="I62" s="1921" t="s">
        <v>19</v>
      </c>
      <c r="J62" s="1921" t="s">
        <v>1138</v>
      </c>
      <c r="K62" s="1911" t="s">
        <v>7702</v>
      </c>
      <c r="L62" s="2583">
        <v>500</v>
      </c>
      <c r="M62" s="1748" t="s">
        <v>7703</v>
      </c>
      <c r="N62" s="1775"/>
      <c r="O62" s="2429">
        <v>2</v>
      </c>
      <c r="R62" s="1902"/>
      <c r="S62" s="1902"/>
      <c r="T62" s="1902"/>
      <c r="U62" s="2643"/>
    </row>
    <row r="63" spans="1:56" s="2150" customFormat="1" ht="53.25" customHeight="1">
      <c r="A63" s="3751"/>
      <c r="B63" s="1568" t="str">
        <f>TEXT(LEFT(K63,10),"0000000000")</f>
        <v>2000002909</v>
      </c>
      <c r="C63" s="1493" t="s">
        <v>193</v>
      </c>
      <c r="D63" s="1808"/>
      <c r="E63" s="1495"/>
      <c r="F63" s="1493" t="s">
        <v>3401</v>
      </c>
      <c r="G63" s="1495"/>
      <c r="H63" s="1495"/>
      <c r="I63" s="1495" t="s">
        <v>19</v>
      </c>
      <c r="J63" s="1495" t="s">
        <v>1138</v>
      </c>
      <c r="K63" s="1600" t="s">
        <v>7704</v>
      </c>
      <c r="L63" s="2357">
        <v>5000</v>
      </c>
      <c r="M63" s="1495" t="s">
        <v>5961</v>
      </c>
      <c r="N63" s="1775"/>
      <c r="O63" s="2429">
        <v>2</v>
      </c>
      <c r="R63" s="1902"/>
      <c r="S63" s="1902"/>
      <c r="T63" s="1902"/>
      <c r="U63" s="2643"/>
    </row>
    <row r="64" spans="1:56" s="2150" customFormat="1" ht="58.5" customHeight="1">
      <c r="A64" s="3751"/>
      <c r="B64" s="1568" t="str">
        <f>TEXT(LEFT(K64,10),"0000000000")</f>
        <v>2000002931</v>
      </c>
      <c r="C64" s="1493" t="s">
        <v>193</v>
      </c>
      <c r="D64" s="1808"/>
      <c r="E64" s="1495"/>
      <c r="F64" s="1493" t="s">
        <v>3401</v>
      </c>
      <c r="G64" s="1495"/>
      <c r="H64" s="1495"/>
      <c r="I64" s="1495" t="s">
        <v>19</v>
      </c>
      <c r="J64" s="1495" t="s">
        <v>1138</v>
      </c>
      <c r="K64" s="1600" t="s">
        <v>7705</v>
      </c>
      <c r="L64" s="2357">
        <v>400</v>
      </c>
      <c r="M64" s="1495" t="s">
        <v>5961</v>
      </c>
      <c r="N64" s="1775" t="s">
        <v>7706</v>
      </c>
      <c r="O64" s="2429">
        <v>2</v>
      </c>
      <c r="R64" s="1902"/>
      <c r="S64" s="1902"/>
      <c r="T64" s="1902"/>
      <c r="U64" s="2643"/>
      <c r="V64" s="2127"/>
      <c r="W64" s="2127"/>
      <c r="X64" s="2127"/>
      <c r="Y64" s="2127"/>
      <c r="Z64" s="2127"/>
      <c r="AA64" s="2127"/>
      <c r="AB64" s="2127"/>
      <c r="AC64" s="2127"/>
      <c r="AD64" s="2127"/>
      <c r="AE64" s="2127"/>
      <c r="AF64" s="2127"/>
      <c r="AG64" s="2127"/>
      <c r="AH64" s="2127"/>
      <c r="AI64" s="2127"/>
      <c r="AJ64" s="2127"/>
      <c r="AK64" s="2127"/>
      <c r="AL64" s="2127"/>
      <c r="AM64" s="2127"/>
      <c r="AN64" s="2127"/>
      <c r="AO64" s="2127"/>
      <c r="AP64" s="2127"/>
      <c r="AQ64" s="2127"/>
      <c r="AR64" s="2127"/>
      <c r="AS64" s="2127"/>
      <c r="AT64" s="2127"/>
      <c r="AU64" s="2127"/>
      <c r="AV64" s="2127"/>
      <c r="AW64" s="2127"/>
      <c r="AX64" s="2127"/>
      <c r="AY64" s="2127"/>
      <c r="AZ64" s="2127"/>
      <c r="BA64" s="2127"/>
      <c r="BB64" s="2127"/>
      <c r="BC64" s="2127"/>
    </row>
    <row r="65" spans="1:56" s="2150" customFormat="1" ht="51.75" customHeight="1">
      <c r="A65" s="3751"/>
      <c r="B65" s="1568" t="str">
        <f>TEXT(LEFT(K65,10),"0000000000")</f>
        <v>2200001954</v>
      </c>
      <c r="C65" s="1493" t="s">
        <v>193</v>
      </c>
      <c r="D65" s="2325"/>
      <c r="E65" s="1495"/>
      <c r="F65" s="1493" t="s">
        <v>3401</v>
      </c>
      <c r="G65" s="1495"/>
      <c r="H65" s="1495"/>
      <c r="I65" s="1495" t="s">
        <v>19</v>
      </c>
      <c r="J65" s="1495" t="s">
        <v>1138</v>
      </c>
      <c r="K65" s="1600" t="s">
        <v>7707</v>
      </c>
      <c r="L65" s="2357">
        <v>6000</v>
      </c>
      <c r="M65" s="2196" t="s">
        <v>7708</v>
      </c>
      <c r="N65" s="1862" t="s">
        <v>7709</v>
      </c>
      <c r="O65" s="2429">
        <v>2</v>
      </c>
      <c r="Q65" s="1902">
        <v>2200001954</v>
      </c>
      <c r="R65" s="2628" t="e">
        <f>VLOOKUP(Q65,#REF!,2,0)</f>
        <v>#REF!</v>
      </c>
      <c r="S65" s="2628" t="e">
        <f>VLOOKUP(Q65,#REF!,3,0)</f>
        <v>#REF!</v>
      </c>
      <c r="T65" s="2629" t="e">
        <f>R65-S65</f>
        <v>#REF!</v>
      </c>
      <c r="U65" s="1474"/>
      <c r="V65" s="2643"/>
      <c r="W65" s="2643"/>
      <c r="X65" s="2659"/>
      <c r="Y65" s="2659"/>
      <c r="Z65" s="2659"/>
      <c r="AA65" s="2643"/>
      <c r="AB65" s="2643"/>
      <c r="AC65" s="2643"/>
      <c r="AD65" s="2643"/>
      <c r="AE65" s="2643"/>
      <c r="AF65" s="2643"/>
      <c r="AG65" s="2643"/>
      <c r="AH65" s="2643"/>
      <c r="AI65" s="2643"/>
      <c r="AJ65" s="2643"/>
      <c r="AK65" s="2643"/>
      <c r="AL65" s="2643"/>
      <c r="AM65" s="2643"/>
      <c r="AN65" s="2643"/>
      <c r="AO65" s="2643"/>
      <c r="AP65" s="2643"/>
      <c r="AQ65" s="2643"/>
      <c r="AR65" s="2643"/>
      <c r="AS65" s="2643"/>
      <c r="AT65" s="2643"/>
      <c r="AU65" s="2643"/>
      <c r="AV65" s="2643"/>
      <c r="AW65" s="2643"/>
      <c r="AX65" s="2643"/>
      <c r="AY65" s="2643"/>
      <c r="AZ65" s="2643"/>
      <c r="BA65" s="2643"/>
      <c r="BB65" s="2643"/>
      <c r="BC65" s="2643"/>
      <c r="BD65" s="2181"/>
    </row>
    <row r="66" spans="1:56" s="2150" customFormat="1" ht="57.75" customHeight="1">
      <c r="A66" s="2436">
        <v>21</v>
      </c>
      <c r="B66" s="1568" t="str">
        <f t="shared" si="5"/>
        <v>2000002902</v>
      </c>
      <c r="C66" s="1902" t="s">
        <v>3460</v>
      </c>
      <c r="D66" s="2607">
        <v>4000</v>
      </c>
      <c r="E66" s="1921" t="s">
        <v>7710</v>
      </c>
      <c r="F66" s="1902" t="s">
        <v>61</v>
      </c>
      <c r="G66" s="1921" t="s">
        <v>7711</v>
      </c>
      <c r="H66" s="1921"/>
      <c r="I66" s="1921" t="s">
        <v>19</v>
      </c>
      <c r="J66" s="1921" t="s">
        <v>199</v>
      </c>
      <c r="K66" s="2194" t="s">
        <v>7712</v>
      </c>
      <c r="L66" s="2645">
        <v>4000</v>
      </c>
      <c r="M66" s="2196" t="s">
        <v>5937</v>
      </c>
      <c r="N66" s="1775"/>
      <c r="O66" s="1790">
        <v>2</v>
      </c>
      <c r="Q66" s="1902">
        <v>2000002903</v>
      </c>
      <c r="R66" s="2628" t="e">
        <f>VLOOKUP(Q66,#REF!,2,0)</f>
        <v>#REF!</v>
      </c>
      <c r="S66" s="2628" t="e">
        <f>VLOOKUP(Q66,#REF!,3,0)</f>
        <v>#REF!</v>
      </c>
      <c r="T66" s="2629" t="e">
        <f>R66-S66</f>
        <v>#REF!</v>
      </c>
      <c r="U66" s="1474"/>
      <c r="V66" s="2643"/>
      <c r="W66" s="2643"/>
      <c r="X66" s="2659"/>
      <c r="Y66" s="2659"/>
      <c r="Z66" s="2659"/>
      <c r="AA66" s="2643"/>
      <c r="AB66" s="2643"/>
      <c r="AC66" s="2643"/>
      <c r="AD66" s="2643"/>
      <c r="AE66" s="2643"/>
      <c r="AF66" s="2643"/>
      <c r="AG66" s="2643"/>
      <c r="AH66" s="2643"/>
      <c r="AI66" s="2643"/>
      <c r="AJ66" s="2643"/>
      <c r="AK66" s="2643"/>
      <c r="AL66" s="2643"/>
      <c r="AM66" s="2643"/>
      <c r="AN66" s="2643"/>
      <c r="AO66" s="2643"/>
      <c r="AP66" s="2643"/>
      <c r="AQ66" s="2643"/>
      <c r="AR66" s="2643"/>
      <c r="AS66" s="2643"/>
      <c r="AT66" s="2643"/>
      <c r="AU66" s="2643"/>
      <c r="AV66" s="2643"/>
      <c r="AW66" s="2643"/>
      <c r="AX66" s="2643"/>
      <c r="AY66" s="2643"/>
      <c r="AZ66" s="2643"/>
      <c r="BA66" s="2643"/>
      <c r="BB66" s="2643"/>
      <c r="BC66" s="2643"/>
      <c r="BD66" s="2181"/>
    </row>
    <row r="67" spans="1:56" s="2150" customFormat="1" ht="42" customHeight="1">
      <c r="A67" s="3735">
        <v>22</v>
      </c>
      <c r="B67" s="2647" t="str">
        <f t="shared" ref="B67:B92" si="6">TEXT(LEFT(K67,10),"0000000000")</f>
        <v>2400001158</v>
      </c>
      <c r="C67" s="1902" t="s">
        <v>7713</v>
      </c>
      <c r="D67" s="2607">
        <f>SUM(L67:L78)</f>
        <v>8200</v>
      </c>
      <c r="E67" s="1921" t="s">
        <v>7714</v>
      </c>
      <c r="F67" s="1902" t="s">
        <v>25</v>
      </c>
      <c r="G67" s="1921" t="s">
        <v>7715</v>
      </c>
      <c r="H67" s="1921"/>
      <c r="I67" s="1921" t="s">
        <v>19</v>
      </c>
      <c r="J67" s="1921" t="s">
        <v>267</v>
      </c>
      <c r="K67" s="1862" t="s">
        <v>7716</v>
      </c>
      <c r="L67" s="2583">
        <v>650</v>
      </c>
      <c r="M67" s="2196" t="s">
        <v>5937</v>
      </c>
      <c r="N67" s="1775"/>
      <c r="O67" s="2429">
        <v>2</v>
      </c>
      <c r="Q67" s="1902">
        <v>2400001158</v>
      </c>
      <c r="R67" s="2628" t="e">
        <f>VLOOKUP(Q67,#REF!,2,0)</f>
        <v>#REF!</v>
      </c>
      <c r="S67" s="2628" t="e">
        <f>VLOOKUP(Q67,#REF!,3,0)</f>
        <v>#REF!</v>
      </c>
      <c r="T67" s="2629" t="e">
        <f>R67-S67</f>
        <v>#REF!</v>
      </c>
      <c r="U67" s="1474"/>
      <c r="V67" s="2643"/>
      <c r="W67" s="2643"/>
      <c r="X67" s="2659"/>
      <c r="Y67" s="2659"/>
      <c r="Z67" s="2659"/>
      <c r="AA67" s="2643"/>
      <c r="AB67" s="2643"/>
      <c r="AC67" s="2643"/>
      <c r="AD67" s="2643"/>
      <c r="AE67" s="2643"/>
      <c r="AF67" s="2643"/>
      <c r="AG67" s="2643"/>
      <c r="AH67" s="2643"/>
      <c r="AI67" s="2643"/>
      <c r="AJ67" s="2643"/>
      <c r="AK67" s="2643"/>
      <c r="AL67" s="2643"/>
      <c r="AM67" s="2643"/>
      <c r="AN67" s="2643"/>
      <c r="AO67" s="2643"/>
      <c r="AP67" s="2643"/>
      <c r="AQ67" s="2643"/>
      <c r="AR67" s="2643"/>
      <c r="AS67" s="2643"/>
      <c r="AT67" s="2643"/>
      <c r="AU67" s="2643"/>
      <c r="AV67" s="2643"/>
      <c r="AW67" s="2643"/>
      <c r="AX67" s="2643"/>
      <c r="AY67" s="2643"/>
      <c r="AZ67" s="2643"/>
      <c r="BA67" s="2643"/>
      <c r="BB67" s="2643"/>
      <c r="BC67" s="2643"/>
      <c r="BD67" s="2181"/>
    </row>
    <row r="68" spans="1:56" s="2150" customFormat="1" ht="42" customHeight="1">
      <c r="A68" s="3736"/>
      <c r="B68" s="2279" t="str">
        <f t="shared" si="6"/>
        <v>2400001159</v>
      </c>
      <c r="C68" s="1493" t="s">
        <v>7713</v>
      </c>
      <c r="D68" s="1808"/>
      <c r="E68" s="1495"/>
      <c r="F68" s="1493"/>
      <c r="G68" s="1495"/>
      <c r="H68" s="1495"/>
      <c r="I68" s="1495" t="s">
        <v>19</v>
      </c>
      <c r="J68" s="1495" t="s">
        <v>267</v>
      </c>
      <c r="K68" s="1843" t="s">
        <v>7717</v>
      </c>
      <c r="L68" s="2357">
        <v>775</v>
      </c>
      <c r="M68" s="2196" t="s">
        <v>5937</v>
      </c>
      <c r="N68" s="1859"/>
      <c r="O68" s="1790">
        <v>2</v>
      </c>
      <c r="P68" s="1548"/>
      <c r="Q68" s="1493">
        <v>2400001159</v>
      </c>
      <c r="R68" s="2628" t="e">
        <f>VLOOKUP(Q68,#REF!,2,0)</f>
        <v>#REF!</v>
      </c>
      <c r="S68" s="2628" t="e">
        <f>VLOOKUP(Q68,#REF!,3,0)</f>
        <v>#REF!</v>
      </c>
      <c r="T68" s="2629" t="e">
        <f>R68-S68</f>
        <v>#REF!</v>
      </c>
      <c r="U68" s="1474"/>
      <c r="V68" s="2643"/>
      <c r="W68" s="2643"/>
      <c r="X68" s="2659"/>
      <c r="Y68" s="2659"/>
      <c r="Z68" s="2659"/>
      <c r="AA68" s="2643"/>
      <c r="AB68" s="2643"/>
      <c r="AC68" s="2643"/>
      <c r="AD68" s="2643"/>
      <c r="AE68" s="2643"/>
      <c r="AF68" s="2643"/>
      <c r="AG68" s="2643"/>
      <c r="AH68" s="2643"/>
      <c r="AI68" s="2643"/>
      <c r="AJ68" s="2643"/>
      <c r="AK68" s="2643"/>
      <c r="AL68" s="2643"/>
      <c r="AM68" s="2643"/>
      <c r="AN68" s="2643"/>
      <c r="AO68" s="2643"/>
      <c r="AP68" s="2643"/>
      <c r="AQ68" s="2643"/>
      <c r="AR68" s="2643"/>
      <c r="AS68" s="2643"/>
      <c r="AT68" s="2643"/>
      <c r="AU68" s="2643"/>
      <c r="AV68" s="2643"/>
      <c r="AW68" s="2643"/>
      <c r="AX68" s="2643"/>
      <c r="AY68" s="2643"/>
      <c r="AZ68" s="2643"/>
      <c r="BA68" s="2643"/>
      <c r="BB68" s="2643"/>
      <c r="BC68" s="2643"/>
      <c r="BD68" s="2181"/>
    </row>
    <row r="69" spans="1:56" s="2150" customFormat="1" ht="42" customHeight="1">
      <c r="A69" s="3736"/>
      <c r="B69" s="2647" t="str">
        <f t="shared" si="6"/>
        <v>2400001173</v>
      </c>
      <c r="C69" s="1493" t="s">
        <v>7713</v>
      </c>
      <c r="D69" s="1808"/>
      <c r="E69" s="1495"/>
      <c r="F69" s="1493"/>
      <c r="G69" s="1495"/>
      <c r="H69" s="1495"/>
      <c r="I69" s="1495" t="s">
        <v>19</v>
      </c>
      <c r="J69" s="1495" t="s">
        <v>267</v>
      </c>
      <c r="K69" s="1843" t="s">
        <v>7718</v>
      </c>
      <c r="L69" s="2357">
        <v>225</v>
      </c>
      <c r="M69" s="2051" t="s">
        <v>7719</v>
      </c>
      <c r="N69" s="1859"/>
      <c r="O69" s="1790">
        <v>2</v>
      </c>
      <c r="P69" s="1548"/>
      <c r="Q69" s="1493"/>
      <c r="R69" s="2628"/>
      <c r="S69" s="2628"/>
      <c r="T69" s="2629"/>
      <c r="U69" s="1467"/>
      <c r="V69" s="2122"/>
      <c r="W69" s="2122"/>
      <c r="X69" s="2122"/>
      <c r="Y69" s="2122"/>
      <c r="Z69" s="2122"/>
      <c r="AA69" s="2122"/>
      <c r="AB69" s="2122"/>
      <c r="AC69" s="2122"/>
      <c r="AD69" s="2122"/>
      <c r="AE69" s="2122"/>
      <c r="AF69" s="2122"/>
      <c r="AG69" s="2122"/>
      <c r="AH69" s="2122"/>
      <c r="AI69" s="2122"/>
      <c r="AJ69" s="2122"/>
      <c r="AK69" s="2122"/>
      <c r="AL69" s="2122"/>
      <c r="AM69" s="2122"/>
      <c r="AN69" s="2122"/>
      <c r="AO69" s="2122"/>
      <c r="AP69" s="2122"/>
      <c r="AQ69" s="2122"/>
      <c r="AR69" s="2122"/>
      <c r="AS69" s="2122"/>
      <c r="AT69" s="2122"/>
      <c r="AU69" s="2122"/>
      <c r="AV69" s="2122"/>
      <c r="AW69" s="2122"/>
      <c r="AX69" s="2122"/>
      <c r="AY69" s="2122"/>
      <c r="AZ69" s="2122"/>
      <c r="BA69" s="2122"/>
      <c r="BB69" s="2122"/>
      <c r="BC69" s="2122"/>
    </row>
    <row r="70" spans="1:56" s="2150" customFormat="1" ht="42" customHeight="1">
      <c r="A70" s="3736"/>
      <c r="B70" s="2279" t="str">
        <f t="shared" si="6"/>
        <v>2400001174</v>
      </c>
      <c r="C70" s="1493" t="s">
        <v>7713</v>
      </c>
      <c r="D70" s="1808"/>
      <c r="E70" s="1495"/>
      <c r="F70" s="1493"/>
      <c r="G70" s="1495"/>
      <c r="H70" s="1495"/>
      <c r="I70" s="1495" t="s">
        <v>19</v>
      </c>
      <c r="J70" s="1495" t="s">
        <v>267</v>
      </c>
      <c r="K70" s="1843" t="s">
        <v>7720</v>
      </c>
      <c r="L70" s="2357">
        <v>50</v>
      </c>
      <c r="M70" s="1543" t="s">
        <v>5961</v>
      </c>
      <c r="N70" s="1859"/>
      <c r="O70" s="1790">
        <v>2</v>
      </c>
      <c r="P70" s="1548"/>
      <c r="Q70" s="1493"/>
      <c r="R70" s="2628"/>
      <c r="S70" s="2628"/>
      <c r="T70" s="2629"/>
      <c r="U70" s="1467"/>
      <c r="V70" s="2127"/>
      <c r="W70" s="2127"/>
      <c r="X70" s="2127"/>
      <c r="Y70" s="2127"/>
      <c r="Z70" s="2127"/>
      <c r="AA70" s="2127"/>
      <c r="AB70" s="2127"/>
      <c r="AC70" s="2127"/>
      <c r="AD70" s="2127"/>
      <c r="AE70" s="2127"/>
      <c r="AF70" s="2127"/>
      <c r="AG70" s="2127"/>
      <c r="AH70" s="2127"/>
      <c r="AI70" s="2127"/>
      <c r="AJ70" s="2127"/>
      <c r="AK70" s="2127"/>
      <c r="AL70" s="2127"/>
      <c r="AM70" s="2127"/>
      <c r="AN70" s="2127"/>
      <c r="AO70" s="2127"/>
      <c r="AP70" s="2127"/>
      <c r="AQ70" s="2127"/>
      <c r="AR70" s="2127"/>
      <c r="AS70" s="2127"/>
      <c r="AT70" s="2127"/>
      <c r="AU70" s="2127"/>
      <c r="AV70" s="2127"/>
      <c r="AW70" s="2127"/>
      <c r="AX70" s="2127"/>
      <c r="AY70" s="2127"/>
      <c r="AZ70" s="2127"/>
      <c r="BA70" s="2127"/>
      <c r="BB70" s="2127"/>
      <c r="BC70" s="2127"/>
    </row>
    <row r="71" spans="1:56" s="2150" customFormat="1" ht="42" customHeight="1">
      <c r="A71" s="3736"/>
      <c r="B71" s="2279" t="str">
        <f t="shared" si="6"/>
        <v>2400001169</v>
      </c>
      <c r="C71" s="1493" t="s">
        <v>7713</v>
      </c>
      <c r="D71" s="1808"/>
      <c r="E71" s="1495"/>
      <c r="F71" s="1493"/>
      <c r="G71" s="1495"/>
      <c r="H71" s="1495"/>
      <c r="I71" s="1495" t="s">
        <v>19</v>
      </c>
      <c r="J71" s="1495" t="s">
        <v>267</v>
      </c>
      <c r="K71" s="1843" t="s">
        <v>7721</v>
      </c>
      <c r="L71" s="2357">
        <v>2900</v>
      </c>
      <c r="M71" s="2196" t="s">
        <v>5937</v>
      </c>
      <c r="N71" s="1859"/>
      <c r="O71" s="1790">
        <v>2</v>
      </c>
      <c r="P71" s="1548"/>
      <c r="Q71" s="1493">
        <v>2400001169</v>
      </c>
      <c r="R71" s="2628" t="e">
        <f>VLOOKUP(Q71,#REF!,2,0)</f>
        <v>#REF!</v>
      </c>
      <c r="S71" s="2628" t="e">
        <f>VLOOKUP(Q71,#REF!,3,0)</f>
        <v>#REF!</v>
      </c>
      <c r="T71" s="2629" t="e">
        <f>R71-S71</f>
        <v>#REF!</v>
      </c>
      <c r="U71" s="1474"/>
      <c r="V71" s="2643"/>
      <c r="W71" s="2643"/>
      <c r="X71" s="2659"/>
      <c r="Y71" s="2659"/>
      <c r="Z71" s="2659"/>
      <c r="AA71" s="2643"/>
      <c r="AB71" s="2643"/>
      <c r="AC71" s="2643"/>
      <c r="AD71" s="2643"/>
      <c r="AE71" s="2643"/>
      <c r="AF71" s="2643"/>
      <c r="AG71" s="2643"/>
      <c r="AH71" s="2643"/>
      <c r="AI71" s="2643"/>
      <c r="AJ71" s="2643"/>
      <c r="AK71" s="2643"/>
      <c r="AL71" s="2643"/>
      <c r="AM71" s="2643"/>
      <c r="AN71" s="2643"/>
      <c r="AO71" s="2643"/>
      <c r="AP71" s="2643"/>
      <c r="AQ71" s="2643"/>
      <c r="AR71" s="2643"/>
      <c r="AS71" s="2643"/>
      <c r="AT71" s="2643"/>
      <c r="AU71" s="2643"/>
      <c r="AV71" s="2643"/>
      <c r="AW71" s="2643"/>
      <c r="AX71" s="2643"/>
      <c r="AY71" s="2643"/>
      <c r="AZ71" s="2643"/>
      <c r="BA71" s="2643"/>
      <c r="BB71" s="2643"/>
      <c r="BC71" s="2643"/>
      <c r="BD71" s="2181"/>
    </row>
    <row r="72" spans="1:56" s="2150" customFormat="1" ht="42" customHeight="1">
      <c r="A72" s="3736"/>
      <c r="B72" s="2279" t="str">
        <f t="shared" si="6"/>
        <v>2400001170</v>
      </c>
      <c r="C72" s="1493" t="s">
        <v>7713</v>
      </c>
      <c r="D72" s="1808"/>
      <c r="E72" s="1495"/>
      <c r="F72" s="1493"/>
      <c r="G72" s="1495"/>
      <c r="H72" s="1495"/>
      <c r="I72" s="1495" t="s">
        <v>19</v>
      </c>
      <c r="J72" s="1495" t="s">
        <v>267</v>
      </c>
      <c r="K72" s="1843" t="s">
        <v>7722</v>
      </c>
      <c r="L72" s="2357">
        <v>2025</v>
      </c>
      <c r="M72" s="2506" t="s">
        <v>5937</v>
      </c>
      <c r="N72" s="1859"/>
      <c r="O72" s="1790">
        <v>2</v>
      </c>
      <c r="P72" s="1548"/>
      <c r="Q72" s="1493">
        <v>2400001170</v>
      </c>
      <c r="R72" s="2628" t="e">
        <f>VLOOKUP(Q72,#REF!,2,0)</f>
        <v>#REF!</v>
      </c>
      <c r="S72" s="2628" t="e">
        <f>VLOOKUP(Q72,#REF!,3,0)</f>
        <v>#REF!</v>
      </c>
      <c r="T72" s="2629" t="e">
        <f>R72-S72</f>
        <v>#REF!</v>
      </c>
      <c r="U72" s="1474"/>
      <c r="V72" s="2643"/>
      <c r="W72" s="2643"/>
      <c r="X72" s="2659"/>
      <c r="Y72" s="2659"/>
      <c r="Z72" s="2659"/>
      <c r="AA72" s="2643"/>
      <c r="AB72" s="2643"/>
      <c r="AC72" s="2643"/>
      <c r="AD72" s="2643"/>
      <c r="AE72" s="2643"/>
      <c r="AF72" s="2643"/>
      <c r="AG72" s="2643"/>
      <c r="AH72" s="2643"/>
      <c r="AI72" s="2643"/>
      <c r="AJ72" s="2643"/>
      <c r="AK72" s="2643"/>
      <c r="AL72" s="2643"/>
      <c r="AM72" s="2643"/>
      <c r="AN72" s="2643"/>
      <c r="AO72" s="2643"/>
      <c r="AP72" s="2643"/>
      <c r="AQ72" s="2643"/>
      <c r="AR72" s="2643"/>
      <c r="AS72" s="2643"/>
      <c r="AT72" s="2643"/>
      <c r="AU72" s="2643"/>
      <c r="AV72" s="2643"/>
      <c r="AW72" s="2643"/>
      <c r="AX72" s="2643"/>
      <c r="AY72" s="2643"/>
      <c r="AZ72" s="2643"/>
      <c r="BA72" s="2643"/>
      <c r="BB72" s="2643"/>
      <c r="BC72" s="2643"/>
      <c r="BD72" s="2181"/>
    </row>
    <row r="73" spans="1:56" s="2150" customFormat="1" ht="42" customHeight="1">
      <c r="A73" s="3736"/>
      <c r="B73" s="2647" t="str">
        <f t="shared" si="6"/>
        <v>2400001171</v>
      </c>
      <c r="C73" s="1493" t="s">
        <v>7713</v>
      </c>
      <c r="D73" s="1808"/>
      <c r="E73" s="1495"/>
      <c r="F73" s="1493"/>
      <c r="G73" s="1495"/>
      <c r="H73" s="1495"/>
      <c r="I73" s="1495" t="s">
        <v>19</v>
      </c>
      <c r="J73" s="1495" t="s">
        <v>267</v>
      </c>
      <c r="K73" s="1843" t="s">
        <v>7723</v>
      </c>
      <c r="L73" s="2357">
        <v>800</v>
      </c>
      <c r="M73" s="2506" t="s">
        <v>5937</v>
      </c>
      <c r="N73" s="1859"/>
      <c r="O73" s="1790">
        <v>2</v>
      </c>
      <c r="P73" s="1548"/>
      <c r="Q73" s="1493">
        <v>2400001171</v>
      </c>
      <c r="R73" s="2628" t="e">
        <f>VLOOKUP(Q73,#REF!,2,0)</f>
        <v>#REF!</v>
      </c>
      <c r="S73" s="2628" t="e">
        <f>VLOOKUP(Q73,#REF!,3,0)</f>
        <v>#REF!</v>
      </c>
      <c r="T73" s="2629" t="e">
        <f>R73-S73</f>
        <v>#REF!</v>
      </c>
      <c r="U73" s="1474"/>
      <c r="V73" s="2643"/>
      <c r="W73" s="2643"/>
      <c r="X73" s="2659"/>
      <c r="Y73" s="2659"/>
      <c r="Z73" s="2659"/>
      <c r="AA73" s="2643"/>
      <c r="AB73" s="2643"/>
      <c r="AC73" s="2643"/>
      <c r="AD73" s="2643"/>
      <c r="AE73" s="2643"/>
      <c r="AF73" s="2643"/>
      <c r="AG73" s="2643"/>
      <c r="AH73" s="2643"/>
      <c r="AI73" s="2643"/>
      <c r="AJ73" s="2643"/>
      <c r="AK73" s="2643"/>
      <c r="AL73" s="2643"/>
      <c r="AM73" s="2643"/>
      <c r="AN73" s="2643"/>
      <c r="AO73" s="2643"/>
      <c r="AP73" s="2643"/>
      <c r="AQ73" s="2643"/>
      <c r="AR73" s="2643"/>
      <c r="AS73" s="2643"/>
      <c r="AT73" s="2643"/>
      <c r="AU73" s="2643"/>
      <c r="AV73" s="2643"/>
      <c r="AW73" s="2643"/>
      <c r="AX73" s="2643"/>
      <c r="AY73" s="2643"/>
      <c r="AZ73" s="2643"/>
      <c r="BA73" s="2643"/>
      <c r="BB73" s="2643"/>
      <c r="BC73" s="2643"/>
      <c r="BD73" s="2181"/>
    </row>
    <row r="74" spans="1:56" s="2150" customFormat="1" ht="42.75" customHeight="1">
      <c r="A74" s="3736"/>
      <c r="B74" s="2647" t="str">
        <f t="shared" si="6"/>
        <v>2400001172</v>
      </c>
      <c r="C74" s="1493" t="s">
        <v>7713</v>
      </c>
      <c r="D74" s="1808"/>
      <c r="E74" s="1495"/>
      <c r="F74" s="1493"/>
      <c r="G74" s="1495"/>
      <c r="H74" s="1495"/>
      <c r="I74" s="1495" t="s">
        <v>19</v>
      </c>
      <c r="J74" s="1495" t="s">
        <v>267</v>
      </c>
      <c r="K74" s="1843" t="s">
        <v>7724</v>
      </c>
      <c r="L74" s="2357">
        <v>100</v>
      </c>
      <c r="M74" s="2506" t="s">
        <v>5937</v>
      </c>
      <c r="N74" s="1859"/>
      <c r="O74" s="1790">
        <v>2</v>
      </c>
      <c r="P74" s="1548"/>
      <c r="Q74" s="1493">
        <v>2400001172</v>
      </c>
      <c r="R74" s="2628" t="e">
        <f>VLOOKUP(Q74,#REF!,2,0)</f>
        <v>#REF!</v>
      </c>
      <c r="S74" s="2628" t="e">
        <f>VLOOKUP(Q74,#REF!,3,0)</f>
        <v>#REF!</v>
      </c>
      <c r="T74" s="2629" t="e">
        <f>R74-S74</f>
        <v>#REF!</v>
      </c>
      <c r="U74" s="1474"/>
      <c r="V74" s="2643"/>
      <c r="W74" s="2643"/>
      <c r="X74" s="2659"/>
      <c r="Y74" s="2659"/>
      <c r="Z74" s="2659"/>
      <c r="AA74" s="2643"/>
      <c r="AB74" s="2643"/>
      <c r="AC74" s="2643"/>
      <c r="AD74" s="2643"/>
      <c r="AE74" s="2643"/>
      <c r="AF74" s="2643"/>
      <c r="AG74" s="2643"/>
      <c r="AH74" s="2643"/>
      <c r="AI74" s="2643"/>
      <c r="AJ74" s="2643"/>
      <c r="AK74" s="2643"/>
      <c r="AL74" s="2643"/>
      <c r="AM74" s="2643"/>
      <c r="AN74" s="2643"/>
      <c r="AO74" s="2643"/>
      <c r="AP74" s="2643"/>
      <c r="AQ74" s="2643"/>
      <c r="AR74" s="2643"/>
      <c r="AS74" s="2643"/>
      <c r="AT74" s="2643"/>
      <c r="AU74" s="2643"/>
      <c r="AV74" s="2643"/>
      <c r="AW74" s="2643"/>
      <c r="AX74" s="2643"/>
      <c r="AY74" s="2643"/>
      <c r="AZ74" s="2643"/>
      <c r="BA74" s="2643"/>
      <c r="BB74" s="2643"/>
      <c r="BC74" s="2643"/>
      <c r="BD74" s="2181"/>
    </row>
    <row r="75" spans="1:56" s="2150" customFormat="1" ht="42.75" customHeight="1">
      <c r="A75" s="3736"/>
      <c r="B75" s="2279" t="str">
        <f t="shared" si="6"/>
        <v>2400001168</v>
      </c>
      <c r="C75" s="1493" t="s">
        <v>7713</v>
      </c>
      <c r="D75" s="1808"/>
      <c r="E75" s="1495"/>
      <c r="F75" s="1493"/>
      <c r="G75" s="1495"/>
      <c r="H75" s="1495"/>
      <c r="I75" s="1495" t="s">
        <v>19</v>
      </c>
      <c r="J75" s="1495" t="s">
        <v>267</v>
      </c>
      <c r="K75" s="1843" t="s">
        <v>7725</v>
      </c>
      <c r="L75" s="2357">
        <v>175</v>
      </c>
      <c r="M75" s="1543" t="s">
        <v>5961</v>
      </c>
      <c r="N75" s="1859"/>
      <c r="O75" s="1790">
        <v>2</v>
      </c>
      <c r="P75" s="1548"/>
      <c r="Q75" s="1493"/>
      <c r="R75" s="2628"/>
      <c r="S75" s="2628"/>
      <c r="T75" s="2629"/>
      <c r="U75" s="1467"/>
      <c r="V75" s="2129"/>
      <c r="W75" s="2129"/>
      <c r="X75" s="2129"/>
      <c r="Y75" s="2129"/>
      <c r="Z75" s="2129"/>
      <c r="AA75" s="2129"/>
      <c r="AB75" s="2129"/>
      <c r="AC75" s="2129"/>
      <c r="AD75" s="2129"/>
      <c r="AE75" s="2129"/>
      <c r="AF75" s="2129"/>
      <c r="AG75" s="2129"/>
      <c r="AH75" s="2129"/>
      <c r="AI75" s="2129"/>
      <c r="AJ75" s="2129"/>
      <c r="AK75" s="2129"/>
      <c r="AL75" s="2129"/>
      <c r="AM75" s="2129"/>
      <c r="AN75" s="2129"/>
      <c r="AO75" s="2129"/>
      <c r="AP75" s="2129"/>
      <c r="AQ75" s="2129"/>
      <c r="AR75" s="2129"/>
      <c r="AS75" s="2129"/>
      <c r="AT75" s="2129"/>
      <c r="AU75" s="2129"/>
      <c r="AV75" s="2129"/>
      <c r="AW75" s="2129"/>
      <c r="AX75" s="2129"/>
      <c r="AY75" s="2129"/>
      <c r="AZ75" s="2129"/>
      <c r="BA75" s="2129"/>
      <c r="BB75" s="2129"/>
      <c r="BC75" s="2129"/>
    </row>
    <row r="76" spans="1:56" s="2150" customFormat="1" ht="42.75" customHeight="1">
      <c r="A76" s="3736"/>
      <c r="B76" s="2279" t="str">
        <f t="shared" si="6"/>
        <v>2400001175</v>
      </c>
      <c r="C76" s="1493" t="s">
        <v>7713</v>
      </c>
      <c r="D76" s="1808"/>
      <c r="E76" s="1495"/>
      <c r="F76" s="1493"/>
      <c r="G76" s="1495"/>
      <c r="H76" s="1495"/>
      <c r="I76" s="1495" t="s">
        <v>19</v>
      </c>
      <c r="J76" s="1495" t="s">
        <v>267</v>
      </c>
      <c r="K76" s="1547" t="s">
        <v>7726</v>
      </c>
      <c r="L76" s="2357">
        <v>325</v>
      </c>
      <c r="M76" s="2506" t="s">
        <v>5937</v>
      </c>
      <c r="N76" s="1859"/>
      <c r="O76" s="1790">
        <v>2</v>
      </c>
      <c r="P76" s="1548"/>
      <c r="Q76" s="1493">
        <v>2400001175</v>
      </c>
      <c r="R76" s="2628" t="e">
        <f>VLOOKUP(Q76,#REF!,2,0)</f>
        <v>#REF!</v>
      </c>
      <c r="S76" s="2628" t="e">
        <f>VLOOKUP(Q76,#REF!,3,0)</f>
        <v>#REF!</v>
      </c>
      <c r="T76" s="2629" t="e">
        <f>R76-S76</f>
        <v>#REF!</v>
      </c>
      <c r="U76" s="1474"/>
      <c r="V76" s="2643"/>
      <c r="W76" s="2643"/>
      <c r="X76" s="2659"/>
      <c r="Y76" s="2659"/>
      <c r="Z76" s="2659"/>
      <c r="AA76" s="2643"/>
      <c r="AB76" s="2643"/>
      <c r="AC76" s="2643"/>
      <c r="AD76" s="2643"/>
      <c r="AE76" s="2643"/>
      <c r="AF76" s="2643"/>
      <c r="AG76" s="2643"/>
      <c r="AH76" s="2643"/>
      <c r="AI76" s="2643"/>
      <c r="AJ76" s="2643"/>
      <c r="AK76" s="2643"/>
      <c r="AL76" s="2643"/>
      <c r="AM76" s="2643"/>
      <c r="AN76" s="2643"/>
      <c r="AO76" s="2643"/>
      <c r="AP76" s="2643"/>
      <c r="AQ76" s="2643"/>
      <c r="AR76" s="2643"/>
      <c r="AS76" s="2643"/>
      <c r="AT76" s="2643"/>
      <c r="AU76" s="2643"/>
      <c r="AV76" s="2643"/>
      <c r="AW76" s="2643"/>
      <c r="AX76" s="2643"/>
      <c r="AY76" s="2643"/>
      <c r="AZ76" s="2643"/>
      <c r="BA76" s="2643"/>
      <c r="BB76" s="2643"/>
      <c r="BC76" s="2643"/>
      <c r="BD76" s="2181"/>
    </row>
    <row r="77" spans="1:56" s="2150" customFormat="1" ht="42.75" customHeight="1">
      <c r="A77" s="3736"/>
      <c r="B77" s="2279" t="str">
        <f t="shared" si="6"/>
        <v>2400001180</v>
      </c>
      <c r="C77" s="1493" t="s">
        <v>7713</v>
      </c>
      <c r="D77" s="1808"/>
      <c r="E77" s="1495"/>
      <c r="F77" s="1493"/>
      <c r="G77" s="1495"/>
      <c r="H77" s="1495"/>
      <c r="I77" s="1495" t="s">
        <v>19</v>
      </c>
      <c r="J77" s="1495" t="s">
        <v>267</v>
      </c>
      <c r="K77" s="1547" t="s">
        <v>7727</v>
      </c>
      <c r="L77" s="2357">
        <v>100</v>
      </c>
      <c r="M77" s="1543" t="s">
        <v>5961</v>
      </c>
      <c r="N77" s="1859"/>
      <c r="O77" s="1790">
        <v>2</v>
      </c>
      <c r="P77" s="1548"/>
      <c r="Q77" s="1493"/>
      <c r="R77" s="2628"/>
      <c r="S77" s="2628"/>
      <c r="T77" s="2629"/>
      <c r="U77" s="1467"/>
      <c r="V77" s="2122"/>
      <c r="W77" s="2122"/>
      <c r="X77" s="2122"/>
      <c r="Y77" s="2122"/>
      <c r="Z77" s="2122"/>
      <c r="AA77" s="2122"/>
      <c r="AB77" s="2122"/>
      <c r="AC77" s="2122"/>
      <c r="AD77" s="2122"/>
      <c r="AE77" s="2122"/>
      <c r="AF77" s="2122"/>
      <c r="AG77" s="2122"/>
      <c r="AH77" s="2122"/>
      <c r="AI77" s="2122"/>
      <c r="AJ77" s="2122"/>
      <c r="AK77" s="2122"/>
      <c r="AL77" s="2122"/>
      <c r="AM77" s="2122"/>
      <c r="AN77" s="2122"/>
      <c r="AO77" s="2122"/>
      <c r="AP77" s="2122"/>
      <c r="AQ77" s="2122"/>
      <c r="AR77" s="2122"/>
      <c r="AS77" s="2122"/>
      <c r="AT77" s="2122"/>
      <c r="AU77" s="2122"/>
      <c r="AV77" s="2122"/>
      <c r="AW77" s="2122"/>
      <c r="AX77" s="2122"/>
      <c r="AY77" s="2122"/>
      <c r="AZ77" s="2122"/>
      <c r="BA77" s="2122"/>
      <c r="BB77" s="2122"/>
      <c r="BC77" s="2122"/>
    </row>
    <row r="78" spans="1:56" s="2150" customFormat="1" ht="42.75" customHeight="1">
      <c r="A78" s="3737"/>
      <c r="B78" s="2279" t="str">
        <f t="shared" si="6"/>
        <v>2400001181</v>
      </c>
      <c r="C78" s="1493" t="s">
        <v>7713</v>
      </c>
      <c r="D78" s="1808"/>
      <c r="E78" s="1495"/>
      <c r="F78" s="1493"/>
      <c r="G78" s="1495"/>
      <c r="H78" s="1495"/>
      <c r="I78" s="1495" t="s">
        <v>19</v>
      </c>
      <c r="J78" s="1495" t="s">
        <v>267</v>
      </c>
      <c r="K78" s="1547" t="s">
        <v>7728</v>
      </c>
      <c r="L78" s="2357">
        <v>75</v>
      </c>
      <c r="M78" s="1543" t="s">
        <v>5961</v>
      </c>
      <c r="N78" s="1859"/>
      <c r="O78" s="1790">
        <v>2</v>
      </c>
      <c r="P78" s="1548"/>
      <c r="Q78" s="1493"/>
      <c r="R78" s="2628"/>
      <c r="S78" s="2628"/>
      <c r="T78" s="2629"/>
      <c r="U78" s="1467"/>
    </row>
    <row r="79" spans="1:56" s="1548" customFormat="1" ht="58.5" customHeight="1">
      <c r="A79" s="3749">
        <v>23</v>
      </c>
      <c r="B79" s="1568" t="str">
        <f t="shared" si="6"/>
        <v>2200001970</v>
      </c>
      <c r="C79" s="2263" t="s">
        <v>211</v>
      </c>
      <c r="D79" s="2607">
        <v>3950</v>
      </c>
      <c r="E79" s="1921" t="s">
        <v>7729</v>
      </c>
      <c r="F79" s="2263" t="s">
        <v>61</v>
      </c>
      <c r="G79" s="2187" t="s">
        <v>7730</v>
      </c>
      <c r="H79" s="1916"/>
      <c r="I79" s="1921" t="s">
        <v>19</v>
      </c>
      <c r="J79" s="1495" t="s">
        <v>101</v>
      </c>
      <c r="K79" s="1496" t="s">
        <v>7731</v>
      </c>
      <c r="L79" s="2646">
        <v>2700</v>
      </c>
      <c r="M79" s="2385" t="s">
        <v>7628</v>
      </c>
      <c r="N79" s="1859"/>
      <c r="O79" s="1790">
        <v>2</v>
      </c>
      <c r="P79" s="2150"/>
      <c r="Q79" s="2150"/>
      <c r="R79" s="2150"/>
      <c r="S79" s="2150"/>
      <c r="T79" s="2150"/>
      <c r="U79" s="2643"/>
      <c r="V79" s="1559"/>
      <c r="W79" s="1559"/>
      <c r="X79" s="1559"/>
      <c r="Y79" s="1559"/>
      <c r="Z79" s="1559"/>
      <c r="AA79" s="1559"/>
      <c r="AB79" s="1559"/>
      <c r="AC79" s="1559"/>
      <c r="AD79" s="1559"/>
      <c r="AE79" s="1559"/>
      <c r="AF79" s="1559"/>
      <c r="AG79" s="1559"/>
      <c r="AH79" s="1559"/>
      <c r="AI79" s="1559"/>
      <c r="AJ79" s="1559"/>
      <c r="AK79" s="1559"/>
      <c r="AL79" s="1559"/>
      <c r="AM79" s="1559"/>
      <c r="AN79" s="1559"/>
      <c r="AO79" s="1559"/>
      <c r="AP79" s="1559"/>
      <c r="AQ79" s="1559"/>
      <c r="AR79" s="1559"/>
      <c r="AS79" s="1559"/>
      <c r="AT79" s="1559"/>
      <c r="AU79" s="1559"/>
      <c r="AV79" s="1559"/>
      <c r="AW79" s="1559"/>
      <c r="AX79" s="1559"/>
      <c r="AY79" s="1559"/>
      <c r="AZ79" s="1559"/>
      <c r="BA79" s="1559"/>
      <c r="BB79" s="1559"/>
      <c r="BC79" s="1559"/>
    </row>
    <row r="80" spans="1:56" s="1548" customFormat="1" ht="58.5" customHeight="1">
      <c r="A80" s="3750"/>
      <c r="B80" s="1568" t="str">
        <f t="shared" si="6"/>
        <v>2200001967</v>
      </c>
      <c r="C80" s="1545" t="s">
        <v>211</v>
      </c>
      <c r="D80" s="1494"/>
      <c r="E80" s="1495"/>
      <c r="F80" s="1545" t="s">
        <v>61</v>
      </c>
      <c r="G80" s="1543"/>
      <c r="H80" s="1770"/>
      <c r="I80" s="1495" t="s">
        <v>19</v>
      </c>
      <c r="J80" s="1495" t="s">
        <v>101</v>
      </c>
      <c r="K80" s="1547" t="s">
        <v>7732</v>
      </c>
      <c r="L80" s="2357">
        <v>1239</v>
      </c>
      <c r="M80" s="2196" t="s">
        <v>5953</v>
      </c>
      <c r="N80" s="1859"/>
      <c r="O80" s="1790">
        <v>2</v>
      </c>
      <c r="P80" s="2150"/>
      <c r="Q80" s="1902">
        <v>2200001967</v>
      </c>
      <c r="R80" s="2628" t="e">
        <f>VLOOKUP(Q80,#REF!,2,0)</f>
        <v>#REF!</v>
      </c>
      <c r="S80" s="2628" t="e">
        <f>VLOOKUP(Q80,#REF!,3,0)</f>
        <v>#REF!</v>
      </c>
      <c r="T80" s="2629" t="e">
        <f>R80-S80</f>
        <v>#REF!</v>
      </c>
      <c r="U80" s="1474"/>
      <c r="V80" s="1467"/>
      <c r="W80" s="1467"/>
      <c r="X80" s="1474"/>
      <c r="Y80" s="1474"/>
      <c r="Z80" s="1474"/>
      <c r="AA80" s="1467"/>
      <c r="AB80" s="1467"/>
      <c r="AC80" s="1467"/>
      <c r="AD80" s="1467"/>
      <c r="AE80" s="1467"/>
      <c r="AF80" s="1467"/>
      <c r="AG80" s="1467"/>
      <c r="AH80" s="1467"/>
      <c r="AI80" s="1467"/>
      <c r="AJ80" s="1467"/>
      <c r="AK80" s="1467"/>
      <c r="AL80" s="1467"/>
      <c r="AM80" s="1467"/>
      <c r="AN80" s="1467"/>
      <c r="AO80" s="1467"/>
      <c r="AP80" s="1467"/>
      <c r="AQ80" s="1467"/>
      <c r="AR80" s="1467"/>
      <c r="AS80" s="1467"/>
      <c r="AT80" s="1467"/>
      <c r="AU80" s="1467"/>
      <c r="AV80" s="1467"/>
      <c r="AW80" s="1467"/>
      <c r="AX80" s="1467"/>
      <c r="AY80" s="1467"/>
      <c r="AZ80" s="1467"/>
      <c r="BA80" s="1467"/>
      <c r="BB80" s="1467"/>
      <c r="BC80" s="1467"/>
      <c r="BD80" s="1807"/>
    </row>
    <row r="81" spans="1:56" s="1548" customFormat="1" ht="58.5" customHeight="1">
      <c r="A81" s="3749">
        <v>24</v>
      </c>
      <c r="B81" s="1568" t="str">
        <f t="shared" si="6"/>
        <v>2000002900</v>
      </c>
      <c r="C81" s="2263" t="s">
        <v>3469</v>
      </c>
      <c r="D81" s="2607">
        <v>4280</v>
      </c>
      <c r="E81" s="1921" t="s">
        <v>7733</v>
      </c>
      <c r="F81" s="2263" t="s">
        <v>61</v>
      </c>
      <c r="G81" s="2187" t="s">
        <v>7734</v>
      </c>
      <c r="H81" s="1916"/>
      <c r="I81" s="1921" t="s">
        <v>19</v>
      </c>
      <c r="J81" s="1921" t="s">
        <v>5976</v>
      </c>
      <c r="K81" s="1845" t="s">
        <v>7735</v>
      </c>
      <c r="L81" s="2583">
        <v>3580</v>
      </c>
      <c r="M81" s="1780" t="s">
        <v>5961</v>
      </c>
      <c r="N81" s="1862"/>
      <c r="O81" s="1852">
        <v>2</v>
      </c>
      <c r="P81" s="2150"/>
      <c r="Q81" s="2150"/>
      <c r="R81" s="2150"/>
      <c r="S81" s="2150"/>
      <c r="T81" s="2150"/>
      <c r="U81" s="2643"/>
      <c r="V81" s="1883"/>
      <c r="W81" s="1883"/>
      <c r="X81" s="1883"/>
      <c r="Y81" s="1883"/>
      <c r="Z81" s="1883"/>
      <c r="AA81" s="1883"/>
      <c r="AB81" s="1883"/>
      <c r="AC81" s="1883"/>
      <c r="AD81" s="1883"/>
      <c r="AE81" s="1883"/>
      <c r="AF81" s="1883"/>
      <c r="AG81" s="1883"/>
      <c r="AH81" s="1883"/>
      <c r="AI81" s="1883"/>
      <c r="AJ81" s="1883"/>
      <c r="AK81" s="1883"/>
      <c r="AL81" s="1883"/>
      <c r="AM81" s="1883"/>
      <c r="AN81" s="1883"/>
      <c r="AO81" s="1883"/>
      <c r="AP81" s="1883"/>
      <c r="AQ81" s="1883"/>
      <c r="AR81" s="1883"/>
      <c r="AS81" s="1883"/>
      <c r="AT81" s="1883"/>
      <c r="AU81" s="1883"/>
      <c r="AV81" s="1883"/>
      <c r="AW81" s="1883"/>
      <c r="AX81" s="1883"/>
      <c r="AY81" s="1883"/>
      <c r="AZ81" s="1883"/>
      <c r="BA81" s="1883"/>
      <c r="BB81" s="1883"/>
      <c r="BC81" s="1883"/>
    </row>
    <row r="82" spans="1:56" s="1548" customFormat="1" ht="58.5" customHeight="1">
      <c r="A82" s="3750"/>
      <c r="B82" s="1568" t="str">
        <f t="shared" si="6"/>
        <v>2000002898</v>
      </c>
      <c r="C82" s="1545" t="s">
        <v>3469</v>
      </c>
      <c r="D82" s="1808"/>
      <c r="E82" s="1495"/>
      <c r="F82" s="1545" t="s">
        <v>61</v>
      </c>
      <c r="G82" s="1495"/>
      <c r="H82" s="1495"/>
      <c r="I82" s="1495" t="s">
        <v>19</v>
      </c>
      <c r="J82" s="1495" t="s">
        <v>7736</v>
      </c>
      <c r="K82" s="1600" t="s">
        <v>5977</v>
      </c>
      <c r="L82" s="2357">
        <v>700</v>
      </c>
      <c r="M82" s="1780" t="s">
        <v>5961</v>
      </c>
      <c r="N82" s="1775"/>
      <c r="O82" s="2429">
        <v>2</v>
      </c>
      <c r="P82" s="2150"/>
      <c r="Q82" s="2150"/>
      <c r="R82" s="1902"/>
      <c r="S82" s="1902"/>
      <c r="T82" s="1902"/>
      <c r="U82" s="2643"/>
      <c r="V82" s="1559"/>
      <c r="W82" s="1559"/>
      <c r="X82" s="1559"/>
      <c r="Y82" s="1559"/>
      <c r="Z82" s="1559"/>
      <c r="AA82" s="1559"/>
      <c r="AB82" s="1559"/>
      <c r="AC82" s="1559"/>
      <c r="AD82" s="1559"/>
      <c r="AE82" s="1559"/>
      <c r="AF82" s="1559"/>
      <c r="AG82" s="1559"/>
      <c r="AH82" s="1559"/>
      <c r="AI82" s="1559"/>
      <c r="AJ82" s="1559"/>
      <c r="AK82" s="1559"/>
      <c r="AL82" s="1559"/>
      <c r="AM82" s="1559"/>
      <c r="AN82" s="1559"/>
      <c r="AO82" s="1559"/>
      <c r="AP82" s="1559"/>
      <c r="AQ82" s="1559"/>
      <c r="AR82" s="1559"/>
      <c r="AS82" s="1559"/>
      <c r="AT82" s="1559"/>
      <c r="AU82" s="1559"/>
      <c r="AV82" s="1559"/>
      <c r="AW82" s="1559"/>
      <c r="AX82" s="1559"/>
      <c r="AY82" s="1559"/>
      <c r="AZ82" s="1559"/>
      <c r="BA82" s="1559"/>
      <c r="BB82" s="1559"/>
      <c r="BC82" s="1559"/>
    </row>
    <row r="83" spans="1:56" s="1548" customFormat="1" ht="58.5" customHeight="1">
      <c r="A83" s="3749">
        <v>25</v>
      </c>
      <c r="B83" s="1568" t="str">
        <f t="shared" si="6"/>
        <v>2200001973</v>
      </c>
      <c r="C83" s="1902" t="s">
        <v>4786</v>
      </c>
      <c r="D83" s="2607">
        <v>5850</v>
      </c>
      <c r="E83" s="1921" t="s">
        <v>7737</v>
      </c>
      <c r="F83" s="1902" t="s">
        <v>16</v>
      </c>
      <c r="G83" s="1921" t="s">
        <v>7738</v>
      </c>
      <c r="H83" s="1921"/>
      <c r="I83" s="1921" t="s">
        <v>19</v>
      </c>
      <c r="J83" s="1921" t="s">
        <v>1138</v>
      </c>
      <c r="K83" s="2194" t="s">
        <v>7739</v>
      </c>
      <c r="L83" s="2645">
        <v>2985</v>
      </c>
      <c r="M83" s="2196" t="s">
        <v>7740</v>
      </c>
      <c r="N83" s="1775"/>
      <c r="O83" s="1790">
        <v>2</v>
      </c>
      <c r="P83" s="2150"/>
      <c r="Q83" s="1902">
        <v>2200001973</v>
      </c>
      <c r="R83" s="2628" t="e">
        <f>VLOOKUP(Q83,#REF!,2,0)</f>
        <v>#REF!</v>
      </c>
      <c r="S83" s="2628" t="e">
        <f>VLOOKUP(Q83,#REF!,3,0)</f>
        <v>#REF!</v>
      </c>
      <c r="T83" s="2629" t="e">
        <f>R83-S83</f>
        <v>#REF!</v>
      </c>
      <c r="U83" s="1474"/>
      <c r="V83" s="1467"/>
      <c r="W83" s="1467"/>
      <c r="X83" s="1474"/>
      <c r="Y83" s="1474"/>
      <c r="Z83" s="1474"/>
      <c r="AA83" s="1467"/>
      <c r="AB83" s="1467"/>
      <c r="AC83" s="1467"/>
      <c r="AD83" s="1467"/>
      <c r="AE83" s="1467"/>
      <c r="AF83" s="1467"/>
      <c r="AG83" s="1467"/>
      <c r="AH83" s="1467"/>
      <c r="AI83" s="1467"/>
      <c r="AJ83" s="1467"/>
      <c r="AK83" s="1467"/>
      <c r="AL83" s="1467"/>
      <c r="AM83" s="1467"/>
      <c r="AN83" s="1467"/>
      <c r="AO83" s="1467"/>
      <c r="AP83" s="1467"/>
      <c r="AQ83" s="1467"/>
      <c r="AR83" s="1467"/>
      <c r="AS83" s="1467"/>
      <c r="AT83" s="1467"/>
      <c r="AU83" s="1467"/>
      <c r="AV83" s="1467"/>
      <c r="AW83" s="1467"/>
      <c r="AX83" s="1467"/>
      <c r="AY83" s="1467"/>
      <c r="AZ83" s="1467"/>
      <c r="BA83" s="1467"/>
      <c r="BB83" s="1467"/>
      <c r="BC83" s="1467"/>
      <c r="BD83" s="1807"/>
    </row>
    <row r="84" spans="1:56" s="1548" customFormat="1" ht="66" customHeight="1">
      <c r="A84" s="3751"/>
      <c r="B84" s="1568" t="str">
        <f t="shared" si="6"/>
        <v>2000002926</v>
      </c>
      <c r="C84" s="1493" t="s">
        <v>4786</v>
      </c>
      <c r="D84" s="1494"/>
      <c r="E84" s="1495"/>
      <c r="F84" s="1493" t="s">
        <v>16</v>
      </c>
      <c r="G84" s="1495"/>
      <c r="H84" s="1495"/>
      <c r="I84" s="1495" t="s">
        <v>19</v>
      </c>
      <c r="J84" s="1495" t="s">
        <v>1138</v>
      </c>
      <c r="K84" s="1496" t="s">
        <v>7741</v>
      </c>
      <c r="L84" s="2646">
        <v>1100</v>
      </c>
      <c r="M84" s="2196" t="s">
        <v>5937</v>
      </c>
      <c r="N84" s="1775"/>
      <c r="O84" s="1790">
        <v>2</v>
      </c>
      <c r="P84" s="2150"/>
      <c r="Q84" s="1902">
        <v>2000002926</v>
      </c>
      <c r="R84" s="2628" t="e">
        <f>VLOOKUP(Q84,#REF!,2,0)</f>
        <v>#REF!</v>
      </c>
      <c r="S84" s="2628" t="e">
        <f>VLOOKUP(Q84,#REF!,3,0)</f>
        <v>#REF!</v>
      </c>
      <c r="T84" s="2629" t="e">
        <f>R84-S84</f>
        <v>#REF!</v>
      </c>
      <c r="U84" s="1474"/>
      <c r="V84" s="1467"/>
      <c r="W84" s="1467"/>
      <c r="X84" s="1474"/>
      <c r="Y84" s="1474"/>
      <c r="Z84" s="1474"/>
      <c r="AA84" s="1467"/>
      <c r="AB84" s="1467"/>
      <c r="AC84" s="1467"/>
      <c r="AD84" s="1467"/>
      <c r="AE84" s="1467"/>
      <c r="AF84" s="1467"/>
      <c r="AG84" s="1467"/>
      <c r="AH84" s="1467"/>
      <c r="AI84" s="1467"/>
      <c r="AJ84" s="1467"/>
      <c r="AK84" s="1467"/>
      <c r="AL84" s="1467"/>
      <c r="AM84" s="1467"/>
      <c r="AN84" s="1467"/>
      <c r="AO84" s="1467"/>
      <c r="AP84" s="1467"/>
      <c r="AQ84" s="1467"/>
      <c r="AR84" s="1467"/>
      <c r="AS84" s="1467"/>
      <c r="AT84" s="1467"/>
      <c r="AU84" s="1467"/>
      <c r="AV84" s="1467"/>
      <c r="AW84" s="1467"/>
      <c r="AX84" s="1467"/>
      <c r="AY84" s="1467"/>
      <c r="AZ84" s="1467"/>
      <c r="BA84" s="1467"/>
      <c r="BB84" s="1467"/>
      <c r="BC84" s="1467"/>
      <c r="BD84" s="1807"/>
    </row>
    <row r="85" spans="1:56" s="1548" customFormat="1" ht="58.5" customHeight="1">
      <c r="A85" s="3751"/>
      <c r="B85" s="1568" t="str">
        <f t="shared" si="6"/>
        <v>2000002825</v>
      </c>
      <c r="C85" s="1493" t="s">
        <v>4786</v>
      </c>
      <c r="D85" s="1494"/>
      <c r="E85" s="1495"/>
      <c r="F85" s="1493" t="s">
        <v>16</v>
      </c>
      <c r="G85" s="1495"/>
      <c r="H85" s="1495"/>
      <c r="I85" s="1495" t="s">
        <v>19</v>
      </c>
      <c r="J85" s="1495" t="s">
        <v>1138</v>
      </c>
      <c r="K85" s="1496" t="s">
        <v>7742</v>
      </c>
      <c r="L85" s="2646">
        <v>1500</v>
      </c>
      <c r="M85" s="2196" t="s">
        <v>5937</v>
      </c>
      <c r="N85" s="1775"/>
      <c r="O85" s="1790">
        <v>2</v>
      </c>
      <c r="P85" s="2150"/>
      <c r="Q85" s="1902">
        <v>2000002825</v>
      </c>
      <c r="R85" s="2628" t="e">
        <f>VLOOKUP(Q85,#REF!,2,0)</f>
        <v>#REF!</v>
      </c>
      <c r="S85" s="2628" t="e">
        <f>VLOOKUP(Q85,#REF!,3,0)</f>
        <v>#REF!</v>
      </c>
      <c r="T85" s="2629" t="e">
        <f>R85-S85</f>
        <v>#REF!</v>
      </c>
      <c r="U85" s="1474"/>
      <c r="V85" s="1467"/>
      <c r="W85" s="1467"/>
      <c r="X85" s="1474"/>
      <c r="Y85" s="1474"/>
      <c r="Z85" s="1474"/>
      <c r="AA85" s="1467"/>
      <c r="AB85" s="1467"/>
      <c r="AC85" s="1467"/>
      <c r="AD85" s="1467"/>
      <c r="AE85" s="1467"/>
      <c r="AF85" s="1467"/>
      <c r="AG85" s="1467"/>
      <c r="AH85" s="1467"/>
      <c r="AI85" s="1467"/>
      <c r="AJ85" s="1467"/>
      <c r="AK85" s="1467"/>
      <c r="AL85" s="1467"/>
      <c r="AM85" s="1467"/>
      <c r="AN85" s="1467"/>
      <c r="AO85" s="1467"/>
      <c r="AP85" s="1467"/>
      <c r="AQ85" s="1467"/>
      <c r="AR85" s="1467"/>
      <c r="AS85" s="1467"/>
      <c r="AT85" s="1467"/>
      <c r="AU85" s="1467"/>
      <c r="AV85" s="1467"/>
      <c r="AW85" s="1467"/>
      <c r="AX85" s="1467"/>
      <c r="AY85" s="1467"/>
      <c r="AZ85" s="1467"/>
      <c r="BA85" s="1467"/>
      <c r="BB85" s="1467"/>
      <c r="BC85" s="1467"/>
      <c r="BD85" s="1807"/>
    </row>
    <row r="86" spans="1:56" s="1548" customFormat="1" ht="58.5" customHeight="1">
      <c r="A86" s="3750"/>
      <c r="B86" s="1568" t="str">
        <f t="shared" si="6"/>
        <v>2200001962</v>
      </c>
      <c r="C86" s="1493" t="s">
        <v>4786</v>
      </c>
      <c r="D86" s="1494"/>
      <c r="E86" s="1495"/>
      <c r="F86" s="1493" t="s">
        <v>16</v>
      </c>
      <c r="G86" s="1495"/>
      <c r="H86" s="1495"/>
      <c r="I86" s="1921" t="s">
        <v>19</v>
      </c>
      <c r="J86" s="1495" t="s">
        <v>1138</v>
      </c>
      <c r="K86" s="1496" t="s">
        <v>7743</v>
      </c>
      <c r="L86" s="2646">
        <v>222</v>
      </c>
      <c r="M86" s="2196" t="s">
        <v>5961</v>
      </c>
      <c r="N86" s="1775"/>
      <c r="O86" s="1790">
        <v>2</v>
      </c>
      <c r="P86" s="2150"/>
      <c r="Q86" s="2150"/>
      <c r="R86" s="1902"/>
      <c r="S86" s="1902"/>
      <c r="T86" s="1902"/>
      <c r="U86" s="2643"/>
      <c r="V86" s="1945"/>
      <c r="W86" s="1945"/>
      <c r="X86" s="1945"/>
      <c r="Y86" s="1945"/>
      <c r="Z86" s="1945"/>
      <c r="AA86" s="1945"/>
      <c r="AB86" s="1945"/>
      <c r="AC86" s="1945"/>
      <c r="AD86" s="1945"/>
      <c r="AE86" s="1945"/>
      <c r="AF86" s="1945"/>
      <c r="AG86" s="1945"/>
      <c r="AH86" s="1945"/>
      <c r="AI86" s="1945"/>
      <c r="AJ86" s="1945"/>
      <c r="AK86" s="1945"/>
      <c r="AL86" s="1945"/>
      <c r="AM86" s="1945"/>
      <c r="AN86" s="1945"/>
      <c r="AO86" s="1945"/>
      <c r="AP86" s="1945"/>
      <c r="AQ86" s="1945"/>
      <c r="AR86" s="1945"/>
      <c r="AS86" s="1945"/>
      <c r="AT86" s="1945"/>
      <c r="AU86" s="1945"/>
      <c r="AV86" s="1945"/>
      <c r="AW86" s="1945"/>
      <c r="AX86" s="1945"/>
      <c r="AY86" s="1945"/>
      <c r="AZ86" s="1945"/>
      <c r="BA86" s="1945"/>
      <c r="BB86" s="1945"/>
      <c r="BC86" s="1945"/>
    </row>
    <row r="87" spans="1:56" s="1548" customFormat="1" ht="66" customHeight="1">
      <c r="A87" s="2436">
        <v>26</v>
      </c>
      <c r="B87" s="1568" t="str">
        <f t="shared" si="6"/>
        <v>2000002870</v>
      </c>
      <c r="C87" s="2263" t="s">
        <v>4898</v>
      </c>
      <c r="D87" s="2607">
        <v>3600</v>
      </c>
      <c r="E87" s="1921" t="s">
        <v>7744</v>
      </c>
      <c r="F87" s="2263" t="s">
        <v>84</v>
      </c>
      <c r="G87" s="1921" t="s">
        <v>7745</v>
      </c>
      <c r="H87" s="1921"/>
      <c r="I87" s="1921" t="s">
        <v>19</v>
      </c>
      <c r="J87" s="1921" t="s">
        <v>74</v>
      </c>
      <c r="K87" s="1845" t="s">
        <v>7746</v>
      </c>
      <c r="L87" s="2645">
        <v>3600</v>
      </c>
      <c r="M87" s="2196" t="s">
        <v>5937</v>
      </c>
      <c r="N87" s="1775" t="s">
        <v>7747</v>
      </c>
      <c r="O87" s="2429">
        <v>2</v>
      </c>
      <c r="P87" s="2150"/>
      <c r="Q87" s="1902">
        <v>2000002870</v>
      </c>
      <c r="R87" s="2628" t="e">
        <f>VLOOKUP(Q87,#REF!,2,0)</f>
        <v>#REF!</v>
      </c>
      <c r="S87" s="2628" t="e">
        <f>VLOOKUP(Q87,#REF!,3,0)</f>
        <v>#REF!</v>
      </c>
      <c r="T87" s="2629" t="e">
        <f>R87-S87</f>
        <v>#REF!</v>
      </c>
      <c r="U87" s="1474"/>
      <c r="V87" s="2643"/>
      <c r="W87" s="2643"/>
      <c r="X87" s="2659"/>
      <c r="Y87" s="2659"/>
      <c r="Z87" s="2659"/>
      <c r="AA87" s="1467"/>
      <c r="AB87" s="1467"/>
      <c r="AC87" s="1467"/>
      <c r="AD87" s="1467"/>
      <c r="AE87" s="1467"/>
      <c r="AF87" s="1467"/>
      <c r="AG87" s="1467"/>
      <c r="AH87" s="1467"/>
      <c r="AI87" s="1467"/>
      <c r="AJ87" s="1467"/>
      <c r="AK87" s="1467"/>
      <c r="AL87" s="1467"/>
      <c r="AM87" s="1467"/>
      <c r="AN87" s="1467"/>
      <c r="AO87" s="1467"/>
      <c r="AP87" s="1467"/>
      <c r="AQ87" s="1467"/>
      <c r="AR87" s="1467"/>
      <c r="AS87" s="1467"/>
      <c r="AT87" s="1467"/>
      <c r="AU87" s="1467"/>
      <c r="AV87" s="1467"/>
      <c r="AW87" s="1467"/>
      <c r="AX87" s="1467"/>
      <c r="AY87" s="1467"/>
      <c r="AZ87" s="1467"/>
      <c r="BA87" s="1467"/>
      <c r="BB87" s="1467"/>
      <c r="BC87" s="1467"/>
      <c r="BD87" s="1807"/>
    </row>
    <row r="88" spans="1:56" s="1548" customFormat="1" ht="58.5" customHeight="1">
      <c r="A88" s="3749">
        <v>27</v>
      </c>
      <c r="B88" s="2279" t="str">
        <f t="shared" si="6"/>
        <v>2000002781</v>
      </c>
      <c r="C88" s="2684" t="s">
        <v>7748</v>
      </c>
      <c r="D88" s="2607">
        <v>4200</v>
      </c>
      <c r="E88" s="1921" t="s">
        <v>7749</v>
      </c>
      <c r="F88" s="1902" t="s">
        <v>84</v>
      </c>
      <c r="G88" s="1921" t="s">
        <v>7750</v>
      </c>
      <c r="H88" s="1909" t="s">
        <v>7751</v>
      </c>
      <c r="I88" s="1921" t="s">
        <v>19</v>
      </c>
      <c r="J88" s="1921" t="s">
        <v>74</v>
      </c>
      <c r="K88" s="1845" t="s">
        <v>7752</v>
      </c>
      <c r="L88" s="2583">
        <v>1050</v>
      </c>
      <c r="M88" s="2196" t="s">
        <v>5937</v>
      </c>
      <c r="N88" s="1775"/>
      <c r="O88" s="2429">
        <v>2</v>
      </c>
      <c r="P88" s="2150"/>
      <c r="Q88" s="1902">
        <v>2000002781</v>
      </c>
      <c r="R88" s="2628" t="e">
        <f>VLOOKUP(Q88,#REF!,2,0)</f>
        <v>#REF!</v>
      </c>
      <c r="S88" s="2628" t="e">
        <f>VLOOKUP(Q88,#REF!,3,0)</f>
        <v>#REF!</v>
      </c>
      <c r="T88" s="2629" t="e">
        <f>R88-S88</f>
        <v>#REF!</v>
      </c>
      <c r="U88" s="1474"/>
      <c r="V88" s="1467"/>
      <c r="W88" s="1467"/>
      <c r="X88" s="1474"/>
      <c r="Y88" s="1474"/>
      <c r="Z88" s="1474"/>
      <c r="AA88" s="1467"/>
      <c r="AB88" s="1467"/>
      <c r="AC88" s="1467"/>
      <c r="AD88" s="1467"/>
      <c r="AE88" s="1467"/>
      <c r="AF88" s="1467"/>
      <c r="AG88" s="1467"/>
      <c r="AH88" s="1467"/>
      <c r="AI88" s="1467"/>
      <c r="AJ88" s="1467"/>
      <c r="AK88" s="1467"/>
      <c r="AL88" s="1467"/>
      <c r="AM88" s="1467"/>
      <c r="AN88" s="1467"/>
      <c r="AO88" s="1467"/>
      <c r="AP88" s="1467"/>
      <c r="AQ88" s="1467"/>
      <c r="AR88" s="1467"/>
      <c r="AS88" s="1467"/>
      <c r="AT88" s="1467"/>
      <c r="AU88" s="1467"/>
      <c r="AV88" s="1467"/>
      <c r="AW88" s="1467"/>
      <c r="AX88" s="1467"/>
      <c r="AY88" s="1467"/>
      <c r="AZ88" s="1467"/>
      <c r="BA88" s="1467"/>
      <c r="BB88" s="1467"/>
      <c r="BC88" s="1467"/>
      <c r="BD88" s="1807"/>
    </row>
    <row r="89" spans="1:56" s="1548" customFormat="1" ht="58.5" customHeight="1">
      <c r="A89" s="3751"/>
      <c r="B89" s="1568" t="str">
        <f t="shared" si="6"/>
        <v>2000002875</v>
      </c>
      <c r="C89" s="1545" t="s">
        <v>7672</v>
      </c>
      <c r="D89" s="1494"/>
      <c r="E89" s="1770"/>
      <c r="F89" s="1493" t="s">
        <v>84</v>
      </c>
      <c r="G89" s="1770"/>
      <c r="H89" s="1770"/>
      <c r="I89" s="1495" t="s">
        <v>19</v>
      </c>
      <c r="J89" s="1495" t="s">
        <v>74</v>
      </c>
      <c r="K89" s="1843" t="s">
        <v>7753</v>
      </c>
      <c r="L89" s="2357">
        <v>2000</v>
      </c>
      <c r="M89" s="1493" t="s">
        <v>5961</v>
      </c>
      <c r="N89" s="1859"/>
      <c r="O89" s="1790">
        <v>2</v>
      </c>
      <c r="V89" s="1945"/>
      <c r="W89" s="1945"/>
      <c r="X89" s="1945"/>
      <c r="Y89" s="1945"/>
      <c r="Z89" s="1945"/>
      <c r="AA89" s="1945"/>
      <c r="AB89" s="1945"/>
      <c r="AC89" s="1945"/>
      <c r="AD89" s="1945"/>
      <c r="AE89" s="1945"/>
      <c r="AF89" s="1945"/>
      <c r="AG89" s="1945"/>
      <c r="AH89" s="1945"/>
      <c r="AI89" s="1945"/>
      <c r="AJ89" s="1945"/>
      <c r="AK89" s="1945"/>
      <c r="AL89" s="1945"/>
      <c r="AM89" s="1945"/>
      <c r="AN89" s="1945"/>
      <c r="AO89" s="1945"/>
      <c r="AP89" s="1945"/>
      <c r="AQ89" s="1945"/>
      <c r="AR89" s="1945"/>
      <c r="AS89" s="1945"/>
      <c r="AT89" s="1945"/>
      <c r="AU89" s="1945"/>
      <c r="AV89" s="1945"/>
      <c r="AW89" s="1945"/>
      <c r="AX89" s="1945"/>
      <c r="AY89" s="1945"/>
      <c r="AZ89" s="1945"/>
      <c r="BA89" s="1945"/>
      <c r="BB89" s="1945"/>
      <c r="BC89" s="1945"/>
    </row>
    <row r="90" spans="1:56" s="1548" customFormat="1" ht="58.5" customHeight="1">
      <c r="A90" s="3750"/>
      <c r="B90" s="1568" t="str">
        <f t="shared" si="6"/>
        <v>2000002890</v>
      </c>
      <c r="C90" s="1545" t="s">
        <v>7672</v>
      </c>
      <c r="D90" s="1494"/>
      <c r="E90" s="1770"/>
      <c r="F90" s="1493" t="s">
        <v>84</v>
      </c>
      <c r="G90" s="1770"/>
      <c r="H90" s="1770"/>
      <c r="I90" s="1495" t="s">
        <v>19</v>
      </c>
      <c r="J90" s="1495" t="s">
        <v>74</v>
      </c>
      <c r="K90" s="1600" t="s">
        <v>7754</v>
      </c>
      <c r="L90" s="2357">
        <v>1200</v>
      </c>
      <c r="M90" s="2584" t="s">
        <v>6399</v>
      </c>
      <c r="N90" s="1859"/>
      <c r="O90" s="1790">
        <v>2</v>
      </c>
      <c r="Q90" s="1493">
        <v>2000002890</v>
      </c>
      <c r="R90" s="2628" t="e">
        <f>VLOOKUP(Q90,#REF!,2,0)</f>
        <v>#REF!</v>
      </c>
      <c r="S90" s="2628" t="e">
        <f>VLOOKUP(Q90,#REF!,3,0)</f>
        <v>#REF!</v>
      </c>
      <c r="T90" s="2629" t="e">
        <f>R90-S90</f>
        <v>#REF!</v>
      </c>
      <c r="U90" s="1474"/>
      <c r="V90" s="1467"/>
      <c r="W90" s="1467"/>
      <c r="X90" s="1474"/>
      <c r="Y90" s="1474"/>
      <c r="Z90" s="1474"/>
      <c r="AA90" s="1467"/>
      <c r="AB90" s="1467"/>
      <c r="AC90" s="1467"/>
      <c r="AD90" s="1467"/>
      <c r="AE90" s="1467"/>
      <c r="AF90" s="1467"/>
      <c r="AG90" s="1467"/>
      <c r="AH90" s="1467"/>
      <c r="AI90" s="1467"/>
      <c r="AJ90" s="1467"/>
      <c r="AK90" s="1467"/>
      <c r="AL90" s="1467"/>
      <c r="AM90" s="1467"/>
      <c r="AN90" s="1467"/>
      <c r="AO90" s="1467"/>
      <c r="AP90" s="1467"/>
      <c r="AQ90" s="1467"/>
      <c r="AR90" s="1467"/>
      <c r="AS90" s="1467"/>
      <c r="AT90" s="1467"/>
      <c r="AU90" s="1467"/>
      <c r="AV90" s="1467"/>
      <c r="AW90" s="1467"/>
      <c r="AX90" s="1467"/>
      <c r="AY90" s="1467"/>
      <c r="AZ90" s="1467"/>
      <c r="BA90" s="1467"/>
      <c r="BB90" s="1467"/>
      <c r="BC90" s="1467"/>
      <c r="BD90" s="1807"/>
    </row>
    <row r="91" spans="1:56" s="1548" customFormat="1" ht="68.25" customHeight="1">
      <c r="A91" s="2436">
        <v>28</v>
      </c>
      <c r="B91" s="1568" t="str">
        <f t="shared" si="6"/>
        <v>2000002900</v>
      </c>
      <c r="C91" s="2187" t="s">
        <v>7755</v>
      </c>
      <c r="D91" s="2607">
        <v>4300</v>
      </c>
      <c r="E91" s="1921" t="s">
        <v>7733</v>
      </c>
      <c r="F91" s="2263" t="s">
        <v>16</v>
      </c>
      <c r="G91" s="2187" t="s">
        <v>7756</v>
      </c>
      <c r="H91" s="1916"/>
      <c r="I91" s="1921" t="s">
        <v>19</v>
      </c>
      <c r="J91" s="1921" t="s">
        <v>5976</v>
      </c>
      <c r="K91" s="1845" t="s">
        <v>7757</v>
      </c>
      <c r="L91" s="2583">
        <v>4450</v>
      </c>
      <c r="M91" s="1493" t="s">
        <v>5961</v>
      </c>
      <c r="N91" s="1862"/>
      <c r="O91" s="1852">
        <v>2</v>
      </c>
      <c r="P91" s="2150"/>
      <c r="Q91" s="2150"/>
      <c r="R91" s="2150"/>
      <c r="S91" s="2150"/>
      <c r="T91" s="2150"/>
      <c r="U91" s="2643"/>
      <c r="V91" s="1945"/>
      <c r="W91" s="1945"/>
      <c r="X91" s="1945"/>
      <c r="Y91" s="1945"/>
      <c r="Z91" s="1945"/>
      <c r="AA91" s="1945"/>
      <c r="AB91" s="1945"/>
      <c r="AC91" s="1945"/>
      <c r="AD91" s="1945"/>
      <c r="AE91" s="1945"/>
      <c r="AF91" s="1945"/>
      <c r="AG91" s="1945"/>
      <c r="AH91" s="1945"/>
      <c r="AI91" s="1945"/>
      <c r="AJ91" s="1945"/>
      <c r="AK91" s="1945"/>
      <c r="AL91" s="1945"/>
      <c r="AM91" s="1945"/>
      <c r="AN91" s="1945"/>
      <c r="AO91" s="1945"/>
      <c r="AP91" s="1945"/>
      <c r="AQ91" s="1945"/>
      <c r="AR91" s="1945"/>
      <c r="AS91" s="1945"/>
      <c r="AT91" s="1945"/>
      <c r="AU91" s="1945"/>
      <c r="AV91" s="1945"/>
      <c r="AW91" s="1945"/>
      <c r="AX91" s="1945"/>
      <c r="AY91" s="1945"/>
      <c r="AZ91" s="1945"/>
      <c r="BA91" s="1945"/>
      <c r="BB91" s="1945"/>
      <c r="BC91" s="1945"/>
    </row>
    <row r="92" spans="1:56" s="1548" customFormat="1" ht="68.25" customHeight="1">
      <c r="A92" s="2436">
        <v>29</v>
      </c>
      <c r="B92" s="1568" t="str">
        <f t="shared" si="6"/>
        <v>2000002870</v>
      </c>
      <c r="C92" s="2263" t="s">
        <v>4278</v>
      </c>
      <c r="D92" s="2607">
        <v>4000</v>
      </c>
      <c r="E92" s="1921" t="s">
        <v>7758</v>
      </c>
      <c r="F92" s="2263" t="s">
        <v>16</v>
      </c>
      <c r="G92" s="1921" t="s">
        <v>7759</v>
      </c>
      <c r="H92" s="1921"/>
      <c r="I92" s="1921" t="s">
        <v>19</v>
      </c>
      <c r="J92" s="1921" t="s">
        <v>74</v>
      </c>
      <c r="K92" s="1845" t="s">
        <v>7760</v>
      </c>
      <c r="L92" s="2645">
        <v>4000</v>
      </c>
      <c r="M92" s="2196" t="s">
        <v>5937</v>
      </c>
      <c r="N92" s="1775" t="s">
        <v>7747</v>
      </c>
      <c r="O92" s="2429">
        <v>2</v>
      </c>
      <c r="P92" s="2150"/>
      <c r="Q92" s="1902">
        <v>2000002870</v>
      </c>
      <c r="R92" s="2628" t="e">
        <f>VLOOKUP(Q92,#REF!,2,0)</f>
        <v>#REF!</v>
      </c>
      <c r="S92" s="2628" t="e">
        <f>VLOOKUP(Q92,#REF!,3,0)</f>
        <v>#REF!</v>
      </c>
      <c r="T92" s="2629" t="e">
        <f>R92-S92</f>
        <v>#REF!</v>
      </c>
      <c r="U92" s="1474"/>
      <c r="V92" s="2643"/>
      <c r="W92" s="2643"/>
      <c r="X92" s="2659"/>
      <c r="Y92" s="2659"/>
      <c r="Z92" s="2659"/>
      <c r="AA92" s="1467"/>
      <c r="AB92" s="1467"/>
      <c r="AC92" s="1467"/>
      <c r="AD92" s="1467"/>
      <c r="AE92" s="1467"/>
      <c r="AF92" s="1467"/>
      <c r="AG92" s="1467"/>
      <c r="AH92" s="1467"/>
      <c r="AI92" s="1467"/>
      <c r="AJ92" s="1467"/>
      <c r="AK92" s="1467"/>
      <c r="AL92" s="1467"/>
      <c r="AM92" s="1467"/>
      <c r="AN92" s="1467"/>
      <c r="AO92" s="1467"/>
      <c r="AP92" s="1467"/>
      <c r="AQ92" s="1467"/>
      <c r="AR92" s="1467"/>
      <c r="AS92" s="1467"/>
      <c r="AT92" s="1467"/>
      <c r="AU92" s="1467"/>
      <c r="AV92" s="1467"/>
      <c r="AW92" s="1467"/>
      <c r="AX92" s="1467"/>
      <c r="AY92" s="1467"/>
      <c r="AZ92" s="1467"/>
      <c r="BA92" s="1467"/>
      <c r="BB92" s="1467"/>
      <c r="BC92" s="1467"/>
      <c r="BD92" s="1807"/>
    </row>
    <row r="93" spans="1:56" s="1548" customFormat="1" ht="53.25" customHeight="1">
      <c r="A93" s="3749">
        <v>30</v>
      </c>
      <c r="B93" s="1568" t="str">
        <f t="shared" ref="B93:B96" si="7">TEXT(LEFT(K93,10),"0000000000")</f>
        <v>2000002858</v>
      </c>
      <c r="C93" s="1902" t="s">
        <v>3629</v>
      </c>
      <c r="D93" s="2607">
        <v>24000</v>
      </c>
      <c r="E93" s="1921" t="s">
        <v>7761</v>
      </c>
      <c r="F93" s="1902" t="s">
        <v>3416</v>
      </c>
      <c r="G93" s="1921" t="s">
        <v>7762</v>
      </c>
      <c r="H93" s="1921"/>
      <c r="I93" s="1921" t="s">
        <v>19</v>
      </c>
      <c r="J93" s="1921" t="s">
        <v>123</v>
      </c>
      <c r="K93" s="1845" t="s">
        <v>7763</v>
      </c>
      <c r="L93" s="2645">
        <v>4000</v>
      </c>
      <c r="M93" s="2196" t="s">
        <v>5937</v>
      </c>
      <c r="N93" s="1775"/>
      <c r="O93" s="2429">
        <v>2</v>
      </c>
      <c r="P93" s="2150"/>
      <c r="Q93" s="1902">
        <v>2000002858</v>
      </c>
      <c r="R93" s="2628" t="e">
        <f>VLOOKUP(Q93,#REF!,2,0)</f>
        <v>#REF!</v>
      </c>
      <c r="S93" s="2628" t="e">
        <f>VLOOKUP(Q93,#REF!,3,0)</f>
        <v>#REF!</v>
      </c>
      <c r="T93" s="2629" t="e">
        <f>R93-S93</f>
        <v>#REF!</v>
      </c>
      <c r="U93" s="1474"/>
      <c r="V93" s="2643"/>
      <c r="W93" s="2643"/>
      <c r="X93" s="2659"/>
      <c r="Y93" s="2659"/>
      <c r="Z93" s="2659"/>
      <c r="AA93" s="1467"/>
      <c r="AB93" s="1467"/>
      <c r="AC93" s="1467"/>
      <c r="AD93" s="1467"/>
      <c r="AE93" s="1467"/>
      <c r="AF93" s="1467"/>
      <c r="AG93" s="1467"/>
      <c r="AH93" s="1467"/>
      <c r="AI93" s="1467"/>
      <c r="AJ93" s="1467"/>
      <c r="AK93" s="1467"/>
      <c r="AL93" s="1467"/>
      <c r="AM93" s="1467"/>
      <c r="AN93" s="1467"/>
      <c r="AO93" s="1467"/>
      <c r="AP93" s="1467"/>
      <c r="AQ93" s="1467"/>
      <c r="AR93" s="1467"/>
      <c r="AS93" s="1467"/>
      <c r="AT93" s="1467"/>
      <c r="AU93" s="1467"/>
      <c r="AV93" s="1467"/>
      <c r="AW93" s="1467"/>
      <c r="AX93" s="1467"/>
      <c r="AY93" s="1467"/>
      <c r="AZ93" s="1467"/>
      <c r="BA93" s="1467"/>
      <c r="BB93" s="1467"/>
      <c r="BC93" s="1467"/>
      <c r="BD93" s="1807"/>
    </row>
    <row r="94" spans="1:56" s="1548" customFormat="1" ht="53.25" customHeight="1">
      <c r="A94" s="3751"/>
      <c r="B94" s="1568" t="str">
        <f t="shared" si="7"/>
        <v>2000002915</v>
      </c>
      <c r="C94" s="1493" t="s">
        <v>3629</v>
      </c>
      <c r="D94" s="1808"/>
      <c r="E94" s="1495"/>
      <c r="F94" s="1493" t="s">
        <v>3416</v>
      </c>
      <c r="G94" s="1495"/>
      <c r="H94" s="1495"/>
      <c r="I94" s="1495" t="s">
        <v>19</v>
      </c>
      <c r="J94" s="1495" t="s">
        <v>123</v>
      </c>
      <c r="K94" s="1600" t="s">
        <v>7764</v>
      </c>
      <c r="L94" s="2646">
        <v>2000</v>
      </c>
      <c r="M94" s="2196" t="s">
        <v>5937</v>
      </c>
      <c r="N94" s="1859"/>
      <c r="O94" s="1790">
        <v>2</v>
      </c>
      <c r="Q94" s="1493">
        <v>2000002858</v>
      </c>
      <c r="R94" s="2628" t="e">
        <f>VLOOKUP(Q94,#REF!,2,0)</f>
        <v>#REF!</v>
      </c>
      <c r="S94" s="2628" t="e">
        <f>VLOOKUP(Q94,#REF!,3,0)</f>
        <v>#REF!</v>
      </c>
      <c r="T94" s="2629" t="e">
        <f>R94-S94</f>
        <v>#REF!</v>
      </c>
      <c r="U94" s="1474"/>
      <c r="V94" s="1467"/>
      <c r="W94" s="1467"/>
      <c r="X94" s="1474"/>
      <c r="Y94" s="1474"/>
      <c r="Z94" s="1474"/>
      <c r="AA94" s="1467"/>
      <c r="AB94" s="1467"/>
      <c r="AC94" s="1467"/>
      <c r="AD94" s="1467"/>
      <c r="AE94" s="1467"/>
      <c r="AF94" s="1467"/>
      <c r="AG94" s="1467"/>
      <c r="AH94" s="1467"/>
      <c r="AI94" s="1467"/>
      <c r="AJ94" s="1467"/>
      <c r="AK94" s="1467"/>
      <c r="AL94" s="1467"/>
      <c r="AM94" s="1467"/>
      <c r="AN94" s="1467"/>
      <c r="AO94" s="1467"/>
      <c r="AP94" s="1467"/>
      <c r="AQ94" s="1467"/>
      <c r="AR94" s="1467"/>
      <c r="AS94" s="1467"/>
      <c r="AT94" s="1467"/>
      <c r="AU94" s="1467"/>
      <c r="AV94" s="1467"/>
      <c r="AW94" s="1467"/>
      <c r="AX94" s="1467"/>
      <c r="AY94" s="1467"/>
      <c r="AZ94" s="1467"/>
      <c r="BA94" s="1467"/>
      <c r="BB94" s="1467"/>
      <c r="BC94" s="1467"/>
      <c r="BD94" s="1807"/>
    </row>
    <row r="95" spans="1:56" s="1548" customFormat="1" ht="53.25" customHeight="1">
      <c r="A95" s="3751"/>
      <c r="B95" s="1568" t="str">
        <f t="shared" si="7"/>
        <v>2000002855</v>
      </c>
      <c r="C95" s="1493" t="s">
        <v>3629</v>
      </c>
      <c r="D95" s="1808"/>
      <c r="E95" s="1495"/>
      <c r="F95" s="1493" t="s">
        <v>3416</v>
      </c>
      <c r="G95" s="1495"/>
      <c r="H95" s="1495"/>
      <c r="I95" s="1495" t="s">
        <v>19</v>
      </c>
      <c r="J95" s="1495" t="s">
        <v>123</v>
      </c>
      <c r="K95" s="1600" t="s">
        <v>7765</v>
      </c>
      <c r="L95" s="2357">
        <v>500</v>
      </c>
      <c r="M95" s="1493" t="s">
        <v>5961</v>
      </c>
      <c r="N95" s="1859"/>
      <c r="O95" s="1790">
        <v>3</v>
      </c>
      <c r="R95" s="1493"/>
      <c r="S95" s="1493"/>
      <c r="T95" s="1493"/>
      <c r="V95" s="1467"/>
      <c r="W95" s="1467"/>
      <c r="X95" s="1467"/>
      <c r="Y95" s="1467"/>
      <c r="Z95" s="1467"/>
      <c r="AA95" s="1883"/>
      <c r="AB95" s="1883"/>
      <c r="AC95" s="1883"/>
      <c r="AD95" s="1883"/>
      <c r="AE95" s="1883"/>
      <c r="AF95" s="1883"/>
      <c r="AG95" s="1883"/>
      <c r="AH95" s="1883"/>
      <c r="AI95" s="1883"/>
      <c r="AJ95" s="1883"/>
      <c r="AK95" s="1883"/>
      <c r="AL95" s="1883"/>
      <c r="AM95" s="1883"/>
      <c r="AN95" s="1883"/>
      <c r="AO95" s="1883"/>
      <c r="AP95" s="1883"/>
      <c r="AQ95" s="1883"/>
      <c r="AR95" s="1883"/>
      <c r="AS95" s="1883"/>
      <c r="AT95" s="1883"/>
      <c r="AU95" s="1883"/>
      <c r="AV95" s="1883"/>
      <c r="AW95" s="1883"/>
      <c r="AX95" s="1883"/>
      <c r="AY95" s="1883"/>
      <c r="AZ95" s="1883"/>
      <c r="BA95" s="1883"/>
      <c r="BB95" s="1883"/>
      <c r="BC95" s="1883"/>
    </row>
    <row r="96" spans="1:56" s="1548" customFormat="1" ht="53.25" customHeight="1">
      <c r="A96" s="3751"/>
      <c r="B96" s="1568" t="str">
        <f t="shared" si="7"/>
        <v>2000002908</v>
      </c>
      <c r="C96" s="1493" t="s">
        <v>3629</v>
      </c>
      <c r="D96" s="1808"/>
      <c r="E96" s="1495"/>
      <c r="F96" s="1493" t="s">
        <v>3416</v>
      </c>
      <c r="G96" s="1495"/>
      <c r="H96" s="1495"/>
      <c r="I96" s="1495" t="s">
        <v>19</v>
      </c>
      <c r="J96" s="1495" t="s">
        <v>63</v>
      </c>
      <c r="K96" s="1600" t="s">
        <v>7766</v>
      </c>
      <c r="L96" s="2357">
        <v>4700</v>
      </c>
      <c r="M96" s="1748" t="s">
        <v>5961</v>
      </c>
      <c r="N96" s="1859"/>
      <c r="O96" s="1790">
        <v>3</v>
      </c>
      <c r="R96" s="1493"/>
      <c r="S96" s="1493"/>
      <c r="T96" s="1493"/>
      <c r="V96" s="1467"/>
      <c r="W96" s="1467"/>
      <c r="X96" s="1467"/>
      <c r="Y96" s="1467"/>
      <c r="Z96" s="1467"/>
    </row>
    <row r="97" spans="1:56" s="1548" customFormat="1" ht="53.25" customHeight="1">
      <c r="A97" s="3751"/>
      <c r="B97" s="1568" t="str">
        <f t="shared" ref="B97:B107" si="8">TEXT(LEFT(K97,10),"0000000000")</f>
        <v>2000002927</v>
      </c>
      <c r="C97" s="1493" t="s">
        <v>3629</v>
      </c>
      <c r="D97" s="1808"/>
      <c r="E97" s="1495"/>
      <c r="F97" s="1493" t="s">
        <v>3416</v>
      </c>
      <c r="G97" s="1495"/>
      <c r="H97" s="1495"/>
      <c r="I97" s="1495" t="s">
        <v>19</v>
      </c>
      <c r="J97" s="1495" t="s">
        <v>63</v>
      </c>
      <c r="K97" s="1600" t="s">
        <v>7767</v>
      </c>
      <c r="L97" s="2357">
        <v>5000</v>
      </c>
      <c r="M97" s="1748" t="s">
        <v>5961</v>
      </c>
      <c r="N97" s="1859"/>
      <c r="O97" s="1790">
        <v>3</v>
      </c>
      <c r="R97" s="1493"/>
      <c r="S97" s="1493"/>
      <c r="T97" s="1493"/>
      <c r="V97" s="1467"/>
      <c r="W97" s="1467"/>
      <c r="X97" s="1467"/>
      <c r="Y97" s="1467"/>
      <c r="Z97" s="1467"/>
    </row>
    <row r="98" spans="1:56" s="1548" customFormat="1" ht="53.25" customHeight="1">
      <c r="A98" s="3751"/>
      <c r="B98" s="1568" t="str">
        <f t="shared" si="8"/>
        <v>2000002899</v>
      </c>
      <c r="C98" s="1493" t="s">
        <v>3629</v>
      </c>
      <c r="D98" s="1808"/>
      <c r="E98" s="1495"/>
      <c r="F98" s="1493" t="s">
        <v>3416</v>
      </c>
      <c r="G98" s="1495"/>
      <c r="H98" s="1495"/>
      <c r="I98" s="1495" t="s">
        <v>19</v>
      </c>
      <c r="J98" s="1495" t="s">
        <v>5325</v>
      </c>
      <c r="K98" s="1600" t="s">
        <v>7768</v>
      </c>
      <c r="L98" s="2357">
        <v>4000</v>
      </c>
      <c r="M98" s="2180" t="s">
        <v>7769</v>
      </c>
      <c r="N98" s="1859"/>
      <c r="O98" s="1790">
        <v>3</v>
      </c>
      <c r="R98" s="1493"/>
      <c r="S98" s="1493"/>
      <c r="T98" s="1493"/>
      <c r="U98" s="1467"/>
      <c r="V98" s="1467"/>
      <c r="W98" s="1467"/>
      <c r="X98" s="1467"/>
      <c r="Y98" s="1467"/>
      <c r="Z98" s="1467"/>
    </row>
    <row r="99" spans="1:56" s="1548" customFormat="1" ht="53.25" customHeight="1">
      <c r="A99" s="3751"/>
      <c r="B99" s="1568" t="str">
        <f t="shared" si="8"/>
        <v>2000002901</v>
      </c>
      <c r="C99" s="1493" t="s">
        <v>3629</v>
      </c>
      <c r="D99" s="1808"/>
      <c r="E99" s="1495"/>
      <c r="F99" s="1493" t="s">
        <v>3416</v>
      </c>
      <c r="G99" s="1495"/>
      <c r="H99" s="1495"/>
      <c r="I99" s="1495" t="s">
        <v>19</v>
      </c>
      <c r="J99" s="1495" t="s">
        <v>5325</v>
      </c>
      <c r="K99" s="1600" t="s">
        <v>7770</v>
      </c>
      <c r="L99" s="2357">
        <v>800</v>
      </c>
      <c r="M99" s="2180" t="s">
        <v>5961</v>
      </c>
      <c r="N99" s="1859"/>
      <c r="O99" s="1790">
        <v>3</v>
      </c>
      <c r="R99" s="1493"/>
      <c r="S99" s="1493"/>
      <c r="T99" s="1493"/>
      <c r="U99" s="1467"/>
      <c r="V99" s="1467"/>
      <c r="W99" s="1467"/>
      <c r="X99" s="1467"/>
      <c r="Y99" s="1467"/>
      <c r="Z99" s="1467"/>
    </row>
    <row r="100" spans="1:56" s="1548" customFormat="1" ht="53.25" customHeight="1">
      <c r="A100" s="3750"/>
      <c r="B100" s="1568" t="str">
        <f t="shared" si="8"/>
        <v>2000002897</v>
      </c>
      <c r="C100" s="1493" t="s">
        <v>3629</v>
      </c>
      <c r="D100" s="1808"/>
      <c r="E100" s="1495"/>
      <c r="F100" s="1493" t="s">
        <v>3416</v>
      </c>
      <c r="G100" s="1495"/>
      <c r="H100" s="1495"/>
      <c r="I100" s="1495" t="s">
        <v>19</v>
      </c>
      <c r="J100" s="1495" t="s">
        <v>5325</v>
      </c>
      <c r="K100" s="1600" t="s">
        <v>7771</v>
      </c>
      <c r="L100" s="2357">
        <v>3000</v>
      </c>
      <c r="M100" s="1780" t="s">
        <v>5961</v>
      </c>
      <c r="N100" s="1859"/>
      <c r="O100" s="1790">
        <v>3</v>
      </c>
      <c r="R100" s="1493"/>
      <c r="S100" s="1493"/>
      <c r="T100" s="1493"/>
      <c r="U100" s="1467"/>
      <c r="V100" s="1467"/>
      <c r="W100" s="1467"/>
      <c r="X100" s="1467"/>
      <c r="Y100" s="1467"/>
      <c r="Z100" s="1467"/>
    </row>
    <row r="101" spans="1:56" s="1548" customFormat="1" ht="69" customHeight="1">
      <c r="A101" s="3749">
        <v>31</v>
      </c>
      <c r="B101" s="1568" t="str">
        <f t="shared" si="8"/>
        <v>2000002900</v>
      </c>
      <c r="C101" s="1902" t="s">
        <v>71</v>
      </c>
      <c r="D101" s="2607">
        <v>3720</v>
      </c>
      <c r="E101" s="1921" t="s">
        <v>7772</v>
      </c>
      <c r="F101" s="1902" t="s">
        <v>84</v>
      </c>
      <c r="G101" s="1921" t="s">
        <v>7773</v>
      </c>
      <c r="H101" s="1921"/>
      <c r="I101" s="1921" t="s">
        <v>19</v>
      </c>
      <c r="J101" s="1921" t="s">
        <v>5976</v>
      </c>
      <c r="K101" s="1845" t="s">
        <v>5979</v>
      </c>
      <c r="L101" s="2583">
        <v>2163</v>
      </c>
      <c r="M101" s="1748" t="s">
        <v>5961</v>
      </c>
      <c r="N101" s="1862"/>
      <c r="O101" s="1852">
        <v>2</v>
      </c>
      <c r="P101" s="2150"/>
      <c r="Q101" s="2150"/>
      <c r="R101" s="1902"/>
      <c r="S101" s="1902"/>
      <c r="T101" s="1902"/>
      <c r="U101" s="2643"/>
      <c r="V101" s="1559"/>
      <c r="W101" s="1559"/>
      <c r="X101" s="1559"/>
      <c r="Y101" s="1559"/>
      <c r="Z101" s="1559"/>
      <c r="AA101" s="1559"/>
      <c r="AB101" s="1559"/>
      <c r="AC101" s="1559"/>
      <c r="AD101" s="1559"/>
      <c r="AE101" s="1559"/>
      <c r="AF101" s="1559"/>
      <c r="AG101" s="1559"/>
      <c r="AH101" s="1559"/>
      <c r="AI101" s="1559"/>
      <c r="AJ101" s="1559"/>
      <c r="AK101" s="1559"/>
      <c r="AL101" s="1559"/>
      <c r="AM101" s="1559"/>
      <c r="AN101" s="1559"/>
      <c r="AO101" s="1559"/>
      <c r="AP101" s="1559"/>
      <c r="AQ101" s="1559"/>
      <c r="AR101" s="1559"/>
      <c r="AS101" s="1559"/>
      <c r="AT101" s="1559"/>
      <c r="AU101" s="1559"/>
      <c r="AV101" s="1559"/>
      <c r="AW101" s="1559"/>
      <c r="AX101" s="1559"/>
      <c r="AY101" s="1559"/>
      <c r="AZ101" s="1559"/>
      <c r="BA101" s="1559"/>
      <c r="BB101" s="1559"/>
      <c r="BC101" s="1559"/>
    </row>
    <row r="102" spans="1:56" s="1548" customFormat="1" ht="58.5" customHeight="1">
      <c r="A102" s="3751"/>
      <c r="B102" s="1568" t="str">
        <f t="shared" si="8"/>
        <v>2000002902</v>
      </c>
      <c r="C102" s="1493" t="s">
        <v>71</v>
      </c>
      <c r="D102" s="1808"/>
      <c r="E102" s="1495"/>
      <c r="F102" s="1493" t="s">
        <v>84</v>
      </c>
      <c r="G102" s="1495"/>
      <c r="H102" s="1495"/>
      <c r="I102" s="1495" t="s">
        <v>19</v>
      </c>
      <c r="J102" s="1495" t="s">
        <v>199</v>
      </c>
      <c r="K102" s="1496" t="s">
        <v>7712</v>
      </c>
      <c r="L102" s="2646">
        <v>1000</v>
      </c>
      <c r="M102" s="2196" t="s">
        <v>5937</v>
      </c>
      <c r="N102" s="1859"/>
      <c r="O102" s="1790">
        <v>2</v>
      </c>
      <c r="Q102" s="1493">
        <v>2000002903</v>
      </c>
      <c r="R102" s="2628" t="e">
        <f>VLOOKUP(Q102,#REF!,2,0)</f>
        <v>#REF!</v>
      </c>
      <c r="S102" s="2628" t="e">
        <f>VLOOKUP(Q102,#REF!,3,0)</f>
        <v>#REF!</v>
      </c>
      <c r="T102" s="2629" t="e">
        <f>R102-S102</f>
        <v>#REF!</v>
      </c>
      <c r="U102" s="1474"/>
      <c r="V102" s="1467"/>
      <c r="W102" s="1467"/>
      <c r="X102" s="1474"/>
      <c r="Y102" s="1474"/>
      <c r="Z102" s="1474"/>
      <c r="AA102" s="1467"/>
      <c r="AB102" s="1467"/>
      <c r="AC102" s="1467"/>
      <c r="AD102" s="1467"/>
      <c r="AE102" s="1467"/>
      <c r="AF102" s="1467"/>
      <c r="AG102" s="1467"/>
      <c r="AH102" s="1467"/>
      <c r="AI102" s="1467"/>
      <c r="AJ102" s="1467"/>
      <c r="AK102" s="1467"/>
      <c r="AL102" s="1467"/>
      <c r="AM102" s="1467"/>
      <c r="AN102" s="1467"/>
      <c r="AO102" s="1467"/>
      <c r="AP102" s="1467"/>
      <c r="AQ102" s="1467"/>
      <c r="AR102" s="1467"/>
      <c r="AS102" s="1467"/>
      <c r="AT102" s="1467"/>
      <c r="AU102" s="1467"/>
      <c r="AV102" s="1467"/>
      <c r="AW102" s="1467"/>
      <c r="AX102" s="1467"/>
      <c r="AY102" s="1467"/>
      <c r="AZ102" s="1467"/>
      <c r="BA102" s="1467"/>
      <c r="BB102" s="1467"/>
      <c r="BC102" s="1467"/>
      <c r="BD102" s="1807"/>
    </row>
    <row r="103" spans="1:56" s="1548" customFormat="1" ht="58.5" customHeight="1">
      <c r="A103" s="3750"/>
      <c r="B103" s="1568" t="str">
        <f t="shared" si="8"/>
        <v>2000002903</v>
      </c>
      <c r="C103" s="1493" t="s">
        <v>71</v>
      </c>
      <c r="D103" s="1808"/>
      <c r="E103" s="1495"/>
      <c r="F103" s="1493" t="s">
        <v>84</v>
      </c>
      <c r="G103" s="1495"/>
      <c r="H103" s="1495"/>
      <c r="I103" s="1495" t="s">
        <v>19</v>
      </c>
      <c r="J103" s="1495" t="s">
        <v>199</v>
      </c>
      <c r="K103" s="1496" t="s">
        <v>7774</v>
      </c>
      <c r="L103" s="2646">
        <v>600</v>
      </c>
      <c r="M103" s="2196" t="s">
        <v>5937</v>
      </c>
      <c r="N103" s="1859"/>
      <c r="O103" s="1790">
        <v>2</v>
      </c>
      <c r="Q103" s="1493">
        <v>2000002903</v>
      </c>
      <c r="R103" s="2628" t="e">
        <f>VLOOKUP(Q103,#REF!,2,0)</f>
        <v>#REF!</v>
      </c>
      <c r="S103" s="2628" t="e">
        <f>VLOOKUP(Q103,#REF!,3,0)</f>
        <v>#REF!</v>
      </c>
      <c r="T103" s="2629" t="e">
        <f>R103-S103</f>
        <v>#REF!</v>
      </c>
      <c r="U103" s="1474"/>
      <c r="V103" s="1467"/>
      <c r="W103" s="1467"/>
      <c r="X103" s="1474"/>
      <c r="Y103" s="1474"/>
      <c r="Z103" s="1474"/>
      <c r="AA103" s="1467"/>
      <c r="AB103" s="1467"/>
      <c r="AC103" s="1467"/>
      <c r="AD103" s="1467"/>
      <c r="AE103" s="1467"/>
      <c r="AF103" s="1467"/>
      <c r="AG103" s="1467"/>
      <c r="AH103" s="1467"/>
      <c r="AI103" s="1467"/>
      <c r="AJ103" s="1467"/>
      <c r="AK103" s="1467"/>
      <c r="AL103" s="1467"/>
      <c r="AM103" s="1467"/>
      <c r="AN103" s="1467"/>
      <c r="AO103" s="1467"/>
      <c r="AP103" s="1467"/>
      <c r="AQ103" s="1467"/>
      <c r="AR103" s="1467"/>
      <c r="AS103" s="1467"/>
      <c r="AT103" s="1467"/>
      <c r="AU103" s="1467"/>
      <c r="AV103" s="1467"/>
      <c r="AW103" s="1467"/>
      <c r="AX103" s="1467"/>
      <c r="AY103" s="1467"/>
      <c r="AZ103" s="1467"/>
      <c r="BA103" s="1467"/>
      <c r="BB103" s="1467"/>
      <c r="BC103" s="1467"/>
      <c r="BD103" s="1807"/>
    </row>
    <row r="104" spans="1:56" s="1548" customFormat="1" ht="58.5" customHeight="1">
      <c r="A104" s="3744">
        <v>32</v>
      </c>
      <c r="B104" s="2279" t="str">
        <f t="shared" si="8"/>
        <v>2400001193</v>
      </c>
      <c r="C104" s="1902" t="s">
        <v>7775</v>
      </c>
      <c r="D104" s="2607">
        <v>4100</v>
      </c>
      <c r="E104" s="1921" t="s">
        <v>7776</v>
      </c>
      <c r="F104" s="1902" t="s">
        <v>7777</v>
      </c>
      <c r="G104" s="1921" t="s">
        <v>7778</v>
      </c>
      <c r="H104" s="1921"/>
      <c r="I104" s="1921" t="s">
        <v>19</v>
      </c>
      <c r="J104" s="1921" t="s">
        <v>7779</v>
      </c>
      <c r="K104" s="1911" t="s">
        <v>7780</v>
      </c>
      <c r="L104" s="2583">
        <v>800</v>
      </c>
      <c r="M104" s="1748" t="s">
        <v>5961</v>
      </c>
      <c r="N104" s="1775" t="s">
        <v>7781</v>
      </c>
      <c r="O104" s="1790">
        <v>3</v>
      </c>
      <c r="Q104" s="1493"/>
      <c r="R104" s="1493"/>
      <c r="S104" s="1493"/>
      <c r="T104" s="1790"/>
      <c r="U104" s="1467"/>
      <c r="V104" s="1467"/>
      <c r="W104" s="1467"/>
      <c r="X104" s="1467"/>
      <c r="Y104" s="1467"/>
      <c r="Z104" s="1467"/>
      <c r="AA104" s="1883"/>
      <c r="AB104" s="1883"/>
      <c r="AC104" s="1883"/>
      <c r="AD104" s="1883"/>
      <c r="AE104" s="1883"/>
      <c r="AF104" s="1883"/>
      <c r="AG104" s="1883"/>
      <c r="AH104" s="1883"/>
      <c r="AI104" s="1883"/>
      <c r="AJ104" s="1883"/>
      <c r="AK104" s="1883"/>
      <c r="AL104" s="1883"/>
      <c r="AM104" s="1883"/>
      <c r="AN104" s="1883"/>
      <c r="AO104" s="1883"/>
      <c r="AP104" s="1883"/>
      <c r="AQ104" s="1883"/>
      <c r="AR104" s="1883"/>
      <c r="AS104" s="1883"/>
      <c r="AT104" s="1883"/>
      <c r="AU104" s="1883"/>
      <c r="AV104" s="1883"/>
      <c r="AW104" s="1883"/>
      <c r="AX104" s="1883"/>
      <c r="AY104" s="1883"/>
      <c r="AZ104" s="1883"/>
      <c r="BA104" s="1883"/>
      <c r="BB104" s="1883"/>
      <c r="BC104" s="1883"/>
    </row>
    <row r="105" spans="1:56" s="1548" customFormat="1" ht="58.5" customHeight="1">
      <c r="A105" s="3744"/>
      <c r="B105" s="1568" t="str">
        <f t="shared" si="8"/>
        <v>2400001194</v>
      </c>
      <c r="C105" s="1493" t="s">
        <v>7775</v>
      </c>
      <c r="D105" s="1494"/>
      <c r="E105" s="1495"/>
      <c r="F105" s="1493"/>
      <c r="G105" s="1495"/>
      <c r="H105" s="1495"/>
      <c r="I105" s="1495" t="s">
        <v>19</v>
      </c>
      <c r="J105" s="1495" t="s">
        <v>7779</v>
      </c>
      <c r="K105" s="1547" t="s">
        <v>7782</v>
      </c>
      <c r="L105" s="2357">
        <f>4600-2800</f>
        <v>1800</v>
      </c>
      <c r="M105" s="1748" t="s">
        <v>5961</v>
      </c>
      <c r="N105" s="1859"/>
      <c r="O105" s="1790">
        <v>3</v>
      </c>
      <c r="Q105" s="1493"/>
      <c r="R105" s="1493"/>
      <c r="S105" s="1493"/>
      <c r="T105" s="2429"/>
      <c r="U105" s="1467"/>
      <c r="V105" s="1467"/>
      <c r="W105" s="1467"/>
      <c r="X105" s="1467"/>
      <c r="Y105" s="1467"/>
      <c r="Z105" s="1467"/>
    </row>
    <row r="106" spans="1:56" s="1548" customFormat="1" ht="58.5" customHeight="1">
      <c r="A106" s="3744"/>
      <c r="B106" s="1568" t="str">
        <f t="shared" si="8"/>
        <v>2400001195</v>
      </c>
      <c r="C106" s="1493" t="s">
        <v>7775</v>
      </c>
      <c r="D106" s="1494"/>
      <c r="E106" s="1495"/>
      <c r="F106" s="1493"/>
      <c r="G106" s="1495"/>
      <c r="H106" s="1495"/>
      <c r="I106" s="1495" t="s">
        <v>19</v>
      </c>
      <c r="J106" s="1495" t="s">
        <v>7779</v>
      </c>
      <c r="K106" s="1547" t="s">
        <v>7783</v>
      </c>
      <c r="L106" s="2357">
        <v>900</v>
      </c>
      <c r="M106" s="1748" t="s">
        <v>5961</v>
      </c>
      <c r="N106" s="1859"/>
      <c r="O106" s="1790">
        <v>3</v>
      </c>
      <c r="Q106" s="1493"/>
      <c r="R106" s="1493"/>
      <c r="S106" s="1493"/>
      <c r="T106" s="2429"/>
      <c r="U106" s="1467"/>
      <c r="V106" s="1467"/>
      <c r="W106" s="1467"/>
      <c r="X106" s="1467"/>
      <c r="Y106" s="1467"/>
      <c r="Z106" s="1467"/>
    </row>
    <row r="107" spans="1:56" s="1548" customFormat="1" ht="58.5" customHeight="1">
      <c r="A107" s="3744"/>
      <c r="B107" s="1568" t="str">
        <f t="shared" si="8"/>
        <v>2400001196</v>
      </c>
      <c r="C107" s="1493" t="s">
        <v>7775</v>
      </c>
      <c r="D107" s="1494"/>
      <c r="E107" s="1495"/>
      <c r="F107" s="1493"/>
      <c r="G107" s="1495"/>
      <c r="H107" s="1495"/>
      <c r="I107" s="1495" t="s">
        <v>19</v>
      </c>
      <c r="J107" s="1495" t="s">
        <v>7779</v>
      </c>
      <c r="K107" s="1547" t="s">
        <v>7784</v>
      </c>
      <c r="L107" s="2357">
        <v>600</v>
      </c>
      <c r="M107" s="1748" t="s">
        <v>5961</v>
      </c>
      <c r="N107" s="1859"/>
      <c r="O107" s="1790">
        <v>3</v>
      </c>
      <c r="Q107" s="1493"/>
      <c r="R107" s="1493"/>
      <c r="S107" s="1493"/>
      <c r="T107" s="2429"/>
      <c r="U107" s="1467"/>
      <c r="V107" s="1467"/>
      <c r="W107" s="1467"/>
      <c r="X107" s="1467"/>
      <c r="Y107" s="1467"/>
      <c r="Z107" s="1467"/>
    </row>
    <row r="108" spans="1:56" s="1548" customFormat="1" ht="58.5" customHeight="1">
      <c r="A108" s="2582">
        <v>33</v>
      </c>
      <c r="B108" s="1568" t="str">
        <f t="shared" ref="B108" si="9">TEXT(LEFT(K108,10),"0000000000")</f>
        <v>2000002895</v>
      </c>
      <c r="C108" s="1902" t="s">
        <v>5319</v>
      </c>
      <c r="D108" s="2607">
        <v>11940</v>
      </c>
      <c r="E108" s="1921" t="s">
        <v>7785</v>
      </c>
      <c r="F108" s="1902" t="s">
        <v>3401</v>
      </c>
      <c r="G108" s="1921" t="s">
        <v>7786</v>
      </c>
      <c r="H108" s="1921"/>
      <c r="I108" s="1921" t="s">
        <v>19</v>
      </c>
      <c r="J108" s="1921" t="s">
        <v>1138</v>
      </c>
      <c r="K108" s="1845" t="s">
        <v>7787</v>
      </c>
      <c r="L108" s="2583">
        <v>11940</v>
      </c>
      <c r="M108" s="1780" t="s">
        <v>7788</v>
      </c>
      <c r="N108" s="1775"/>
      <c r="O108" s="2429">
        <v>2</v>
      </c>
      <c r="P108" s="2150"/>
      <c r="Q108" s="2150"/>
      <c r="R108" s="1902"/>
      <c r="S108" s="1902"/>
      <c r="T108" s="1902"/>
      <c r="U108" s="2643"/>
      <c r="V108" s="2643"/>
      <c r="W108" s="2643"/>
      <c r="X108" s="2643"/>
      <c r="Y108" s="2643"/>
      <c r="Z108" s="2643"/>
      <c r="AA108" s="1559"/>
      <c r="AB108" s="1559"/>
      <c r="AC108" s="1559"/>
      <c r="AD108" s="1559"/>
      <c r="AE108" s="1559"/>
      <c r="AF108" s="1559"/>
      <c r="AG108" s="1559"/>
      <c r="AH108" s="1559"/>
      <c r="AI108" s="1559"/>
      <c r="AJ108" s="1559"/>
      <c r="AK108" s="1559"/>
      <c r="AL108" s="1559"/>
      <c r="AM108" s="1559"/>
      <c r="AN108" s="1559"/>
      <c r="AO108" s="1559"/>
      <c r="AP108" s="1559"/>
      <c r="AQ108" s="1559"/>
      <c r="AR108" s="1559"/>
      <c r="AS108" s="1559"/>
      <c r="AT108" s="1559"/>
      <c r="AU108" s="1559"/>
      <c r="AV108" s="1559"/>
      <c r="AW108" s="1559"/>
      <c r="AX108" s="1559"/>
      <c r="AY108" s="1559"/>
      <c r="AZ108" s="1559"/>
      <c r="BA108" s="1559"/>
      <c r="BB108" s="1559"/>
      <c r="BC108" s="1559"/>
    </row>
    <row r="109" spans="1:56" s="2660" customFormat="1" ht="58.5" customHeight="1">
      <c r="A109" s="2661">
        <v>34</v>
      </c>
      <c r="B109" s="2662" t="str">
        <f t="shared" ref="B109:B131" si="10">TEXT(LEFT(K109,10),"0000000000")</f>
        <v>2000002903</v>
      </c>
      <c r="C109" s="2663" t="s">
        <v>3699</v>
      </c>
      <c r="D109" s="2664">
        <v>4370</v>
      </c>
      <c r="E109" s="2180" t="s">
        <v>7789</v>
      </c>
      <c r="F109" s="2663" t="s">
        <v>61</v>
      </c>
      <c r="G109" s="2180" t="s">
        <v>7790</v>
      </c>
      <c r="H109" s="2180"/>
      <c r="I109" s="2180" t="s">
        <v>19</v>
      </c>
      <c r="J109" s="2180" t="s">
        <v>199</v>
      </c>
      <c r="K109" s="2194" t="s">
        <v>7791</v>
      </c>
      <c r="L109" s="2665">
        <v>4370</v>
      </c>
      <c r="M109" s="2180" t="s">
        <v>5937</v>
      </c>
      <c r="N109" s="2666"/>
      <c r="O109" s="2667">
        <v>3</v>
      </c>
      <c r="Q109" s="2667">
        <v>2000002903</v>
      </c>
      <c r="R109" s="2668" t="e">
        <f>VLOOKUP(Q109,#REF!,2,0)</f>
        <v>#REF!</v>
      </c>
      <c r="S109" s="2668" t="e">
        <f>VLOOKUP(Q109,#REF!,3,0)</f>
        <v>#REF!</v>
      </c>
      <c r="T109" s="2669" t="e">
        <f>R109-S109</f>
        <v>#REF!</v>
      </c>
      <c r="U109" s="1474"/>
      <c r="V109" s="2676"/>
      <c r="W109" s="2676"/>
      <c r="X109" s="2677"/>
      <c r="Y109" s="2677"/>
      <c r="Z109" s="2677"/>
      <c r="AA109" s="2676"/>
      <c r="AB109" s="2676"/>
      <c r="AC109" s="2676"/>
      <c r="AD109" s="2676"/>
      <c r="AE109" s="2676"/>
      <c r="AF109" s="2676"/>
      <c r="AG109" s="2676"/>
      <c r="AH109" s="2676"/>
      <c r="AI109" s="2676"/>
      <c r="AJ109" s="2676"/>
      <c r="AK109" s="2676"/>
      <c r="AL109" s="2676"/>
      <c r="AM109" s="2676"/>
      <c r="AN109" s="2676"/>
      <c r="AO109" s="2676"/>
      <c r="AP109" s="2676"/>
      <c r="AQ109" s="2676"/>
      <c r="AR109" s="2676"/>
      <c r="AS109" s="2676"/>
      <c r="AT109" s="2676"/>
      <c r="AU109" s="2676"/>
      <c r="AV109" s="2676"/>
      <c r="AW109" s="2676"/>
      <c r="AX109" s="2676"/>
      <c r="AY109" s="2676"/>
      <c r="AZ109" s="2676"/>
      <c r="BA109" s="2676"/>
      <c r="BB109" s="2676"/>
      <c r="BC109" s="2676"/>
      <c r="BD109" s="2680"/>
    </row>
    <row r="110" spans="1:56" s="2660" customFormat="1" ht="58.5" customHeight="1">
      <c r="A110" s="3749">
        <v>35</v>
      </c>
      <c r="B110" s="1568" t="str">
        <f t="shared" si="10"/>
        <v>2000002916</v>
      </c>
      <c r="C110" s="1902" t="s">
        <v>3460</v>
      </c>
      <c r="D110" s="2607">
        <v>4000</v>
      </c>
      <c r="E110" s="1921" t="s">
        <v>7792</v>
      </c>
      <c r="F110" s="1902" t="s">
        <v>61</v>
      </c>
      <c r="G110" s="1921" t="s">
        <v>7793</v>
      </c>
      <c r="H110" s="1495"/>
      <c r="I110" s="1495" t="s">
        <v>19</v>
      </c>
      <c r="J110" s="1495" t="s">
        <v>74</v>
      </c>
      <c r="K110" s="1496" t="s">
        <v>7794</v>
      </c>
      <c r="L110" s="2646">
        <v>2600</v>
      </c>
      <c r="M110" s="2196" t="s">
        <v>5937</v>
      </c>
      <c r="N110" s="1859"/>
      <c r="O110" s="1790">
        <v>3</v>
      </c>
      <c r="P110" s="1548"/>
      <c r="Q110" s="1493">
        <v>2000002862</v>
      </c>
      <c r="R110" s="2628" t="e">
        <f>VLOOKUP(Q110,#REF!,2,0)</f>
        <v>#REF!</v>
      </c>
      <c r="S110" s="2628" t="e">
        <f>VLOOKUP(Q110,#REF!,3,0)</f>
        <v>#REF!</v>
      </c>
      <c r="T110" s="2629" t="e">
        <f>R110-S110</f>
        <v>#REF!</v>
      </c>
      <c r="U110" s="1474"/>
      <c r="V110" s="1467"/>
      <c r="W110" s="1467"/>
      <c r="X110" s="1474"/>
      <c r="Y110" s="1474"/>
      <c r="Z110" s="1474"/>
      <c r="AA110" s="2676"/>
      <c r="AB110" s="2676"/>
      <c r="AC110" s="2676"/>
      <c r="AD110" s="2676"/>
      <c r="AE110" s="2676"/>
      <c r="AF110" s="2676"/>
      <c r="AG110" s="2676"/>
      <c r="AH110" s="2676"/>
      <c r="AI110" s="2676"/>
      <c r="AJ110" s="2676"/>
      <c r="AK110" s="2676"/>
      <c r="AL110" s="2676"/>
      <c r="AM110" s="2676"/>
      <c r="AN110" s="2676"/>
      <c r="AO110" s="2676"/>
      <c r="AP110" s="2676"/>
      <c r="AQ110" s="2676"/>
      <c r="AR110" s="2676"/>
      <c r="AS110" s="2676"/>
      <c r="AT110" s="2676"/>
      <c r="AU110" s="2676"/>
      <c r="AV110" s="2676"/>
      <c r="AW110" s="2676"/>
      <c r="AX110" s="2676"/>
      <c r="AY110" s="2676"/>
      <c r="AZ110" s="2676"/>
      <c r="BA110" s="2676"/>
      <c r="BB110" s="2676"/>
      <c r="BC110" s="2676"/>
      <c r="BD110" s="2680"/>
    </row>
    <row r="111" spans="1:56" s="2660" customFormat="1" ht="58.5" customHeight="1">
      <c r="A111" s="3750"/>
      <c r="B111" s="1568" t="str">
        <f t="shared" si="10"/>
        <v>2000002866</v>
      </c>
      <c r="C111" s="1493" t="s">
        <v>3460</v>
      </c>
      <c r="D111" s="1808"/>
      <c r="E111" s="1495"/>
      <c r="F111" s="1493" t="s">
        <v>61</v>
      </c>
      <c r="G111" s="1495"/>
      <c r="H111" s="1495"/>
      <c r="I111" s="1495" t="s">
        <v>19</v>
      </c>
      <c r="J111" s="1495" t="s">
        <v>74</v>
      </c>
      <c r="K111" s="1496" t="s">
        <v>7795</v>
      </c>
      <c r="L111" s="2357">
        <v>1400</v>
      </c>
      <c r="M111" s="1780" t="s">
        <v>5961</v>
      </c>
      <c r="N111" s="1775"/>
      <c r="O111" s="2429">
        <v>3</v>
      </c>
      <c r="P111" s="2150"/>
      <c r="Q111" s="2150"/>
      <c r="R111" s="1902"/>
      <c r="S111" s="1902"/>
      <c r="T111" s="1902"/>
      <c r="U111" s="2150"/>
      <c r="V111" s="2129"/>
      <c r="W111" s="2129"/>
      <c r="X111" s="2129"/>
      <c r="Y111" s="2129"/>
      <c r="Z111" s="2129"/>
      <c r="AA111" s="2681"/>
      <c r="AB111" s="2681"/>
      <c r="AC111" s="2681"/>
      <c r="AD111" s="2681"/>
      <c r="AE111" s="2681"/>
      <c r="AF111" s="2681"/>
      <c r="AG111" s="2681"/>
      <c r="AH111" s="2681"/>
      <c r="AI111" s="2681"/>
      <c r="AJ111" s="2681"/>
      <c r="AK111" s="2681"/>
      <c r="AL111" s="2681"/>
      <c r="AM111" s="2681"/>
      <c r="AN111" s="2681"/>
      <c r="AO111" s="2681"/>
      <c r="AP111" s="2681"/>
      <c r="AQ111" s="2681"/>
      <c r="AR111" s="2681"/>
      <c r="AS111" s="2681"/>
      <c r="AT111" s="2681"/>
      <c r="AU111" s="2681"/>
      <c r="AV111" s="2681"/>
      <c r="AW111" s="2681"/>
      <c r="AX111" s="2681"/>
      <c r="AY111" s="2681"/>
      <c r="AZ111" s="2681"/>
      <c r="BA111" s="2681"/>
      <c r="BB111" s="2681"/>
      <c r="BC111" s="2681"/>
    </row>
    <row r="112" spans="1:56" s="2150" customFormat="1" ht="68.25" customHeight="1">
      <c r="A112" s="3749">
        <v>36</v>
      </c>
      <c r="B112" s="1568" t="str">
        <f>TEXT(LEFT(K112,10),"0000000000")</f>
        <v>2000002870</v>
      </c>
      <c r="C112" s="1902" t="s">
        <v>2906</v>
      </c>
      <c r="D112" s="2607">
        <v>3400</v>
      </c>
      <c r="E112" s="1921" t="s">
        <v>7796</v>
      </c>
      <c r="F112" s="2263" t="s">
        <v>84</v>
      </c>
      <c r="G112" s="1921" t="s">
        <v>7797</v>
      </c>
      <c r="H112" s="1921"/>
      <c r="I112" s="1921" t="s">
        <v>19</v>
      </c>
      <c r="J112" s="1921" t="s">
        <v>74</v>
      </c>
      <c r="K112" s="1845" t="s">
        <v>7760</v>
      </c>
      <c r="L112" s="2583">
        <v>2400</v>
      </c>
      <c r="M112" s="2196" t="s">
        <v>5937</v>
      </c>
      <c r="N112" s="1775" t="s">
        <v>7747</v>
      </c>
      <c r="O112" s="2429">
        <v>3</v>
      </c>
      <c r="Q112" s="1902">
        <v>2000002870</v>
      </c>
      <c r="R112" s="2628" t="e">
        <f>VLOOKUP(Q112,#REF!,2,0)</f>
        <v>#REF!</v>
      </c>
      <c r="S112" s="2628" t="e">
        <f>VLOOKUP(Q112,#REF!,3,0)</f>
        <v>#REF!</v>
      </c>
      <c r="T112" s="2629" t="e">
        <f>R112-S112</f>
        <v>#REF!</v>
      </c>
      <c r="U112" s="1474"/>
      <c r="V112" s="2643"/>
      <c r="W112" s="2643"/>
      <c r="X112" s="2659"/>
      <c r="Y112" s="2659"/>
      <c r="Z112" s="2659"/>
      <c r="AA112" s="2643"/>
      <c r="AB112" s="2643"/>
      <c r="AC112" s="2643"/>
      <c r="AD112" s="2643"/>
      <c r="AE112" s="2643"/>
      <c r="AF112" s="2643"/>
      <c r="AG112" s="2643"/>
      <c r="AH112" s="2643"/>
      <c r="AI112" s="2643"/>
      <c r="AJ112" s="2643"/>
      <c r="AK112" s="2643"/>
      <c r="AL112" s="2643"/>
      <c r="AM112" s="2643"/>
      <c r="AN112" s="2643"/>
      <c r="AO112" s="2643"/>
      <c r="AP112" s="2643"/>
      <c r="AQ112" s="2643"/>
      <c r="AR112" s="2643"/>
      <c r="AS112" s="2643"/>
      <c r="AT112" s="2643"/>
      <c r="AU112" s="2643"/>
      <c r="AV112" s="2643"/>
      <c r="AW112" s="2643"/>
      <c r="AX112" s="2643"/>
      <c r="AY112" s="2643"/>
      <c r="AZ112" s="2643"/>
      <c r="BA112" s="2643"/>
      <c r="BB112" s="2643"/>
      <c r="BC112" s="2643"/>
      <c r="BD112" s="2181"/>
    </row>
    <row r="113" spans="1:55" s="2150" customFormat="1" ht="58.5" customHeight="1">
      <c r="A113" s="3750"/>
      <c r="B113" s="1568" t="str">
        <f t="shared" si="10"/>
        <v>2000002899</v>
      </c>
      <c r="C113" s="1493" t="s">
        <v>2906</v>
      </c>
      <c r="D113" s="1494"/>
      <c r="E113" s="1495"/>
      <c r="F113" s="1545" t="s">
        <v>84</v>
      </c>
      <c r="G113" s="1495"/>
      <c r="H113" s="1495"/>
      <c r="I113" s="1495" t="s">
        <v>19</v>
      </c>
      <c r="J113" s="1495" t="s">
        <v>5325</v>
      </c>
      <c r="K113" s="1600" t="s">
        <v>7768</v>
      </c>
      <c r="L113" s="2357">
        <v>1000</v>
      </c>
      <c r="M113" s="2180" t="s">
        <v>7798</v>
      </c>
      <c r="N113" s="1859"/>
      <c r="O113" s="1790">
        <v>3</v>
      </c>
      <c r="Q113" s="1902"/>
      <c r="R113" s="2674"/>
      <c r="S113" s="2674"/>
      <c r="T113" s="2629"/>
      <c r="U113" s="2643"/>
      <c r="V113" s="2129"/>
      <c r="W113" s="2129"/>
      <c r="X113" s="2129"/>
      <c r="Y113" s="2129"/>
      <c r="Z113" s="2129"/>
      <c r="AA113" s="2129"/>
      <c r="AB113" s="2129"/>
      <c r="AC113" s="2129"/>
      <c r="AD113" s="2129"/>
      <c r="AE113" s="2129"/>
      <c r="AF113" s="2129"/>
      <c r="AG113" s="2129"/>
      <c r="AH113" s="2129"/>
      <c r="AI113" s="2129"/>
      <c r="AJ113" s="2129"/>
      <c r="AK113" s="2129"/>
      <c r="AL113" s="2129"/>
      <c r="AM113" s="2129"/>
      <c r="AN113" s="2129"/>
      <c r="AO113" s="2129"/>
      <c r="AP113" s="2129"/>
      <c r="AQ113" s="2129"/>
      <c r="AR113" s="2129"/>
      <c r="AS113" s="2129"/>
      <c r="AT113" s="2129"/>
      <c r="AU113" s="2129"/>
      <c r="AV113" s="2129"/>
      <c r="AW113" s="2129"/>
      <c r="AX113" s="2129"/>
      <c r="AY113" s="2129"/>
      <c r="AZ113" s="2129"/>
      <c r="BA113" s="2129"/>
      <c r="BB113" s="2129"/>
      <c r="BC113" s="2129"/>
    </row>
    <row r="114" spans="1:55" s="2643" customFormat="1" ht="72.75" customHeight="1">
      <c r="A114" s="2582">
        <v>37</v>
      </c>
      <c r="B114" s="1568" t="str">
        <f t="shared" si="10"/>
        <v>2000002936</v>
      </c>
      <c r="C114" s="2180" t="s">
        <v>7799</v>
      </c>
      <c r="D114" s="2607">
        <v>4200</v>
      </c>
      <c r="E114" s="1921" t="s">
        <v>7800</v>
      </c>
      <c r="F114" s="1902" t="s">
        <v>84</v>
      </c>
      <c r="G114" s="1921" t="s">
        <v>7801</v>
      </c>
      <c r="H114" s="1921"/>
      <c r="I114" s="1921" t="s">
        <v>19</v>
      </c>
      <c r="J114" s="2659" t="s">
        <v>20</v>
      </c>
      <c r="K114" s="1845" t="s">
        <v>7802</v>
      </c>
      <c r="L114" s="2583">
        <v>4200</v>
      </c>
      <c r="M114" s="2196" t="s">
        <v>5937</v>
      </c>
      <c r="N114" s="2675"/>
      <c r="O114" s="2429">
        <v>3</v>
      </c>
      <c r="P114" s="2150"/>
      <c r="Q114" s="2150">
        <v>2000002926</v>
      </c>
      <c r="R114" s="2628" t="e">
        <f>VLOOKUP(Q114,#REF!,2,0)</f>
        <v>#REF!</v>
      </c>
      <c r="S114" s="2628" t="e">
        <f>VLOOKUP(Q114,#REF!,3,0)</f>
        <v>#REF!</v>
      </c>
      <c r="T114" s="2629" t="e">
        <f>R114-S114</f>
        <v>#REF!</v>
      </c>
      <c r="U114" s="1474"/>
    </row>
    <row r="115" spans="1:55" s="2643" customFormat="1" ht="63.75" customHeight="1">
      <c r="A115" s="3749">
        <v>38</v>
      </c>
      <c r="B115" s="1568" t="str">
        <f t="shared" si="10"/>
        <v>2000002895</v>
      </c>
      <c r="C115" s="1902" t="s">
        <v>3556</v>
      </c>
      <c r="D115" s="2607">
        <v>4250</v>
      </c>
      <c r="E115" s="1921" t="s">
        <v>7803</v>
      </c>
      <c r="F115" s="1902" t="s">
        <v>89</v>
      </c>
      <c r="G115" s="1921" t="s">
        <v>7804</v>
      </c>
      <c r="H115" s="1921"/>
      <c r="I115" s="1921" t="s">
        <v>19</v>
      </c>
      <c r="J115" s="1921" t="s">
        <v>1138</v>
      </c>
      <c r="K115" s="1845" t="s">
        <v>7787</v>
      </c>
      <c r="L115" s="2583">
        <v>1000</v>
      </c>
      <c r="M115" s="1780" t="s">
        <v>7788</v>
      </c>
      <c r="N115" s="1775"/>
      <c r="O115" s="2429">
        <v>3</v>
      </c>
      <c r="P115" s="2150"/>
      <c r="Q115" s="2150"/>
      <c r="R115" s="1902"/>
      <c r="S115" s="1902"/>
      <c r="T115" s="1902"/>
    </row>
    <row r="116" spans="1:55" s="2643" customFormat="1" ht="52.5" customHeight="1">
      <c r="A116" s="3751"/>
      <c r="B116" s="1568" t="str">
        <f t="shared" si="10"/>
        <v>2200001972</v>
      </c>
      <c r="C116" s="1493" t="s">
        <v>3556</v>
      </c>
      <c r="D116" s="1494"/>
      <c r="E116" s="1495"/>
      <c r="F116" s="1493" t="s">
        <v>89</v>
      </c>
      <c r="G116" s="1495"/>
      <c r="H116" s="1495"/>
      <c r="I116" s="1495" t="s">
        <v>19</v>
      </c>
      <c r="J116" s="1495" t="s">
        <v>1138</v>
      </c>
      <c r="K116" s="1496" t="s">
        <v>7805</v>
      </c>
      <c r="L116" s="2646">
        <v>595</v>
      </c>
      <c r="M116" s="2385" t="s">
        <v>7628</v>
      </c>
      <c r="N116" s="1859"/>
      <c r="O116" s="1790">
        <v>3</v>
      </c>
      <c r="P116" s="1548"/>
      <c r="Q116" s="1548"/>
      <c r="R116" s="1493"/>
      <c r="S116" s="1493"/>
      <c r="T116" s="1493"/>
      <c r="U116" s="1467"/>
    </row>
    <row r="117" spans="1:55" s="2643" customFormat="1" ht="52.5" customHeight="1">
      <c r="A117" s="3751"/>
      <c r="B117" s="1568" t="str">
        <f t="shared" si="10"/>
        <v>2000002941</v>
      </c>
      <c r="C117" s="1493" t="s">
        <v>3556</v>
      </c>
      <c r="D117" s="1808"/>
      <c r="E117" s="1495"/>
      <c r="F117" s="1493" t="s">
        <v>89</v>
      </c>
      <c r="G117" s="1495"/>
      <c r="H117" s="1495"/>
      <c r="I117" s="1495" t="s">
        <v>19</v>
      </c>
      <c r="J117" s="1495" t="s">
        <v>1138</v>
      </c>
      <c r="K117" s="1600" t="s">
        <v>7806</v>
      </c>
      <c r="L117" s="2357">
        <v>500</v>
      </c>
      <c r="M117" s="1748" t="s">
        <v>5961</v>
      </c>
      <c r="N117" s="1859"/>
      <c r="O117" s="1790">
        <v>3</v>
      </c>
      <c r="P117" s="1548"/>
      <c r="Q117" s="1548"/>
      <c r="R117" s="1493"/>
      <c r="S117" s="1493"/>
      <c r="T117" s="1493"/>
      <c r="U117" s="1467"/>
      <c r="V117" s="1467"/>
      <c r="W117" s="1467"/>
      <c r="X117" s="1467"/>
      <c r="Y117" s="1467"/>
      <c r="Z117" s="1467"/>
    </row>
    <row r="118" spans="1:55" s="2643" customFormat="1" ht="52.5" customHeight="1">
      <c r="A118" s="3751"/>
      <c r="B118" s="1568" t="str">
        <f t="shared" si="10"/>
        <v>2000002924</v>
      </c>
      <c r="C118" s="1493" t="s">
        <v>3556</v>
      </c>
      <c r="D118" s="1808"/>
      <c r="E118" s="1495"/>
      <c r="F118" s="1493" t="s">
        <v>89</v>
      </c>
      <c r="G118" s="1495"/>
      <c r="H118" s="1495"/>
      <c r="I118" s="1495" t="s">
        <v>19</v>
      </c>
      <c r="J118" s="1495" t="s">
        <v>1138</v>
      </c>
      <c r="K118" s="1547" t="s">
        <v>7807</v>
      </c>
      <c r="L118" s="2357">
        <v>2000</v>
      </c>
      <c r="M118" s="1748" t="s">
        <v>5961</v>
      </c>
      <c r="N118" s="1859"/>
      <c r="O118" s="1790">
        <v>3</v>
      </c>
      <c r="P118" s="1548"/>
      <c r="Q118" s="1493"/>
      <c r="R118" s="1493"/>
      <c r="S118" s="1493"/>
      <c r="T118" s="2429"/>
      <c r="U118" s="1467"/>
      <c r="V118" s="1467"/>
      <c r="W118" s="1467"/>
      <c r="X118" s="1467"/>
      <c r="Y118" s="1467"/>
      <c r="Z118" s="1467"/>
    </row>
    <row r="119" spans="1:55" s="2643" customFormat="1" ht="52.5" customHeight="1">
      <c r="A119" s="3750"/>
      <c r="B119" s="1568" t="str">
        <f t="shared" si="10"/>
        <v>2200001975</v>
      </c>
      <c r="C119" s="1493" t="s">
        <v>3556</v>
      </c>
      <c r="D119" s="1808"/>
      <c r="E119" s="1495"/>
      <c r="F119" s="1493" t="s">
        <v>89</v>
      </c>
      <c r="G119" s="1495"/>
      <c r="H119" s="1495"/>
      <c r="I119" s="1495" t="s">
        <v>19</v>
      </c>
      <c r="J119" s="1495" t="s">
        <v>1138</v>
      </c>
      <c r="K119" s="1496" t="s">
        <v>7808</v>
      </c>
      <c r="L119" s="2646">
        <v>285</v>
      </c>
      <c r="M119" s="2196" t="s">
        <v>7740</v>
      </c>
      <c r="N119" s="1859"/>
      <c r="O119" s="1790">
        <v>3</v>
      </c>
      <c r="P119" s="1548"/>
      <c r="Q119" s="1493">
        <v>2200001975</v>
      </c>
      <c r="R119" s="2628" t="e">
        <f>VLOOKUP(Q119,#REF!,2,0)</f>
        <v>#REF!</v>
      </c>
      <c r="S119" s="2628" t="e">
        <f>VLOOKUP(Q119,#REF!,3,0)</f>
        <v>#REF!</v>
      </c>
      <c r="T119" s="2629" t="e">
        <f>R119-S119</f>
        <v>#REF!</v>
      </c>
      <c r="U119" s="1474"/>
      <c r="V119" s="1467"/>
      <c r="W119" s="1467"/>
      <c r="X119" s="1467"/>
      <c r="Y119" s="1467"/>
      <c r="Z119" s="1467"/>
    </row>
    <row r="120" spans="1:55" s="2643" customFormat="1" ht="49.5" customHeight="1">
      <c r="A120" s="3751">
        <v>39</v>
      </c>
      <c r="B120" s="1568" t="str">
        <f t="shared" si="10"/>
        <v>2400001176</v>
      </c>
      <c r="C120" s="1902" t="s">
        <v>7809</v>
      </c>
      <c r="D120" s="2607">
        <f>SUM(L120:L123)</f>
        <v>4200</v>
      </c>
      <c r="E120" s="1921" t="s">
        <v>7810</v>
      </c>
      <c r="F120" s="1902" t="s">
        <v>3095</v>
      </c>
      <c r="G120" s="1921" t="s">
        <v>7811</v>
      </c>
      <c r="H120" s="1921" t="s">
        <v>7812</v>
      </c>
      <c r="I120" s="1921" t="s">
        <v>19</v>
      </c>
      <c r="J120" s="1921" t="s">
        <v>7813</v>
      </c>
      <c r="K120" s="1911" t="s">
        <v>7814</v>
      </c>
      <c r="L120" s="2583">
        <v>1000</v>
      </c>
      <c r="M120" s="2180" t="s">
        <v>5961</v>
      </c>
      <c r="N120" s="1775"/>
      <c r="O120" s="2429">
        <v>3</v>
      </c>
      <c r="P120" s="2150"/>
      <c r="Q120" s="2150"/>
      <c r="R120" s="1902"/>
      <c r="S120" s="1902"/>
      <c r="T120" s="1902"/>
    </row>
    <row r="121" spans="1:55" s="1467" customFormat="1" ht="49.5" customHeight="1">
      <c r="A121" s="3751"/>
      <c r="B121" s="1568" t="str">
        <f t="shared" si="10"/>
        <v>2400001177</v>
      </c>
      <c r="C121" s="1493" t="s">
        <v>7809</v>
      </c>
      <c r="D121" s="1494"/>
      <c r="E121" s="1495"/>
      <c r="F121" s="1493"/>
      <c r="G121" s="1495"/>
      <c r="H121" s="1495"/>
      <c r="I121" s="1495" t="s">
        <v>19</v>
      </c>
      <c r="J121" s="1495" t="s">
        <v>7813</v>
      </c>
      <c r="K121" s="1547" t="s">
        <v>7815</v>
      </c>
      <c r="L121" s="2357">
        <v>1400</v>
      </c>
      <c r="M121" s="1748" t="s">
        <v>7816</v>
      </c>
      <c r="N121" s="1859"/>
      <c r="O121" s="1790">
        <v>3</v>
      </c>
      <c r="P121" s="1548"/>
      <c r="Q121" s="1548"/>
      <c r="R121" s="1493"/>
      <c r="S121" s="1493"/>
      <c r="T121" s="1493"/>
    </row>
    <row r="122" spans="1:55" s="1467" customFormat="1" ht="49.5" customHeight="1">
      <c r="A122" s="3751"/>
      <c r="B122" s="1568" t="str">
        <f t="shared" si="10"/>
        <v>2400001167</v>
      </c>
      <c r="C122" s="1493" t="s">
        <v>7809</v>
      </c>
      <c r="D122" s="1494"/>
      <c r="E122" s="1495"/>
      <c r="F122" s="1493"/>
      <c r="G122" s="1495"/>
      <c r="H122" s="1495"/>
      <c r="I122" s="1495" t="s">
        <v>19</v>
      </c>
      <c r="J122" s="1495" t="s">
        <v>7813</v>
      </c>
      <c r="K122" s="1547" t="s">
        <v>7817</v>
      </c>
      <c r="L122" s="2357">
        <v>1500</v>
      </c>
      <c r="M122" s="1921" t="s">
        <v>5961</v>
      </c>
      <c r="N122" s="1859"/>
      <c r="O122" s="1790">
        <v>3</v>
      </c>
      <c r="P122" s="1548"/>
      <c r="Q122" s="1548"/>
      <c r="R122" s="1493"/>
      <c r="S122" s="1493"/>
      <c r="T122" s="1493"/>
    </row>
    <row r="123" spans="1:55" s="1467" customFormat="1" ht="49.5" customHeight="1">
      <c r="A123" s="3750"/>
      <c r="B123" s="1568" t="str">
        <f t="shared" si="10"/>
        <v>2400001182</v>
      </c>
      <c r="C123" s="1493" t="s">
        <v>7809</v>
      </c>
      <c r="D123" s="1494"/>
      <c r="E123" s="1495"/>
      <c r="F123" s="1493"/>
      <c r="G123" s="1495"/>
      <c r="H123" s="1495"/>
      <c r="I123" s="1495" t="s">
        <v>19</v>
      </c>
      <c r="J123" s="1495" t="s">
        <v>7813</v>
      </c>
      <c r="K123" s="1547" t="s">
        <v>7818</v>
      </c>
      <c r="L123" s="2357">
        <v>300</v>
      </c>
      <c r="M123" s="1495" t="s">
        <v>5961</v>
      </c>
      <c r="N123" s="1859"/>
      <c r="O123" s="1790">
        <v>3</v>
      </c>
      <c r="P123" s="1548"/>
      <c r="Q123" s="1548"/>
      <c r="R123" s="1493"/>
      <c r="S123" s="1493"/>
      <c r="T123" s="1493"/>
    </row>
    <row r="124" spans="1:55" s="2643" customFormat="1" ht="49.5" customHeight="1">
      <c r="A124" s="3749">
        <v>40</v>
      </c>
      <c r="B124" s="1568" t="str">
        <f t="shared" si="10"/>
        <v>2400001185</v>
      </c>
      <c r="C124" s="1902" t="s">
        <v>7819</v>
      </c>
      <c r="D124" s="2607">
        <f>SUM(L124:L130)</f>
        <v>4075</v>
      </c>
      <c r="E124" s="1921" t="s">
        <v>7810</v>
      </c>
      <c r="F124" s="1902" t="s">
        <v>3095</v>
      </c>
      <c r="G124" s="1921" t="s">
        <v>7820</v>
      </c>
      <c r="H124" s="1921" t="s">
        <v>7812</v>
      </c>
      <c r="I124" s="1921" t="s">
        <v>19</v>
      </c>
      <c r="J124" s="1921" t="s">
        <v>7821</v>
      </c>
      <c r="K124" s="1911" t="s">
        <v>7822</v>
      </c>
      <c r="L124" s="2583">
        <v>2000</v>
      </c>
      <c r="M124" s="1495" t="s">
        <v>5961</v>
      </c>
      <c r="N124" s="1775"/>
      <c r="O124" s="2429">
        <v>3</v>
      </c>
      <c r="P124" s="2150"/>
      <c r="Q124" s="2150"/>
      <c r="R124" s="1902"/>
      <c r="S124" s="1902"/>
      <c r="T124" s="1902"/>
    </row>
    <row r="125" spans="1:55" s="1467" customFormat="1" ht="49.5" customHeight="1">
      <c r="A125" s="3751"/>
      <c r="B125" s="1568" t="str">
        <f t="shared" si="10"/>
        <v>2400001186</v>
      </c>
      <c r="C125" s="1493" t="s">
        <v>7819</v>
      </c>
      <c r="D125" s="1494"/>
      <c r="E125" s="1495"/>
      <c r="F125" s="1493"/>
      <c r="G125" s="1495"/>
      <c r="H125" s="1495"/>
      <c r="I125" s="1495" t="s">
        <v>19</v>
      </c>
      <c r="J125" s="1495" t="s">
        <v>7821</v>
      </c>
      <c r="K125" s="1547" t="s">
        <v>7823</v>
      </c>
      <c r="L125" s="2357"/>
      <c r="M125" s="1909" t="s">
        <v>5961</v>
      </c>
      <c r="N125" s="1859"/>
      <c r="O125" s="1790">
        <v>3</v>
      </c>
      <c r="P125" s="1548"/>
      <c r="Q125" s="1548"/>
      <c r="R125" s="1493"/>
      <c r="S125" s="1493"/>
      <c r="T125" s="1493"/>
    </row>
    <row r="126" spans="1:55" s="1467" customFormat="1" ht="49.5" customHeight="1">
      <c r="A126" s="3751"/>
      <c r="B126" s="1568" t="str">
        <f t="shared" si="10"/>
        <v>2400001187</v>
      </c>
      <c r="C126" s="1493" t="s">
        <v>7819</v>
      </c>
      <c r="D126" s="1808"/>
      <c r="E126" s="1495"/>
      <c r="F126" s="1493"/>
      <c r="G126" s="1495"/>
      <c r="H126" s="1495"/>
      <c r="I126" s="1495" t="s">
        <v>19</v>
      </c>
      <c r="J126" s="1495" t="s">
        <v>7821</v>
      </c>
      <c r="K126" s="1547" t="s">
        <v>7824</v>
      </c>
      <c r="L126" s="2357">
        <v>575</v>
      </c>
      <c r="M126" s="1495" t="s">
        <v>5961</v>
      </c>
      <c r="N126" s="1859"/>
      <c r="O126" s="1790">
        <v>3</v>
      </c>
      <c r="P126" s="1548"/>
      <c r="Q126" s="1548"/>
      <c r="R126" s="1493"/>
      <c r="S126" s="1493"/>
      <c r="T126" s="1493"/>
    </row>
    <row r="127" spans="1:55" s="1467" customFormat="1" ht="49.5" customHeight="1">
      <c r="A127" s="3751"/>
      <c r="B127" s="1568" t="str">
        <f t="shared" si="10"/>
        <v>2400001188</v>
      </c>
      <c r="C127" s="1493" t="s">
        <v>7819</v>
      </c>
      <c r="D127" s="1808"/>
      <c r="E127" s="1495"/>
      <c r="F127" s="1493"/>
      <c r="G127" s="1495"/>
      <c r="H127" s="1495"/>
      <c r="I127" s="1495" t="s">
        <v>19</v>
      </c>
      <c r="J127" s="1495" t="s">
        <v>7821</v>
      </c>
      <c r="K127" s="1547" t="s">
        <v>7825</v>
      </c>
      <c r="L127" s="2357"/>
      <c r="M127" s="1495" t="s">
        <v>5961</v>
      </c>
      <c r="N127" s="1859"/>
      <c r="O127" s="1790">
        <v>3</v>
      </c>
      <c r="P127" s="1548"/>
      <c r="Q127" s="1548"/>
      <c r="R127" s="1493"/>
      <c r="S127" s="1493"/>
      <c r="T127" s="1493"/>
    </row>
    <row r="128" spans="1:55" s="1467" customFormat="1" ht="49.5" customHeight="1">
      <c r="A128" s="3751"/>
      <c r="B128" s="1568" t="str">
        <f t="shared" si="10"/>
        <v>2400001190</v>
      </c>
      <c r="C128" s="1493" t="s">
        <v>7819</v>
      </c>
      <c r="D128" s="1808"/>
      <c r="E128" s="1495"/>
      <c r="F128" s="1493"/>
      <c r="G128" s="1495"/>
      <c r="H128" s="1495"/>
      <c r="I128" s="1495" t="s">
        <v>19</v>
      </c>
      <c r="J128" s="1495" t="s">
        <v>7821</v>
      </c>
      <c r="K128" s="1547" t="s">
        <v>7826</v>
      </c>
      <c r="L128" s="2357">
        <v>100</v>
      </c>
      <c r="M128" s="1748" t="s">
        <v>5961</v>
      </c>
      <c r="N128" s="1859"/>
      <c r="O128" s="1790">
        <v>3</v>
      </c>
      <c r="P128" s="1548"/>
      <c r="Q128" s="1548"/>
      <c r="R128" s="1493"/>
      <c r="S128" s="1493"/>
      <c r="T128" s="1493"/>
    </row>
    <row r="129" spans="1:26" s="1467" customFormat="1" ht="49.5" customHeight="1">
      <c r="A129" s="3751"/>
      <c r="B129" s="1568" t="str">
        <f t="shared" si="10"/>
        <v>2400001191</v>
      </c>
      <c r="C129" s="1493" t="s">
        <v>7819</v>
      </c>
      <c r="D129" s="1808"/>
      <c r="E129" s="1495"/>
      <c r="F129" s="1493"/>
      <c r="G129" s="1495"/>
      <c r="H129" s="1495"/>
      <c r="I129" s="1495" t="s">
        <v>19</v>
      </c>
      <c r="J129" s="1495" t="s">
        <v>7821</v>
      </c>
      <c r="K129" s="1547" t="s">
        <v>7827</v>
      </c>
      <c r="L129" s="2357">
        <v>1150</v>
      </c>
      <c r="M129" s="1748" t="s">
        <v>5961</v>
      </c>
      <c r="N129" s="1859"/>
      <c r="O129" s="1790">
        <v>3</v>
      </c>
      <c r="P129" s="1548"/>
      <c r="Q129" s="1548"/>
      <c r="R129" s="1493"/>
      <c r="S129" s="1493"/>
      <c r="T129" s="1493"/>
    </row>
    <row r="130" spans="1:26" s="1467" customFormat="1" ht="49.5" customHeight="1">
      <c r="A130" s="3751"/>
      <c r="B130" s="1568" t="str">
        <f t="shared" si="10"/>
        <v>2400001192</v>
      </c>
      <c r="C130" s="1493" t="s">
        <v>7819</v>
      </c>
      <c r="D130" s="1808"/>
      <c r="E130" s="1495"/>
      <c r="F130" s="1493"/>
      <c r="G130" s="1495"/>
      <c r="H130" s="1495"/>
      <c r="I130" s="1495" t="s">
        <v>19</v>
      </c>
      <c r="J130" s="1495" t="s">
        <v>7821</v>
      </c>
      <c r="K130" s="1547" t="s">
        <v>7828</v>
      </c>
      <c r="L130" s="2357">
        <v>250</v>
      </c>
      <c r="M130" s="1495" t="s">
        <v>5961</v>
      </c>
      <c r="N130" s="1859"/>
      <c r="O130" s="1790">
        <v>3</v>
      </c>
      <c r="P130" s="1548"/>
      <c r="Q130" s="1548"/>
      <c r="R130" s="1493"/>
      <c r="S130" s="1493"/>
      <c r="T130" s="1493"/>
    </row>
    <row r="131" spans="1:26" s="1467" customFormat="1" ht="58.5" customHeight="1">
      <c r="A131" s="2436">
        <v>41</v>
      </c>
      <c r="B131" s="1568" t="str">
        <f t="shared" si="10"/>
        <v>0000002934</v>
      </c>
      <c r="C131" s="1902" t="s">
        <v>3495</v>
      </c>
      <c r="D131" s="2488">
        <v>9300</v>
      </c>
      <c r="E131" s="1921" t="s">
        <v>7829</v>
      </c>
      <c r="F131" s="1902" t="s">
        <v>3416</v>
      </c>
      <c r="G131" s="1921" t="s">
        <v>7830</v>
      </c>
      <c r="H131" s="1921"/>
      <c r="I131" s="2279" t="s">
        <v>19</v>
      </c>
      <c r="J131" s="1921" t="s">
        <v>253</v>
      </c>
      <c r="K131" s="1845" t="s">
        <v>7831</v>
      </c>
      <c r="L131" s="2583">
        <v>9300</v>
      </c>
      <c r="M131" s="2196" t="s">
        <v>5937</v>
      </c>
      <c r="N131" s="1775"/>
      <c r="O131" s="2429">
        <v>3</v>
      </c>
      <c r="P131" s="2150"/>
      <c r="Q131" s="1902">
        <v>2000002934</v>
      </c>
      <c r="R131" s="2628" t="e">
        <f>VLOOKUP(Q131,#REF!,2,0)</f>
        <v>#REF!</v>
      </c>
      <c r="S131" s="2628" t="e">
        <f>VLOOKUP(Q131,#REF!,3,0)</f>
        <v>#REF!</v>
      </c>
      <c r="T131" s="2629" t="e">
        <f>R131-S131</f>
        <v>#REF!</v>
      </c>
      <c r="X131" s="1474"/>
      <c r="Y131" s="1474"/>
      <c r="Z131" s="1474"/>
    </row>
    <row r="132" spans="1:26" s="1467" customFormat="1" ht="58.5" customHeight="1">
      <c r="A132" s="2436">
        <v>42</v>
      </c>
      <c r="B132" s="1921" t="str">
        <f>TEXT(LEFT(K132,10),"0000000000")</f>
        <v>2200001976</v>
      </c>
      <c r="C132" s="1902" t="s">
        <v>5701</v>
      </c>
      <c r="D132" s="2607">
        <v>4200</v>
      </c>
      <c r="E132" s="1921" t="s">
        <v>7832</v>
      </c>
      <c r="F132" s="1902" t="s">
        <v>89</v>
      </c>
      <c r="G132" s="1561" t="s">
        <v>7833</v>
      </c>
      <c r="H132" s="1921"/>
      <c r="I132" s="2279" t="s">
        <v>19</v>
      </c>
      <c r="J132" s="1921" t="s">
        <v>959</v>
      </c>
      <c r="K132" s="1911" t="s">
        <v>6092</v>
      </c>
      <c r="L132" s="2583">
        <v>4964</v>
      </c>
      <c r="M132" s="2196" t="s">
        <v>5953</v>
      </c>
      <c r="N132" s="1859"/>
      <c r="O132" s="1790">
        <v>3</v>
      </c>
      <c r="P132" s="1548"/>
      <c r="Q132" s="1493">
        <v>2200001976</v>
      </c>
      <c r="R132" s="2628" t="e">
        <f>VLOOKUP(Q132,#REF!,2,0)</f>
        <v>#REF!</v>
      </c>
      <c r="S132" s="2628" t="e">
        <f>VLOOKUP(Q132,#REF!,3,0)</f>
        <v>#REF!</v>
      </c>
      <c r="T132" s="2629" t="e">
        <f>R132-S132</f>
        <v>#REF!</v>
      </c>
    </row>
    <row r="133" spans="1:26" s="1467" customFormat="1" ht="58.5" customHeight="1">
      <c r="A133" s="3736">
        <v>43</v>
      </c>
      <c r="B133" s="2279" t="str">
        <f>TEXT(LEFT(K133,10),"0000000000")</f>
        <v>2200001988</v>
      </c>
      <c r="C133" s="1902" t="s">
        <v>5675</v>
      </c>
      <c r="D133" s="2607">
        <v>4368</v>
      </c>
      <c r="E133" s="1921" t="s">
        <v>7834</v>
      </c>
      <c r="F133" s="1902" t="s">
        <v>61</v>
      </c>
      <c r="G133" s="1921" t="s">
        <v>7835</v>
      </c>
      <c r="H133" s="1921"/>
      <c r="I133" s="1921" t="s">
        <v>19</v>
      </c>
      <c r="J133" s="1921" t="s">
        <v>1138</v>
      </c>
      <c r="K133" s="1845" t="s">
        <v>7836</v>
      </c>
      <c r="L133" s="2583">
        <v>2030</v>
      </c>
      <c r="M133" s="1909" t="s">
        <v>5961</v>
      </c>
      <c r="N133" s="1843" t="s">
        <v>7837</v>
      </c>
      <c r="O133" s="1790">
        <v>3</v>
      </c>
      <c r="P133" s="1548"/>
      <c r="Q133" s="1493"/>
      <c r="R133" s="1493"/>
      <c r="S133" s="1493"/>
      <c r="T133" s="2429"/>
    </row>
    <row r="134" spans="1:26" s="1467" customFormat="1" ht="58.5" customHeight="1">
      <c r="A134" s="3736"/>
      <c r="B134" s="1568" t="str">
        <f>TEXT(LEFT(K134,10),"0000000000")</f>
        <v>2200001989</v>
      </c>
      <c r="C134" s="1493" t="s">
        <v>5675</v>
      </c>
      <c r="D134" s="1494"/>
      <c r="E134" s="1495"/>
      <c r="F134" s="1493" t="s">
        <v>61</v>
      </c>
      <c r="G134" s="1495"/>
      <c r="H134" s="1495"/>
      <c r="I134" s="1495" t="s">
        <v>19</v>
      </c>
      <c r="J134" s="1495" t="s">
        <v>1138</v>
      </c>
      <c r="K134" s="1600" t="s">
        <v>7838</v>
      </c>
      <c r="L134" s="2357">
        <v>666</v>
      </c>
      <c r="M134" s="1909" t="s">
        <v>5961</v>
      </c>
      <c r="N134" s="1843" t="s">
        <v>7837</v>
      </c>
      <c r="O134" s="1790">
        <v>3</v>
      </c>
      <c r="P134" s="1548"/>
      <c r="Q134" s="1493"/>
      <c r="R134" s="1493"/>
      <c r="S134" s="1493"/>
      <c r="T134" s="2429"/>
    </row>
    <row r="135" spans="1:26" s="1467" customFormat="1" ht="58.5" customHeight="1">
      <c r="A135" s="3737"/>
      <c r="B135" s="1568" t="str">
        <f>TEXT(LEFT(K135,10),"0000000000")</f>
        <v>2200001990</v>
      </c>
      <c r="C135" s="1493" t="s">
        <v>5675</v>
      </c>
      <c r="D135" s="1494"/>
      <c r="E135" s="1495"/>
      <c r="F135" s="1493" t="s">
        <v>61</v>
      </c>
      <c r="G135" s="1495"/>
      <c r="H135" s="1495"/>
      <c r="I135" s="1495" t="s">
        <v>19</v>
      </c>
      <c r="J135" s="1495" t="s">
        <v>1138</v>
      </c>
      <c r="K135" s="1600" t="s">
        <v>7839</v>
      </c>
      <c r="L135" s="2357">
        <v>1811</v>
      </c>
      <c r="M135" s="1909" t="s">
        <v>5961</v>
      </c>
      <c r="N135" s="1843" t="s">
        <v>7837</v>
      </c>
      <c r="O135" s="1790">
        <v>3</v>
      </c>
      <c r="P135" s="1548"/>
      <c r="Q135" s="1493"/>
      <c r="R135" s="1493"/>
      <c r="S135" s="1493"/>
      <c r="T135" s="2429"/>
    </row>
    <row r="136" spans="1:26" s="1467" customFormat="1" ht="58.5" customHeight="1">
      <c r="A136" s="3749">
        <v>44</v>
      </c>
      <c r="B136" s="1568" t="str">
        <f t="shared" ref="B136:B140" si="11">TEXT(LEFT(K136,10),"0000000000")</f>
        <v>2000002942</v>
      </c>
      <c r="C136" s="1902" t="s">
        <v>3414</v>
      </c>
      <c r="D136" s="2607">
        <v>24000</v>
      </c>
      <c r="E136" s="1921" t="s">
        <v>7840</v>
      </c>
      <c r="F136" s="1902" t="s">
        <v>3416</v>
      </c>
      <c r="G136" s="1921" t="s">
        <v>7841</v>
      </c>
      <c r="H136" s="1921"/>
      <c r="I136" s="2187" t="s">
        <v>19</v>
      </c>
      <c r="J136" s="2187" t="s">
        <v>123</v>
      </c>
      <c r="K136" s="2682" t="s">
        <v>7842</v>
      </c>
      <c r="L136" s="2564">
        <v>500</v>
      </c>
      <c r="M136" s="2506" t="s">
        <v>5937</v>
      </c>
      <c r="N136" s="1859"/>
      <c r="O136" s="1790">
        <v>3</v>
      </c>
      <c r="P136" s="1548"/>
      <c r="Q136" s="1493">
        <v>2000002942</v>
      </c>
      <c r="R136" s="2628" t="e">
        <f>VLOOKUP(Q136,#REF!,2,0)</f>
        <v>#REF!</v>
      </c>
      <c r="S136" s="2628" t="e">
        <f>VLOOKUP(Q136,#REF!,3,0)</f>
        <v>#REF!</v>
      </c>
      <c r="T136" s="2629" t="e">
        <f t="shared" ref="T136:T142" si="12">R136-S136</f>
        <v>#REF!</v>
      </c>
      <c r="X136" s="1474"/>
      <c r="Y136" s="1474"/>
      <c r="Z136" s="1474"/>
    </row>
    <row r="137" spans="1:26" s="1467" customFormat="1" ht="50.25" customHeight="1">
      <c r="A137" s="3751"/>
      <c r="B137" s="1568" t="str">
        <f t="shared" si="11"/>
        <v>2000002985</v>
      </c>
      <c r="C137" s="1493" t="s">
        <v>3414</v>
      </c>
      <c r="D137" s="1808"/>
      <c r="E137" s="1495"/>
      <c r="F137" s="1493" t="s">
        <v>3416</v>
      </c>
      <c r="G137" s="1495"/>
      <c r="H137" s="1495"/>
      <c r="I137" s="1495" t="s">
        <v>19</v>
      </c>
      <c r="J137" s="1495" t="s">
        <v>123</v>
      </c>
      <c r="K137" s="1547" t="s">
        <v>7843</v>
      </c>
      <c r="L137" s="2357">
        <v>3000</v>
      </c>
      <c r="M137" s="2196" t="s">
        <v>5937</v>
      </c>
      <c r="N137" s="1495"/>
      <c r="O137" s="1790">
        <v>3</v>
      </c>
      <c r="P137" s="1548"/>
      <c r="Q137" s="1493">
        <v>2000002985</v>
      </c>
      <c r="R137" s="2628" t="e">
        <f>VLOOKUP(Q137,#REF!,2,0)</f>
        <v>#REF!</v>
      </c>
      <c r="S137" s="2628" t="e">
        <f>VLOOKUP(Q137,#REF!,3,0)</f>
        <v>#REF!</v>
      </c>
      <c r="T137" s="2629" t="e">
        <f t="shared" si="12"/>
        <v>#REF!</v>
      </c>
      <c r="X137" s="1474"/>
      <c r="Y137" s="1474"/>
      <c r="Z137" s="1474"/>
    </row>
    <row r="138" spans="1:26" s="1467" customFormat="1" ht="50.25" customHeight="1">
      <c r="A138" s="3751"/>
      <c r="B138" s="1568" t="str">
        <f t="shared" si="11"/>
        <v>2000002971</v>
      </c>
      <c r="C138" s="1493" t="s">
        <v>3414</v>
      </c>
      <c r="D138" s="1494"/>
      <c r="E138" s="1495"/>
      <c r="F138" s="1493" t="s">
        <v>3416</v>
      </c>
      <c r="G138" s="1495"/>
      <c r="H138" s="1495"/>
      <c r="I138" s="1495" t="s">
        <v>19</v>
      </c>
      <c r="J138" s="1495" t="s">
        <v>123</v>
      </c>
      <c r="K138" s="1600" t="s">
        <v>7844</v>
      </c>
      <c r="L138" s="2357">
        <v>2500</v>
      </c>
      <c r="M138" s="2196" t="s">
        <v>5937</v>
      </c>
      <c r="N138" s="1859"/>
      <c r="O138" s="1790">
        <v>3</v>
      </c>
      <c r="P138" s="1548"/>
      <c r="Q138" s="1493">
        <v>2000002971</v>
      </c>
      <c r="R138" s="2628" t="e">
        <f>VLOOKUP(Q138,#REF!,2,0)</f>
        <v>#REF!</v>
      </c>
      <c r="S138" s="2628" t="e">
        <f>VLOOKUP(Q138,#REF!,3,0)</f>
        <v>#REF!</v>
      </c>
      <c r="T138" s="2629" t="e">
        <f t="shared" si="12"/>
        <v>#REF!</v>
      </c>
      <c r="X138" s="1474"/>
      <c r="Y138" s="1474"/>
      <c r="Z138" s="1474"/>
    </row>
    <row r="139" spans="1:26" s="1467" customFormat="1" ht="58.5" customHeight="1">
      <c r="A139" s="3751"/>
      <c r="B139" s="1568" t="str">
        <f t="shared" si="11"/>
        <v>2000002966</v>
      </c>
      <c r="C139" s="1493" t="s">
        <v>3414</v>
      </c>
      <c r="D139" s="1494"/>
      <c r="E139" s="1495"/>
      <c r="F139" s="1493" t="s">
        <v>3416</v>
      </c>
      <c r="G139" s="1495"/>
      <c r="H139" s="1495"/>
      <c r="I139" s="1495" t="s">
        <v>19</v>
      </c>
      <c r="J139" s="1495" t="s">
        <v>123</v>
      </c>
      <c r="K139" s="1600" t="s">
        <v>7845</v>
      </c>
      <c r="L139" s="2357">
        <v>2500</v>
      </c>
      <c r="M139" s="2196" t="s">
        <v>5937</v>
      </c>
      <c r="N139" s="1859"/>
      <c r="O139" s="1790">
        <v>3</v>
      </c>
      <c r="P139" s="1548"/>
      <c r="Q139" s="1493">
        <v>2000002966</v>
      </c>
      <c r="R139" s="2628" t="e">
        <f>VLOOKUP(Q139,#REF!,2,0)</f>
        <v>#REF!</v>
      </c>
      <c r="S139" s="2628" t="e">
        <f>VLOOKUP(Q139,#REF!,3,0)</f>
        <v>#REF!</v>
      </c>
      <c r="T139" s="2629" t="e">
        <f t="shared" si="12"/>
        <v>#REF!</v>
      </c>
      <c r="X139" s="1474"/>
      <c r="Y139" s="1474"/>
      <c r="Z139" s="1474"/>
    </row>
    <row r="140" spans="1:26" s="1467" customFormat="1" ht="49.5" customHeight="1">
      <c r="A140" s="3751"/>
      <c r="B140" s="1568" t="str">
        <f t="shared" si="11"/>
        <v>2000002970</v>
      </c>
      <c r="C140" s="1493" t="s">
        <v>3414</v>
      </c>
      <c r="D140" s="1494"/>
      <c r="E140" s="1495"/>
      <c r="F140" s="1493" t="s">
        <v>3416</v>
      </c>
      <c r="G140" s="1568"/>
      <c r="H140" s="1495"/>
      <c r="I140" s="1568" t="s">
        <v>19</v>
      </c>
      <c r="J140" s="1495" t="s">
        <v>123</v>
      </c>
      <c r="K140" s="1551" t="s">
        <v>7846</v>
      </c>
      <c r="L140" s="2357">
        <v>1000</v>
      </c>
      <c r="M140" s="2196" t="s">
        <v>5937</v>
      </c>
      <c r="N140" s="2719"/>
      <c r="O140" s="1790">
        <v>3</v>
      </c>
      <c r="Q140" s="1474">
        <v>2000002970</v>
      </c>
      <c r="R140" s="2628" t="e">
        <f>VLOOKUP(Q140,#REF!,2,0)</f>
        <v>#REF!</v>
      </c>
      <c r="S140" s="2628" t="e">
        <f>VLOOKUP(Q140,#REF!,3,0)</f>
        <v>#REF!</v>
      </c>
      <c r="T140" s="2629" t="e">
        <f t="shared" si="12"/>
        <v>#REF!</v>
      </c>
      <c r="X140" s="1474"/>
      <c r="Y140" s="1474"/>
      <c r="Z140" s="1474"/>
    </row>
    <row r="141" spans="1:26" s="1467" customFormat="1" ht="49.5" customHeight="1">
      <c r="A141" s="3751"/>
      <c r="B141" s="1495" t="str">
        <f>TEXT(LEFT(K141,10),"0000000000")</f>
        <v>2000002940</v>
      </c>
      <c r="C141" s="1493" t="s">
        <v>3414</v>
      </c>
      <c r="D141" s="1494"/>
      <c r="E141" s="1495"/>
      <c r="F141" s="1493" t="s">
        <v>3416</v>
      </c>
      <c r="G141" s="1900"/>
      <c r="H141" s="1495"/>
      <c r="I141" s="1495" t="s">
        <v>19</v>
      </c>
      <c r="J141" s="1495" t="s">
        <v>123</v>
      </c>
      <c r="K141" s="1600" t="s">
        <v>7847</v>
      </c>
      <c r="L141" s="2610">
        <v>2700</v>
      </c>
      <c r="M141" s="2051" t="s">
        <v>5961</v>
      </c>
      <c r="N141" s="2712"/>
      <c r="O141" s="1852">
        <v>3</v>
      </c>
      <c r="P141" s="1548"/>
      <c r="Q141" s="1548"/>
      <c r="R141" s="1493"/>
      <c r="S141" s="1493"/>
      <c r="T141" s="1493"/>
    </row>
    <row r="142" spans="1:26" s="1467" customFormat="1" ht="66" customHeight="1">
      <c r="A142" s="3751"/>
      <c r="B142" s="1900" t="str">
        <f>TEXT(LEFT(K142,10),"0000000000")</f>
        <v>2000002939</v>
      </c>
      <c r="C142" s="1493" t="s">
        <v>3414</v>
      </c>
      <c r="D142" s="2613"/>
      <c r="E142" s="1851"/>
      <c r="F142" s="1493" t="s">
        <v>3416</v>
      </c>
      <c r="G142" s="1495"/>
      <c r="H142" s="1495"/>
      <c r="I142" s="1495" t="s">
        <v>19</v>
      </c>
      <c r="J142" s="1495" t="s">
        <v>63</v>
      </c>
      <c r="K142" s="1546" t="s">
        <v>7848</v>
      </c>
      <c r="L142" s="2357">
        <v>3000</v>
      </c>
      <c r="M142" s="2196" t="s">
        <v>5937</v>
      </c>
      <c r="N142" s="1859"/>
      <c r="O142" s="1790">
        <v>3</v>
      </c>
      <c r="P142" s="1548"/>
      <c r="Q142" s="1493">
        <v>2000002939</v>
      </c>
      <c r="R142" s="2628" t="e">
        <f>VLOOKUP(Q142,#REF!,2,0)</f>
        <v>#REF!</v>
      </c>
      <c r="S142" s="2628" t="e">
        <f>VLOOKUP(Q142,#REF!,3,0)</f>
        <v>#REF!</v>
      </c>
      <c r="T142" s="2629" t="e">
        <f t="shared" si="12"/>
        <v>#REF!</v>
      </c>
      <c r="X142" s="1474"/>
      <c r="Y142" s="1474"/>
      <c r="Z142" s="1474"/>
    </row>
    <row r="143" spans="1:26" s="1467" customFormat="1" ht="48.75" customHeight="1">
      <c r="A143" s="3751"/>
      <c r="B143" s="1495" t="str">
        <f>TEXT(LEFT(K143,10),"0000000000")</f>
        <v>2000002973</v>
      </c>
      <c r="C143" s="1493" t="s">
        <v>3414</v>
      </c>
      <c r="D143" s="1494"/>
      <c r="E143" s="1495"/>
      <c r="F143" s="1493" t="s">
        <v>3416</v>
      </c>
      <c r="G143" s="1900"/>
      <c r="H143" s="1495"/>
      <c r="I143" s="1495" t="s">
        <v>19</v>
      </c>
      <c r="J143" s="1773" t="s">
        <v>63</v>
      </c>
      <c r="K143" s="1547" t="s">
        <v>7849</v>
      </c>
      <c r="L143" s="2483">
        <v>5000</v>
      </c>
      <c r="M143" s="1748" t="s">
        <v>7850</v>
      </c>
      <c r="N143" s="2712"/>
      <c r="O143" s="1852">
        <v>3</v>
      </c>
      <c r="P143" s="1548"/>
      <c r="Q143" s="1548"/>
      <c r="R143" s="1493"/>
      <c r="S143" s="1493"/>
      <c r="T143" s="1493"/>
    </row>
    <row r="144" spans="1:26" s="1467" customFormat="1" ht="84" customHeight="1">
      <c r="A144" s="3750"/>
      <c r="B144" s="2419" t="str">
        <f>TEXT(LEFT(K144,10),"0000000000")</f>
        <v>2000002989</v>
      </c>
      <c r="C144" s="1545" t="s">
        <v>3414</v>
      </c>
      <c r="D144" s="2613"/>
      <c r="E144" s="1543"/>
      <c r="F144" s="1545" t="s">
        <v>3416</v>
      </c>
      <c r="G144" s="1543"/>
      <c r="H144" s="1543"/>
      <c r="I144" s="1543" t="s">
        <v>19</v>
      </c>
      <c r="J144" s="1773" t="s">
        <v>63</v>
      </c>
      <c r="K144" s="1605" t="s">
        <v>7851</v>
      </c>
      <c r="L144" s="2636">
        <v>3800</v>
      </c>
      <c r="M144" s="2051" t="s">
        <v>5961</v>
      </c>
      <c r="N144" s="2544" t="s">
        <v>7852</v>
      </c>
      <c r="O144" s="1852">
        <v>3</v>
      </c>
      <c r="P144" s="1559"/>
      <c r="Q144" s="1559"/>
      <c r="R144" s="1545"/>
      <c r="S144" s="1545"/>
      <c r="T144" s="1545"/>
    </row>
    <row r="145" spans="1:56" s="1958" customFormat="1" ht="58.5" customHeight="1">
      <c r="A145" s="3735">
        <v>45</v>
      </c>
      <c r="B145" s="1495" t="str">
        <f t="shared" ref="B145:B150" si="13">TEXT(LEFT(K145,10),"0000000000")</f>
        <v>2200001976</v>
      </c>
      <c r="C145" s="1493" t="s">
        <v>4786</v>
      </c>
      <c r="D145" s="1494">
        <v>5830</v>
      </c>
      <c r="E145" s="1495" t="s">
        <v>7853</v>
      </c>
      <c r="F145" s="1493" t="s">
        <v>16</v>
      </c>
      <c r="G145" s="1495" t="s">
        <v>7854</v>
      </c>
      <c r="H145" s="1495" t="s">
        <v>7855</v>
      </c>
      <c r="I145" s="1495" t="s">
        <v>19</v>
      </c>
      <c r="J145" s="1495" t="s">
        <v>959</v>
      </c>
      <c r="K145" s="1547" t="s">
        <v>6092</v>
      </c>
      <c r="L145" s="2357">
        <v>764</v>
      </c>
      <c r="M145" s="2196" t="s">
        <v>5953</v>
      </c>
      <c r="N145" s="1859"/>
      <c r="O145" s="1790">
        <v>3</v>
      </c>
      <c r="P145" s="1548"/>
      <c r="Q145" s="1493">
        <v>2200001976</v>
      </c>
      <c r="R145" s="2628" t="e">
        <f>VLOOKUP(Q145,#REF!,2,0)</f>
        <v>#REF!</v>
      </c>
      <c r="S145" s="2628" t="e">
        <f>VLOOKUP(Q145,#REF!,3,0)</f>
        <v>#REF!</v>
      </c>
      <c r="T145" s="2629" t="e">
        <f t="shared" ref="T145:T158" si="14">R145-S145</f>
        <v>#REF!</v>
      </c>
      <c r="U145" s="1548"/>
      <c r="V145" s="1548"/>
      <c r="W145" s="1548"/>
      <c r="X145" s="1548"/>
      <c r="Y145" s="1548"/>
      <c r="Z145" s="1548"/>
      <c r="AA145" s="1548"/>
      <c r="AB145" s="1548"/>
      <c r="AC145" s="1548"/>
      <c r="AD145" s="1548"/>
      <c r="AE145" s="1548"/>
      <c r="AF145" s="1548"/>
      <c r="AG145" s="1548"/>
      <c r="AH145" s="1548"/>
      <c r="AI145" s="1548"/>
      <c r="AJ145" s="1548"/>
      <c r="AK145" s="1548"/>
      <c r="AL145" s="1548"/>
      <c r="AM145" s="1548"/>
      <c r="AN145" s="1548"/>
      <c r="AO145" s="1548"/>
      <c r="AP145" s="1548"/>
      <c r="AQ145" s="1548"/>
      <c r="AR145" s="1548"/>
      <c r="AS145" s="1548"/>
      <c r="AT145" s="1548"/>
      <c r="AU145" s="1548"/>
      <c r="AV145" s="1548"/>
      <c r="AW145" s="1548"/>
      <c r="AX145" s="1548"/>
      <c r="AY145" s="1548"/>
      <c r="AZ145" s="1548"/>
      <c r="BA145" s="1548"/>
      <c r="BB145" s="1548"/>
      <c r="BC145" s="1548"/>
      <c r="BD145" s="1548"/>
    </row>
    <row r="146" spans="1:56" s="432" customFormat="1" ht="58.5" customHeight="1">
      <c r="A146" s="3736"/>
      <c r="B146" s="1947" t="str">
        <f>TEXT(LEFT(K146,10),"0000000000")</f>
        <v>2000002986</v>
      </c>
      <c r="C146" s="1630" t="s">
        <v>4786</v>
      </c>
      <c r="D146" s="1631"/>
      <c r="E146" s="1851"/>
      <c r="F146" s="1630" t="s">
        <v>16</v>
      </c>
      <c r="G146" s="1851"/>
      <c r="H146" s="1851"/>
      <c r="I146" s="1851" t="s">
        <v>19</v>
      </c>
      <c r="J146" s="1851" t="s">
        <v>959</v>
      </c>
      <c r="K146" s="1881" t="s">
        <v>7856</v>
      </c>
      <c r="L146" s="2361">
        <v>2500</v>
      </c>
      <c r="M146" s="2160" t="s">
        <v>5937</v>
      </c>
      <c r="N146" s="2717"/>
      <c r="O146" s="1882">
        <v>3</v>
      </c>
      <c r="P146" s="1883"/>
      <c r="Q146" s="1630">
        <v>2000002917</v>
      </c>
      <c r="R146" s="2673" t="e">
        <f>VLOOKUP(Q146,#REF!,2,0)</f>
        <v>#REF!</v>
      </c>
      <c r="S146" s="2673" t="e">
        <f>VLOOKUP(Q146,#REF!,3,0)</f>
        <v>#REF!</v>
      </c>
      <c r="T146" s="2718" t="e">
        <f t="shared" si="14"/>
        <v>#REF!</v>
      </c>
      <c r="U146" s="1467"/>
      <c r="V146" s="1467"/>
      <c r="W146" s="1467"/>
      <c r="X146" s="1467"/>
      <c r="Y146" s="1467"/>
      <c r="Z146" s="1467"/>
      <c r="AA146" s="1467"/>
      <c r="AB146" s="1467"/>
      <c r="AC146" s="1467"/>
      <c r="AD146" s="1467"/>
      <c r="AE146" s="1467"/>
      <c r="AF146" s="1467"/>
      <c r="AG146" s="1467"/>
      <c r="AH146" s="1467"/>
      <c r="AI146" s="1467"/>
      <c r="AJ146" s="1467"/>
      <c r="AK146" s="1467"/>
      <c r="AL146" s="1467"/>
      <c r="AM146" s="1467"/>
      <c r="AN146" s="1467"/>
      <c r="AO146" s="1467"/>
      <c r="AP146" s="1467"/>
      <c r="AQ146" s="1467"/>
      <c r="AR146" s="1467"/>
      <c r="AS146" s="1467"/>
      <c r="AT146" s="1467"/>
      <c r="AU146" s="1467"/>
      <c r="AV146" s="1467"/>
      <c r="AW146" s="1467"/>
      <c r="AX146" s="1467"/>
      <c r="AY146" s="1467"/>
      <c r="AZ146" s="1467"/>
      <c r="BA146" s="1467"/>
      <c r="BB146" s="1467"/>
      <c r="BC146" s="1467"/>
      <c r="BD146" s="1467"/>
    </row>
    <row r="147" spans="1:56" s="432" customFormat="1" ht="58.5" customHeight="1">
      <c r="A147" s="3737"/>
      <c r="B147" s="1568" t="str">
        <f>TEXT(LEFT(K147,10),"0000000000")</f>
        <v>2000002987</v>
      </c>
      <c r="C147" s="1630" t="s">
        <v>4786</v>
      </c>
      <c r="D147" s="1631"/>
      <c r="E147" s="1851"/>
      <c r="F147" s="1493" t="s">
        <v>16</v>
      </c>
      <c r="G147" s="1851"/>
      <c r="H147" s="1851"/>
      <c r="I147" s="1495" t="s">
        <v>19</v>
      </c>
      <c r="J147" s="1495" t="s">
        <v>959</v>
      </c>
      <c r="K147" s="1547" t="s">
        <v>7857</v>
      </c>
      <c r="L147" s="2357">
        <v>2500</v>
      </c>
      <c r="M147" s="2196" t="s">
        <v>5937</v>
      </c>
      <c r="N147" s="2712"/>
      <c r="O147" s="1790">
        <v>3</v>
      </c>
      <c r="P147" s="1548"/>
      <c r="Q147" s="1493">
        <v>2000002917</v>
      </c>
      <c r="R147" s="2628" t="e">
        <f>VLOOKUP(Q147,#REF!,2,0)</f>
        <v>#REF!</v>
      </c>
      <c r="S147" s="2628" t="e">
        <f>VLOOKUP(Q147,#REF!,3,0)</f>
        <v>#REF!</v>
      </c>
      <c r="T147" s="2629" t="e">
        <f t="shared" si="14"/>
        <v>#REF!</v>
      </c>
      <c r="U147" s="1467"/>
      <c r="V147" s="1467"/>
      <c r="W147" s="1467"/>
      <c r="X147" s="1467"/>
      <c r="Y147" s="1467"/>
      <c r="Z147" s="1467"/>
      <c r="AA147" s="1467"/>
      <c r="AB147" s="1467"/>
      <c r="AC147" s="1467"/>
      <c r="AD147" s="1467"/>
      <c r="AE147" s="1467"/>
      <c r="AF147" s="1467"/>
      <c r="AG147" s="1467"/>
      <c r="AH147" s="1467"/>
      <c r="AI147" s="1467"/>
      <c r="AJ147" s="1467"/>
      <c r="AK147" s="1467"/>
      <c r="AL147" s="1467"/>
      <c r="AM147" s="1467"/>
      <c r="AN147" s="1467"/>
      <c r="AO147" s="1467"/>
      <c r="AP147" s="1467"/>
      <c r="AQ147" s="1467"/>
      <c r="AR147" s="1467"/>
      <c r="AS147" s="1467"/>
      <c r="AT147" s="1467"/>
      <c r="AU147" s="1467"/>
      <c r="AV147" s="1467"/>
      <c r="AW147" s="1467"/>
      <c r="AX147" s="1467"/>
      <c r="AY147" s="1467"/>
      <c r="AZ147" s="1467"/>
      <c r="BA147" s="1467"/>
      <c r="BB147" s="1467"/>
      <c r="BC147" s="1467"/>
      <c r="BD147" s="1467"/>
    </row>
    <row r="148" spans="1:56" s="1467" customFormat="1" ht="58.5" customHeight="1">
      <c r="A148" s="3735">
        <v>46</v>
      </c>
      <c r="B148" s="2279" t="str">
        <f t="shared" si="13"/>
        <v>2200001954</v>
      </c>
      <c r="C148" s="2391" t="s">
        <v>7672</v>
      </c>
      <c r="D148" s="2585">
        <v>4250</v>
      </c>
      <c r="E148" s="2118" t="s">
        <v>7858</v>
      </c>
      <c r="F148" s="1902" t="s">
        <v>84</v>
      </c>
      <c r="G148" s="2118" t="s">
        <v>7859</v>
      </c>
      <c r="H148" s="1909" t="s">
        <v>7855</v>
      </c>
      <c r="I148" s="1921" t="s">
        <v>19</v>
      </c>
      <c r="J148" s="1921" t="s">
        <v>959</v>
      </c>
      <c r="K148" s="1911" t="s">
        <v>7707</v>
      </c>
      <c r="L148" s="2583">
        <v>459</v>
      </c>
      <c r="M148" s="2196" t="s">
        <v>7860</v>
      </c>
      <c r="N148" s="2712"/>
      <c r="O148" s="1790">
        <v>3</v>
      </c>
      <c r="P148" s="1548"/>
      <c r="Q148" s="1493">
        <v>2200001954</v>
      </c>
      <c r="R148" s="2628" t="e">
        <f>VLOOKUP(Q148,#REF!,2,0)</f>
        <v>#REF!</v>
      </c>
      <c r="S148" s="2628" t="e">
        <f>VLOOKUP(Q148,#REF!,3,0)</f>
        <v>#REF!</v>
      </c>
      <c r="T148" s="2629" t="e">
        <f t="shared" si="14"/>
        <v>#REF!</v>
      </c>
    </row>
    <row r="149" spans="1:56" s="1467" customFormat="1" ht="58.5" customHeight="1">
      <c r="A149" s="3736"/>
      <c r="B149" s="1568" t="str">
        <f t="shared" si="13"/>
        <v>2200001978</v>
      </c>
      <c r="C149" s="1630" t="s">
        <v>7672</v>
      </c>
      <c r="D149" s="1631"/>
      <c r="E149" s="1851"/>
      <c r="F149" s="1493" t="s">
        <v>84</v>
      </c>
      <c r="G149" s="1851"/>
      <c r="H149" s="1851"/>
      <c r="I149" s="1495" t="s">
        <v>19</v>
      </c>
      <c r="J149" s="1495" t="s">
        <v>959</v>
      </c>
      <c r="K149" s="1547" t="s">
        <v>7861</v>
      </c>
      <c r="L149" s="2357">
        <v>786</v>
      </c>
      <c r="M149" s="2196" t="s">
        <v>5953</v>
      </c>
      <c r="N149" s="2712"/>
      <c r="O149" s="1790">
        <v>3</v>
      </c>
      <c r="P149" s="1548"/>
      <c r="Q149" s="1493">
        <v>2200001978</v>
      </c>
      <c r="R149" s="2628" t="e">
        <f>VLOOKUP(Q149,#REF!,2,0)</f>
        <v>#REF!</v>
      </c>
      <c r="S149" s="2628" t="e">
        <f>VLOOKUP(Q149,#REF!,3,0)</f>
        <v>#REF!</v>
      </c>
      <c r="T149" s="2629" t="e">
        <f t="shared" si="14"/>
        <v>#REF!</v>
      </c>
    </row>
    <row r="150" spans="1:56" s="1467" customFormat="1" ht="58.5" customHeight="1">
      <c r="A150" s="3736"/>
      <c r="B150" s="1568" t="str">
        <f t="shared" si="13"/>
        <v>2000002988</v>
      </c>
      <c r="C150" s="1630" t="s">
        <v>7672</v>
      </c>
      <c r="D150" s="1631"/>
      <c r="E150" s="1851"/>
      <c r="F150" s="1493" t="s">
        <v>84</v>
      </c>
      <c r="G150" s="1851"/>
      <c r="H150" s="1851"/>
      <c r="I150" s="1495" t="s">
        <v>19</v>
      </c>
      <c r="J150" s="1495" t="s">
        <v>959</v>
      </c>
      <c r="K150" s="1547" t="s">
        <v>7862</v>
      </c>
      <c r="L150" s="2357">
        <v>2000</v>
      </c>
      <c r="M150" s="2196" t="s">
        <v>5937</v>
      </c>
      <c r="N150" s="2712"/>
      <c r="O150" s="1790">
        <v>3</v>
      </c>
      <c r="P150" s="1548"/>
      <c r="Q150" s="1493">
        <v>2000002917</v>
      </c>
      <c r="R150" s="2628" t="e">
        <f>VLOOKUP(Q150,#REF!,2,0)</f>
        <v>#REF!</v>
      </c>
      <c r="S150" s="2628" t="e">
        <f>VLOOKUP(Q150,#REF!,3,0)</f>
        <v>#REF!</v>
      </c>
      <c r="T150" s="2629" t="e">
        <f t="shared" si="14"/>
        <v>#REF!</v>
      </c>
    </row>
    <row r="151" spans="1:56" s="1467" customFormat="1" ht="58.5" customHeight="1">
      <c r="A151" s="3737"/>
      <c r="B151" s="1495" t="str">
        <f>TEXT(LEFT(K151,10),"0000000000")</f>
        <v>2000002967</v>
      </c>
      <c r="C151" s="1630" t="s">
        <v>7672</v>
      </c>
      <c r="D151" s="1808"/>
      <c r="E151" s="1495"/>
      <c r="F151" s="1493" t="s">
        <v>84</v>
      </c>
      <c r="G151" s="1495"/>
      <c r="H151" s="1495"/>
      <c r="I151" s="1495" t="s">
        <v>19</v>
      </c>
      <c r="J151" s="1495" t="s">
        <v>959</v>
      </c>
      <c r="K151" s="1547" t="s">
        <v>7863</v>
      </c>
      <c r="L151" s="2357">
        <v>1000</v>
      </c>
      <c r="M151" s="2196" t="s">
        <v>5937</v>
      </c>
      <c r="N151" s="1859" t="s">
        <v>7864</v>
      </c>
      <c r="O151" s="1790">
        <v>3</v>
      </c>
      <c r="P151" s="1548"/>
      <c r="Q151" s="1493">
        <v>2000002967</v>
      </c>
      <c r="R151" s="2628" t="e">
        <f>VLOOKUP(Q151,#REF!,2,0)</f>
        <v>#REF!</v>
      </c>
      <c r="S151" s="2628" t="e">
        <f>VLOOKUP(Q151,#REF!,3,0)</f>
        <v>#REF!</v>
      </c>
      <c r="T151" s="2629" t="e">
        <f t="shared" si="14"/>
        <v>#REF!</v>
      </c>
    </row>
    <row r="152" spans="1:56" s="2643" customFormat="1" ht="58.5" customHeight="1">
      <c r="A152" s="3749">
        <v>47</v>
      </c>
      <c r="B152" s="2159" t="str">
        <f>TEXT(LEFT(K152,10),"0000000000")</f>
        <v>2200001981</v>
      </c>
      <c r="C152" s="2391" t="s">
        <v>3733</v>
      </c>
      <c r="D152" s="2585">
        <v>8800</v>
      </c>
      <c r="E152" s="2118" t="s">
        <v>7865</v>
      </c>
      <c r="F152" s="1902" t="s">
        <v>3401</v>
      </c>
      <c r="G152" s="2118" t="s">
        <v>7866</v>
      </c>
      <c r="H152" s="1909" t="s">
        <v>7855</v>
      </c>
      <c r="I152" s="1921" t="s">
        <v>19</v>
      </c>
      <c r="J152" s="1921" t="s">
        <v>1138</v>
      </c>
      <c r="K152" s="1911" t="s">
        <v>7867</v>
      </c>
      <c r="L152" s="2713">
        <v>3400</v>
      </c>
      <c r="M152" s="2196" t="s">
        <v>5937</v>
      </c>
      <c r="N152" s="2675" t="s">
        <v>7868</v>
      </c>
      <c r="O152" s="2429">
        <v>3</v>
      </c>
      <c r="P152" s="2150"/>
      <c r="Q152" s="1493">
        <v>2200001981</v>
      </c>
      <c r="R152" s="2628" t="e">
        <f>VLOOKUP(Q152,#REF!,2,0)</f>
        <v>#REF!</v>
      </c>
      <c r="S152" s="2628" t="e">
        <f>VLOOKUP(Q152,#REF!,3,0)</f>
        <v>#REF!</v>
      </c>
      <c r="T152" s="2629" t="e">
        <f t="shared" si="14"/>
        <v>#REF!</v>
      </c>
      <c r="X152" s="2659"/>
      <c r="Y152" s="2659"/>
      <c r="Z152" s="2659"/>
    </row>
    <row r="153" spans="1:56" s="2643" customFormat="1" ht="58.5" customHeight="1">
      <c r="A153" s="3751"/>
      <c r="B153" s="1947" t="str">
        <f t="shared" ref="B153:B154" si="15">TEXT(LEFT(K153,10),"0000000000")</f>
        <v>2000002926</v>
      </c>
      <c r="C153" s="1630" t="s">
        <v>3733</v>
      </c>
      <c r="D153" s="2325"/>
      <c r="E153" s="1495"/>
      <c r="F153" s="1493" t="s">
        <v>3401</v>
      </c>
      <c r="G153" s="1851"/>
      <c r="H153" s="1851"/>
      <c r="I153" s="1495" t="s">
        <v>19</v>
      </c>
      <c r="J153" s="1921" t="s">
        <v>1138</v>
      </c>
      <c r="K153" s="2402" t="s">
        <v>7869</v>
      </c>
      <c r="L153" s="2714">
        <v>2730</v>
      </c>
      <c r="M153" s="2196" t="s">
        <v>5937</v>
      </c>
      <c r="N153" s="2675"/>
      <c r="O153" s="2429">
        <v>3</v>
      </c>
      <c r="P153" s="2150"/>
      <c r="Q153" s="1493">
        <v>2000002926</v>
      </c>
      <c r="R153" s="2628" t="e">
        <f>VLOOKUP(Q153,#REF!,2,0)</f>
        <v>#REF!</v>
      </c>
      <c r="S153" s="2628" t="e">
        <f>VLOOKUP(Q153,#REF!,3,0)</f>
        <v>#REF!</v>
      </c>
      <c r="T153" s="2629" t="e">
        <f t="shared" si="14"/>
        <v>#REF!</v>
      </c>
      <c r="X153" s="2659"/>
      <c r="Y153" s="2659"/>
      <c r="Z153" s="2659"/>
    </row>
    <row r="154" spans="1:56" s="2643" customFormat="1" ht="58.5" customHeight="1">
      <c r="A154" s="3750"/>
      <c r="B154" s="1947" t="str">
        <f t="shared" si="15"/>
        <v>2000002925</v>
      </c>
      <c r="C154" s="1630" t="s">
        <v>3733</v>
      </c>
      <c r="D154" s="2325"/>
      <c r="E154" s="1495"/>
      <c r="F154" s="1493" t="s">
        <v>3401</v>
      </c>
      <c r="G154" s="1495"/>
      <c r="H154" s="1495"/>
      <c r="I154" s="1495" t="s">
        <v>19</v>
      </c>
      <c r="J154" s="1921" t="s">
        <v>1138</v>
      </c>
      <c r="K154" s="1990" t="s">
        <v>7870</v>
      </c>
      <c r="L154" s="2610">
        <v>2650</v>
      </c>
      <c r="M154" s="2196" t="s">
        <v>5937</v>
      </c>
      <c r="N154" s="2675"/>
      <c r="O154" s="2429">
        <v>3</v>
      </c>
      <c r="P154" s="1548"/>
      <c r="Q154" s="1493">
        <v>2000002925</v>
      </c>
      <c r="R154" s="2628" t="e">
        <f>VLOOKUP(Q154,#REF!,2,0)</f>
        <v>#REF!</v>
      </c>
      <c r="S154" s="2628" t="e">
        <f>VLOOKUP(Q154,#REF!,3,0)</f>
        <v>#REF!</v>
      </c>
      <c r="T154" s="2629" t="e">
        <f t="shared" si="14"/>
        <v>#REF!</v>
      </c>
      <c r="U154" s="1467"/>
      <c r="V154" s="1467"/>
      <c r="W154" s="1467"/>
      <c r="X154" s="1474"/>
      <c r="Y154" s="1474"/>
      <c r="Z154" s="1474"/>
    </row>
    <row r="155" spans="1:56" s="2643" customFormat="1" ht="54" customHeight="1">
      <c r="A155" s="3749">
        <v>48</v>
      </c>
      <c r="B155" s="2159" t="str">
        <f>TEXT(LEFT(K155,10),"0000000000")</f>
        <v>2200001981</v>
      </c>
      <c r="C155" s="2391" t="s">
        <v>3115</v>
      </c>
      <c r="D155" s="2585">
        <v>9600</v>
      </c>
      <c r="E155" s="2118" t="s">
        <v>7871</v>
      </c>
      <c r="F155" s="1902" t="s">
        <v>3401</v>
      </c>
      <c r="G155" s="2118" t="s">
        <v>7872</v>
      </c>
      <c r="H155" s="1909" t="s">
        <v>7855</v>
      </c>
      <c r="I155" s="1921" t="s">
        <v>19</v>
      </c>
      <c r="J155" s="1921" t="s">
        <v>1138</v>
      </c>
      <c r="K155" s="1845" t="s">
        <v>7873</v>
      </c>
      <c r="L155" s="2713">
        <v>3600</v>
      </c>
      <c r="M155" s="2196" t="s">
        <v>5937</v>
      </c>
      <c r="N155" s="2675" t="s">
        <v>7868</v>
      </c>
      <c r="O155" s="2429">
        <v>3</v>
      </c>
      <c r="P155" s="2150"/>
      <c r="Q155" s="1493">
        <v>2200001981</v>
      </c>
      <c r="R155" s="2628" t="e">
        <f>VLOOKUP(Q155,#REF!,2,0)</f>
        <v>#REF!</v>
      </c>
      <c r="S155" s="2628" t="e">
        <f>VLOOKUP(Q155,#REF!,3,0)</f>
        <v>#REF!</v>
      </c>
      <c r="T155" s="2629" t="e">
        <f t="shared" si="14"/>
        <v>#REF!</v>
      </c>
      <c r="X155" s="2659"/>
      <c r="Y155" s="2659"/>
      <c r="Z155" s="2659"/>
    </row>
    <row r="156" spans="1:56" s="1467" customFormat="1" ht="72" customHeight="1">
      <c r="A156" s="3750"/>
      <c r="B156" s="1947" t="str">
        <f t="shared" ref="B156:B159" si="16">TEXT(LEFT(K156,10),"0000000000")</f>
        <v>2000002936</v>
      </c>
      <c r="C156" s="1630" t="s">
        <v>3115</v>
      </c>
      <c r="D156" s="2585"/>
      <c r="E156" s="2118"/>
      <c r="F156" s="1902" t="s">
        <v>3401</v>
      </c>
      <c r="G156" s="2118"/>
      <c r="H156" s="1495"/>
      <c r="I156" s="1495" t="s">
        <v>19</v>
      </c>
      <c r="J156" s="1495" t="s">
        <v>20</v>
      </c>
      <c r="K156" s="1605" t="s">
        <v>7874</v>
      </c>
      <c r="L156" s="2357">
        <v>6000</v>
      </c>
      <c r="M156" s="2160" t="s">
        <v>5937</v>
      </c>
      <c r="N156" s="1843"/>
      <c r="O156" s="1790">
        <v>3</v>
      </c>
      <c r="P156" s="1548"/>
      <c r="Q156" s="1493">
        <v>2000002936</v>
      </c>
      <c r="R156" s="2628" t="e">
        <f>VLOOKUP(Q156,#REF!,2,0)</f>
        <v>#REF!</v>
      </c>
      <c r="S156" s="2628" t="e">
        <f>VLOOKUP(Q156,#REF!,3,0)</f>
        <v>#REF!</v>
      </c>
      <c r="T156" s="2716" t="e">
        <f t="shared" si="14"/>
        <v>#REF!</v>
      </c>
      <c r="X156" s="1474"/>
      <c r="Y156" s="1474"/>
      <c r="Z156" s="1474"/>
    </row>
    <row r="157" spans="1:56" s="2643" customFormat="1" ht="56.25" customHeight="1">
      <c r="A157" s="3749">
        <v>49</v>
      </c>
      <c r="B157" s="1947" t="str">
        <f t="shared" si="16"/>
        <v>2000002980</v>
      </c>
      <c r="C157" s="1630" t="s">
        <v>206</v>
      </c>
      <c r="D157" s="2585">
        <v>4350</v>
      </c>
      <c r="E157" s="2118" t="s">
        <v>7840</v>
      </c>
      <c r="F157" s="1902" t="s">
        <v>84</v>
      </c>
      <c r="G157" s="2118" t="s">
        <v>7875</v>
      </c>
      <c r="H157" s="1495" t="s">
        <v>7855</v>
      </c>
      <c r="I157" s="1495" t="s">
        <v>19</v>
      </c>
      <c r="J157" s="1495" t="s">
        <v>74</v>
      </c>
      <c r="K157" s="1605" t="s">
        <v>7876</v>
      </c>
      <c r="L157" s="2357">
        <v>1000</v>
      </c>
      <c r="M157" s="2160" t="s">
        <v>5937</v>
      </c>
      <c r="N157" s="1843"/>
      <c r="O157" s="1790">
        <v>3</v>
      </c>
      <c r="P157" s="1548"/>
      <c r="Q157" s="1493">
        <v>2000002980</v>
      </c>
      <c r="R157" s="2628" t="e">
        <f>VLOOKUP(Q157,#REF!,2,0)</f>
        <v>#REF!</v>
      </c>
      <c r="S157" s="2628" t="e">
        <f>VLOOKUP(Q157,#REF!,3,0)</f>
        <v>#REF!</v>
      </c>
      <c r="T157" s="2716" t="e">
        <f t="shared" si="14"/>
        <v>#REF!</v>
      </c>
      <c r="U157" s="1467"/>
      <c r="V157" s="1467"/>
      <c r="W157" s="1467"/>
      <c r="X157" s="1474"/>
      <c r="Y157" s="1474"/>
      <c r="Z157" s="1474"/>
      <c r="AA157" s="1467"/>
      <c r="AB157" s="1467"/>
      <c r="AC157" s="1467"/>
      <c r="AD157" s="1467"/>
      <c r="AE157" s="1467"/>
      <c r="AF157" s="1467"/>
      <c r="AG157" s="1467"/>
      <c r="AH157" s="1467"/>
      <c r="AI157" s="1467"/>
      <c r="AJ157" s="1467"/>
      <c r="AK157" s="1467"/>
      <c r="AL157" s="1467"/>
      <c r="AM157" s="1467"/>
      <c r="AN157" s="1467"/>
      <c r="AO157" s="1467"/>
      <c r="AP157" s="1467"/>
      <c r="AQ157" s="1467"/>
      <c r="AR157" s="1467"/>
      <c r="AS157" s="1467"/>
      <c r="AT157" s="1467"/>
      <c r="AU157" s="1467"/>
      <c r="AV157" s="1467"/>
      <c r="AW157" s="1467"/>
      <c r="AX157" s="1467"/>
      <c r="AY157" s="1467"/>
      <c r="AZ157" s="1467"/>
      <c r="BA157" s="1467"/>
      <c r="BB157" s="1467"/>
      <c r="BC157" s="1467"/>
      <c r="BD157" s="1467"/>
    </row>
    <row r="158" spans="1:56" s="1467" customFormat="1" ht="59.25" customHeight="1">
      <c r="A158" s="3751"/>
      <c r="B158" s="1947" t="str">
        <f t="shared" si="16"/>
        <v>2200001979</v>
      </c>
      <c r="C158" s="1630" t="s">
        <v>206</v>
      </c>
      <c r="D158" s="2585"/>
      <c r="E158" s="2118"/>
      <c r="F158" s="1902" t="s">
        <v>84</v>
      </c>
      <c r="G158" s="2118"/>
      <c r="H158" s="1495"/>
      <c r="I158" s="1495" t="s">
        <v>19</v>
      </c>
      <c r="J158" s="1495" t="s">
        <v>74</v>
      </c>
      <c r="K158" s="1605" t="s">
        <v>7877</v>
      </c>
      <c r="L158" s="2357">
        <v>747</v>
      </c>
      <c r="M158" s="2160" t="s">
        <v>5953</v>
      </c>
      <c r="N158" s="1843"/>
      <c r="O158" s="1790">
        <v>3</v>
      </c>
      <c r="P158" s="1548"/>
      <c r="Q158" s="1493">
        <v>2200001979</v>
      </c>
      <c r="R158" s="2628" t="e">
        <f>VLOOKUP(Q158,#REF!,2,0)</f>
        <v>#REF!</v>
      </c>
      <c r="S158" s="2628" t="e">
        <f>VLOOKUP(Q158,#REF!,3,0)</f>
        <v>#REF!</v>
      </c>
      <c r="T158" s="2716" t="e">
        <f t="shared" si="14"/>
        <v>#REF!</v>
      </c>
      <c r="X158" s="1474"/>
      <c r="Y158" s="1474"/>
      <c r="Z158" s="1474"/>
    </row>
    <row r="159" spans="1:56" s="1467" customFormat="1" ht="59.25" customHeight="1">
      <c r="A159" s="3751"/>
      <c r="B159" s="1947" t="str">
        <f t="shared" si="16"/>
        <v>2200001984</v>
      </c>
      <c r="C159" s="1630" t="s">
        <v>206</v>
      </c>
      <c r="D159" s="2585"/>
      <c r="E159" s="2118"/>
      <c r="F159" s="1902" t="s">
        <v>84</v>
      </c>
      <c r="G159" s="2118"/>
      <c r="H159" s="1495"/>
      <c r="I159" s="1495" t="s">
        <v>19</v>
      </c>
      <c r="J159" s="1495" t="s">
        <v>74</v>
      </c>
      <c r="K159" s="1605" t="s">
        <v>7878</v>
      </c>
      <c r="L159" s="2357">
        <v>1064</v>
      </c>
      <c r="M159" s="2160" t="s">
        <v>7879</v>
      </c>
      <c r="N159" s="1843"/>
      <c r="O159" s="1790">
        <v>3</v>
      </c>
      <c r="P159" s="1548"/>
      <c r="Q159" s="1493"/>
      <c r="R159" s="2628"/>
      <c r="S159" s="2628"/>
      <c r="T159" s="2716"/>
      <c r="X159" s="1474"/>
      <c r="Y159" s="1474"/>
      <c r="Z159" s="1474"/>
    </row>
    <row r="160" spans="1:56" s="1467" customFormat="1" ht="59.25" customHeight="1">
      <c r="A160" s="3751"/>
      <c r="B160" s="1947" t="str">
        <f>TEXT(LEFT(K160,10),"0000000000")</f>
        <v>2200001991</v>
      </c>
      <c r="C160" s="1630" t="s">
        <v>206</v>
      </c>
      <c r="D160" s="2585"/>
      <c r="E160" s="2118"/>
      <c r="F160" s="1902" t="s">
        <v>84</v>
      </c>
      <c r="G160" s="2118"/>
      <c r="H160" s="1495"/>
      <c r="I160" s="1495" t="s">
        <v>19</v>
      </c>
      <c r="J160" s="1495" t="s">
        <v>74</v>
      </c>
      <c r="K160" s="1605" t="s">
        <v>7880</v>
      </c>
      <c r="L160" s="2357">
        <v>735</v>
      </c>
      <c r="M160" s="2160" t="s">
        <v>7881</v>
      </c>
      <c r="N160" s="1843"/>
      <c r="O160" s="1790">
        <v>3</v>
      </c>
      <c r="P160" s="1548"/>
      <c r="Q160" s="1493"/>
      <c r="R160" s="2628"/>
      <c r="S160" s="2628"/>
      <c r="T160" s="2716"/>
      <c r="X160" s="1474"/>
      <c r="Y160" s="1474"/>
      <c r="Z160" s="1474"/>
    </row>
    <row r="161" spans="1:56" s="1467" customFormat="1" ht="59.25" customHeight="1">
      <c r="A161" s="3751"/>
      <c r="B161" s="1947" t="str">
        <f t="shared" ref="B161:B167" si="17">TEXT(LEFT(K161,10),"0000000000")</f>
        <v>2200001980</v>
      </c>
      <c r="C161" s="1630" t="s">
        <v>206</v>
      </c>
      <c r="D161" s="2585"/>
      <c r="E161" s="2118"/>
      <c r="F161" s="1902" t="s">
        <v>84</v>
      </c>
      <c r="G161" s="2118"/>
      <c r="H161" s="1495"/>
      <c r="I161" s="1495" t="s">
        <v>19</v>
      </c>
      <c r="J161" s="1495" t="s">
        <v>101</v>
      </c>
      <c r="K161" s="1605" t="s">
        <v>7882</v>
      </c>
      <c r="L161" s="2357">
        <v>426</v>
      </c>
      <c r="M161" s="2160" t="s">
        <v>5953</v>
      </c>
      <c r="N161" s="1843"/>
      <c r="O161" s="1790">
        <v>3</v>
      </c>
      <c r="P161" s="1548"/>
      <c r="Q161" s="1493">
        <v>2200001980</v>
      </c>
      <c r="R161" s="2628" t="e">
        <f>VLOOKUP(Q161,#REF!,2,0)</f>
        <v>#REF!</v>
      </c>
      <c r="S161" s="2628" t="e">
        <f>VLOOKUP(Q161,#REF!,3,0)</f>
        <v>#REF!</v>
      </c>
      <c r="T161" s="2716" t="e">
        <f>R161-S161</f>
        <v>#REF!</v>
      </c>
      <c r="X161" s="1474"/>
      <c r="Y161" s="1474"/>
      <c r="Z161" s="1474"/>
    </row>
    <row r="162" spans="1:56" s="1467" customFormat="1" ht="59.25" customHeight="1">
      <c r="A162" s="3750"/>
      <c r="B162" s="1947" t="str">
        <f t="shared" si="17"/>
        <v>2200001985</v>
      </c>
      <c r="C162" s="1630" t="s">
        <v>206</v>
      </c>
      <c r="D162" s="2585"/>
      <c r="E162" s="2118"/>
      <c r="F162" s="1902" t="s">
        <v>84</v>
      </c>
      <c r="G162" s="2118"/>
      <c r="H162" s="1495"/>
      <c r="I162" s="1495" t="s">
        <v>19</v>
      </c>
      <c r="J162" s="1495" t="s">
        <v>101</v>
      </c>
      <c r="K162" s="1605" t="s">
        <v>7883</v>
      </c>
      <c r="L162" s="2357">
        <v>350</v>
      </c>
      <c r="M162" s="2160" t="s">
        <v>7879</v>
      </c>
      <c r="N162" s="1843"/>
      <c r="O162" s="1790">
        <v>3</v>
      </c>
      <c r="P162" s="1548"/>
      <c r="Q162" s="1493"/>
      <c r="R162" s="2628"/>
      <c r="S162" s="2628"/>
      <c r="T162" s="2716"/>
      <c r="X162" s="1474"/>
      <c r="Y162" s="1474"/>
      <c r="Z162" s="1474"/>
    </row>
    <row r="163" spans="1:56" s="1467" customFormat="1" ht="59.25" customHeight="1">
      <c r="A163" s="2436">
        <v>50</v>
      </c>
      <c r="B163" s="1568" t="str">
        <f>TEXT(LEFT(K163,10),"0000000000")</f>
        <v>2000002954</v>
      </c>
      <c r="C163" s="1902" t="s">
        <v>3495</v>
      </c>
      <c r="D163" s="2488">
        <v>9300</v>
      </c>
      <c r="E163" s="1921" t="s">
        <v>7884</v>
      </c>
      <c r="F163" s="1902" t="s">
        <v>3416</v>
      </c>
      <c r="G163" s="1921" t="s">
        <v>7885</v>
      </c>
      <c r="H163" s="1909" t="s">
        <v>7855</v>
      </c>
      <c r="I163" s="1921" t="s">
        <v>19</v>
      </c>
      <c r="J163" s="1921" t="s">
        <v>253</v>
      </c>
      <c r="K163" s="1845" t="s">
        <v>7886</v>
      </c>
      <c r="L163" s="2583">
        <v>9300</v>
      </c>
      <c r="M163" s="2160" t="s">
        <v>5937</v>
      </c>
      <c r="N163" s="1775"/>
      <c r="O163" s="2429">
        <v>3</v>
      </c>
      <c r="P163" s="2150"/>
      <c r="Q163" s="1902">
        <v>2000002954</v>
      </c>
      <c r="R163" s="2628" t="e">
        <f>VLOOKUP(Q163,#REF!,2,0)</f>
        <v>#REF!</v>
      </c>
      <c r="S163" s="2628" t="e">
        <f>VLOOKUP(Q163,#REF!,3,0)</f>
        <v>#REF!</v>
      </c>
      <c r="T163" s="2629" t="e">
        <f>R163-S163</f>
        <v>#REF!</v>
      </c>
      <c r="U163" s="2643"/>
      <c r="V163" s="2643"/>
      <c r="W163" s="2643"/>
      <c r="X163" s="2659"/>
      <c r="Y163" s="2659"/>
      <c r="Z163" s="2659"/>
      <c r="AA163" s="2643"/>
      <c r="AB163" s="2643"/>
      <c r="AC163" s="2643"/>
      <c r="AD163" s="2643"/>
      <c r="AE163" s="2643"/>
      <c r="AF163" s="2643"/>
      <c r="AG163" s="2643"/>
      <c r="AH163" s="2643"/>
      <c r="AI163" s="2643"/>
      <c r="AJ163" s="2643"/>
      <c r="AK163" s="2643"/>
      <c r="AL163" s="2643"/>
      <c r="AM163" s="2643"/>
      <c r="AN163" s="2643"/>
      <c r="AO163" s="2643"/>
      <c r="AP163" s="2643"/>
      <c r="AQ163" s="2643"/>
      <c r="AR163" s="2643"/>
      <c r="AS163" s="2643"/>
      <c r="AT163" s="2643"/>
      <c r="AU163" s="2643"/>
      <c r="AV163" s="2643"/>
      <c r="AW163" s="2643"/>
      <c r="AX163" s="2643"/>
      <c r="AY163" s="2643"/>
      <c r="AZ163" s="2643"/>
      <c r="BA163" s="2643"/>
      <c r="BB163" s="2643"/>
      <c r="BC163" s="2643"/>
      <c r="BD163" s="2643"/>
    </row>
    <row r="164" spans="1:56" s="1467" customFormat="1" ht="59.25" customHeight="1">
      <c r="A164" s="3744">
        <v>51</v>
      </c>
      <c r="B164" s="1568" t="str">
        <f>TEXT(LEFT(K164,10),"0000000000")</f>
        <v>2200001981</v>
      </c>
      <c r="C164" s="2180" t="s">
        <v>3908</v>
      </c>
      <c r="D164" s="2607">
        <v>4300</v>
      </c>
      <c r="E164" s="1921" t="s">
        <v>7887</v>
      </c>
      <c r="F164" s="1902" t="s">
        <v>84</v>
      </c>
      <c r="G164" s="1921" t="s">
        <v>7888</v>
      </c>
      <c r="H164" s="1909" t="s">
        <v>7855</v>
      </c>
      <c r="I164" s="1921" t="s">
        <v>19</v>
      </c>
      <c r="J164" s="1921" t="s">
        <v>959</v>
      </c>
      <c r="K164" s="1911" t="s">
        <v>7889</v>
      </c>
      <c r="L164" s="2713">
        <v>2750</v>
      </c>
      <c r="M164" s="2196" t="s">
        <v>5937</v>
      </c>
      <c r="N164" s="2675" t="s">
        <v>7890</v>
      </c>
      <c r="O164" s="2429">
        <v>3</v>
      </c>
      <c r="P164" s="2150"/>
      <c r="Q164" s="1902">
        <v>2200001981</v>
      </c>
      <c r="R164" s="2628" t="e">
        <f>VLOOKUP(Q164,#REF!,2,0)</f>
        <v>#REF!</v>
      </c>
      <c r="S164" s="2628" t="e">
        <f>VLOOKUP(Q164,#REF!,3,0)</f>
        <v>#REF!</v>
      </c>
      <c r="T164" s="2629" t="e">
        <f>R164-S164</f>
        <v>#REF!</v>
      </c>
      <c r="U164" s="2643"/>
      <c r="V164" s="2643"/>
      <c r="W164" s="2643"/>
      <c r="X164" s="2643"/>
      <c r="Y164" s="2643"/>
      <c r="Z164" s="2643"/>
      <c r="AA164" s="2643"/>
      <c r="AB164" s="2643"/>
      <c r="AC164" s="2643"/>
      <c r="AD164" s="2643"/>
      <c r="AE164" s="2643"/>
      <c r="AF164" s="2643"/>
      <c r="AG164" s="2643"/>
      <c r="AH164" s="2643"/>
      <c r="AI164" s="2643"/>
      <c r="AJ164" s="2643"/>
      <c r="AK164" s="2643"/>
      <c r="AL164" s="2643"/>
      <c r="AM164" s="2643"/>
      <c r="AN164" s="2643"/>
      <c r="AO164" s="2643"/>
      <c r="AP164" s="2643"/>
      <c r="AQ164" s="2643"/>
      <c r="AR164" s="2643"/>
      <c r="AS164" s="2643"/>
      <c r="AT164" s="2643"/>
      <c r="AU164" s="2643"/>
      <c r="AV164" s="2643"/>
      <c r="AW164" s="2643"/>
      <c r="AX164" s="2643"/>
      <c r="AY164" s="2643"/>
      <c r="AZ164" s="2643"/>
      <c r="BA164" s="2643"/>
      <c r="BB164" s="2643"/>
      <c r="BC164" s="2643"/>
      <c r="BD164" s="2643"/>
    </row>
    <row r="165" spans="1:56" s="1467" customFormat="1" ht="59.25" customHeight="1">
      <c r="A165" s="3744"/>
      <c r="B165" s="1568" t="str">
        <f t="shared" ref="B165" si="18">TEXT(LEFT(K165,10),"0000000000")</f>
        <v>2000002895</v>
      </c>
      <c r="C165" s="1780" t="s">
        <v>3908</v>
      </c>
      <c r="D165" s="1494"/>
      <c r="E165" s="1495"/>
      <c r="F165" s="1493" t="s">
        <v>84</v>
      </c>
      <c r="G165" s="1495"/>
      <c r="H165" s="1748"/>
      <c r="I165" s="1495" t="s">
        <v>19</v>
      </c>
      <c r="J165" s="1495" t="s">
        <v>959</v>
      </c>
      <c r="K165" s="1600" t="s">
        <v>7891</v>
      </c>
      <c r="L165" s="2357">
        <v>1600</v>
      </c>
      <c r="M165" s="1780" t="s">
        <v>7892</v>
      </c>
      <c r="N165" s="1775"/>
      <c r="O165" s="1790">
        <v>3</v>
      </c>
      <c r="P165" s="2150"/>
      <c r="Q165" s="2150"/>
      <c r="R165" s="1902"/>
      <c r="S165" s="1902"/>
      <c r="T165" s="1902"/>
      <c r="U165" s="2643"/>
      <c r="V165" s="2643"/>
      <c r="W165" s="2643"/>
      <c r="X165" s="2643"/>
      <c r="Y165" s="2643"/>
      <c r="Z165" s="2643"/>
      <c r="AA165" s="2643"/>
      <c r="AB165" s="2643"/>
      <c r="AC165" s="2643"/>
      <c r="AD165" s="2643"/>
      <c r="AE165" s="2643"/>
      <c r="AF165" s="2643"/>
      <c r="AG165" s="2643"/>
      <c r="AH165" s="2643"/>
      <c r="AI165" s="2643"/>
      <c r="AJ165" s="2643"/>
      <c r="AK165" s="2643"/>
      <c r="AL165" s="2643"/>
      <c r="AM165" s="2643"/>
      <c r="AN165" s="2643"/>
      <c r="AO165" s="2643"/>
      <c r="AP165" s="2643"/>
      <c r="AQ165" s="2643"/>
      <c r="AR165" s="2643"/>
      <c r="AS165" s="2643"/>
      <c r="AT165" s="2643"/>
      <c r="AU165" s="2643"/>
      <c r="AV165" s="2643"/>
      <c r="AW165" s="2643"/>
      <c r="AX165" s="2643"/>
      <c r="AY165" s="2643"/>
      <c r="AZ165" s="2643"/>
      <c r="BA165" s="2643"/>
      <c r="BB165" s="2643"/>
      <c r="BC165" s="2643"/>
      <c r="BD165" s="2643"/>
    </row>
    <row r="166" spans="1:56" s="1467" customFormat="1" ht="59.25" customHeight="1">
      <c r="A166" s="3744">
        <v>52</v>
      </c>
      <c r="B166" s="2159" t="str">
        <f>TEXT(LEFT(K166,10),"0000000000")</f>
        <v>2200001985</v>
      </c>
      <c r="C166" s="1902" t="s">
        <v>3464</v>
      </c>
      <c r="D166" s="2607">
        <v>3180</v>
      </c>
      <c r="E166" s="1921" t="s">
        <v>7893</v>
      </c>
      <c r="F166" s="1902" t="s">
        <v>89</v>
      </c>
      <c r="G166" s="1921" t="s">
        <v>7894</v>
      </c>
      <c r="H166" s="1909" t="s">
        <v>7855</v>
      </c>
      <c r="I166" s="1921" t="s">
        <v>19</v>
      </c>
      <c r="J166" s="1921" t="s">
        <v>101</v>
      </c>
      <c r="K166" s="1845" t="s">
        <v>7895</v>
      </c>
      <c r="L166" s="2583">
        <v>1327</v>
      </c>
      <c r="M166" s="2160" t="s">
        <v>7879</v>
      </c>
      <c r="N166" s="1859"/>
      <c r="O166" s="1790">
        <v>3</v>
      </c>
      <c r="P166" s="1548"/>
      <c r="Q166" s="1493"/>
      <c r="R166" s="2628"/>
      <c r="S166" s="2628"/>
      <c r="T166" s="2629"/>
      <c r="X166" s="1474"/>
      <c r="Y166" s="1474"/>
      <c r="Z166" s="1474"/>
    </row>
    <row r="167" spans="1:56" s="1467" customFormat="1" ht="58.5" customHeight="1">
      <c r="A167" s="3744"/>
      <c r="B167" s="1947" t="str">
        <f t="shared" si="17"/>
        <v>2200001986</v>
      </c>
      <c r="C167" s="1493" t="s">
        <v>3464</v>
      </c>
      <c r="D167" s="1808"/>
      <c r="E167" s="1495"/>
      <c r="F167" s="1493" t="s">
        <v>89</v>
      </c>
      <c r="G167" s="1495"/>
      <c r="H167" s="1495"/>
      <c r="I167" s="1495" t="s">
        <v>19</v>
      </c>
      <c r="J167" s="1495" t="s">
        <v>101</v>
      </c>
      <c r="K167" s="1600" t="s">
        <v>7896</v>
      </c>
      <c r="L167" s="2357">
        <v>1893</v>
      </c>
      <c r="M167" s="2030" t="s">
        <v>5961</v>
      </c>
      <c r="N167" s="1843"/>
      <c r="O167" s="1790">
        <v>3</v>
      </c>
      <c r="P167" s="1548"/>
      <c r="Q167" s="1548"/>
      <c r="R167" s="1493"/>
      <c r="S167" s="1493"/>
      <c r="T167" s="1493"/>
    </row>
    <row r="168" spans="1:56" s="1467" customFormat="1" ht="58.5" customHeight="1">
      <c r="A168" s="3735">
        <v>53</v>
      </c>
      <c r="B168" s="2279" t="str">
        <f t="shared" ref="B168:B177" si="19">TEXT(LEFT(K168,10),"0000000000")</f>
        <v>2200001946</v>
      </c>
      <c r="C168" s="1493" t="s">
        <v>2468</v>
      </c>
      <c r="D168" s="2325">
        <v>911</v>
      </c>
      <c r="E168" s="1495" t="s">
        <v>7897</v>
      </c>
      <c r="F168" s="1493" t="s">
        <v>89</v>
      </c>
      <c r="G168" s="1495"/>
      <c r="H168" s="1495" t="s">
        <v>1599</v>
      </c>
      <c r="I168" s="1495" t="s">
        <v>19</v>
      </c>
      <c r="J168" s="1495" t="s">
        <v>234</v>
      </c>
      <c r="K168" s="1845" t="s">
        <v>6457</v>
      </c>
      <c r="L168" s="2583">
        <v>911</v>
      </c>
      <c r="M168" s="2584" t="s">
        <v>5961</v>
      </c>
      <c r="N168" s="1859"/>
      <c r="O168" s="1790">
        <v>1</v>
      </c>
      <c r="P168" s="1548"/>
      <c r="Q168" s="1548"/>
      <c r="R168" s="1493"/>
      <c r="S168" s="1493"/>
      <c r="T168" s="1493"/>
    </row>
    <row r="169" spans="1:56" s="1467" customFormat="1" ht="58.5" customHeight="1">
      <c r="A169" s="3736"/>
      <c r="B169" s="2279" t="str">
        <f t="shared" si="19"/>
        <v>2200001951</v>
      </c>
      <c r="C169" s="1493" t="s">
        <v>2468</v>
      </c>
      <c r="D169" s="2325">
        <v>3998</v>
      </c>
      <c r="E169" s="1495" t="s">
        <v>7897</v>
      </c>
      <c r="F169" s="1493" t="s">
        <v>89</v>
      </c>
      <c r="G169" s="1495"/>
      <c r="H169" s="1495" t="s">
        <v>1599</v>
      </c>
      <c r="I169" s="1495" t="s">
        <v>19</v>
      </c>
      <c r="J169" s="1495" t="s">
        <v>234</v>
      </c>
      <c r="K169" s="1600" t="s">
        <v>7898</v>
      </c>
      <c r="L169" s="2357">
        <v>3998</v>
      </c>
      <c r="M169" s="2196" t="s">
        <v>5953</v>
      </c>
      <c r="N169" s="1859"/>
      <c r="O169" s="1790">
        <v>1</v>
      </c>
      <c r="P169" s="1548"/>
      <c r="Q169" s="1493">
        <v>2200001951</v>
      </c>
      <c r="R169" s="2628" t="e">
        <f>VLOOKUP(Q169,#REF!,2,0)</f>
        <v>#REF!</v>
      </c>
      <c r="S169" s="2628" t="e">
        <f>VLOOKUP(Q169,#REF!,3,0)</f>
        <v>#REF!</v>
      </c>
      <c r="T169" s="2629" t="e">
        <f>R169-S169</f>
        <v>#REF!</v>
      </c>
      <c r="X169" s="1474"/>
      <c r="Y169" s="1474"/>
      <c r="Z169" s="1474"/>
    </row>
    <row r="170" spans="1:56" s="1467" customFormat="1" ht="58.5" customHeight="1">
      <c r="A170" s="3736"/>
      <c r="B170" s="2279" t="str">
        <f t="shared" si="19"/>
        <v>2200001959</v>
      </c>
      <c r="C170" s="1493" t="s">
        <v>2468</v>
      </c>
      <c r="D170" s="2325">
        <v>359</v>
      </c>
      <c r="E170" s="1495" t="s">
        <v>7897</v>
      </c>
      <c r="F170" s="1493" t="s">
        <v>89</v>
      </c>
      <c r="G170" s="1495"/>
      <c r="H170" s="1495" t="s">
        <v>1599</v>
      </c>
      <c r="I170" s="1495" t="s">
        <v>19</v>
      </c>
      <c r="J170" s="1495" t="s">
        <v>234</v>
      </c>
      <c r="K170" s="1547" t="s">
        <v>7899</v>
      </c>
      <c r="L170" s="2357">
        <v>359</v>
      </c>
      <c r="M170" s="2196" t="s">
        <v>5953</v>
      </c>
      <c r="N170" s="1859"/>
      <c r="O170" s="1790">
        <v>1</v>
      </c>
      <c r="P170" s="1548"/>
      <c r="Q170" s="1493">
        <v>2200001959</v>
      </c>
      <c r="R170" s="2628" t="e">
        <f>VLOOKUP(Q170,#REF!,2,0)</f>
        <v>#REF!</v>
      </c>
      <c r="S170" s="2628" t="e">
        <f>VLOOKUP(Q170,#REF!,3,0)</f>
        <v>#REF!</v>
      </c>
      <c r="T170" s="2629" t="e">
        <f>R170-S170</f>
        <v>#REF!</v>
      </c>
      <c r="X170" s="1474"/>
      <c r="Y170" s="1474"/>
      <c r="Z170" s="1474"/>
    </row>
    <row r="171" spans="1:56" s="1467" customFormat="1" ht="58.5" customHeight="1">
      <c r="A171" s="3736"/>
      <c r="B171" s="2279" t="str">
        <f t="shared" si="19"/>
        <v>2200001963</v>
      </c>
      <c r="C171" s="1493" t="s">
        <v>2468</v>
      </c>
      <c r="D171" s="2325">
        <v>600</v>
      </c>
      <c r="E171" s="1495" t="s">
        <v>7897</v>
      </c>
      <c r="F171" s="1493" t="s">
        <v>89</v>
      </c>
      <c r="G171" s="1495"/>
      <c r="H171" s="1495" t="s">
        <v>1599</v>
      </c>
      <c r="I171" s="1495" t="s">
        <v>19</v>
      </c>
      <c r="J171" s="1495" t="s">
        <v>234</v>
      </c>
      <c r="K171" s="1547" t="s">
        <v>7900</v>
      </c>
      <c r="L171" s="2357">
        <v>600</v>
      </c>
      <c r="M171" s="2658" t="s">
        <v>5961</v>
      </c>
      <c r="N171" s="1859"/>
      <c r="O171" s="1790">
        <v>1</v>
      </c>
      <c r="P171" s="1548"/>
      <c r="Q171" s="1548"/>
      <c r="R171" s="1493"/>
      <c r="S171" s="1493"/>
      <c r="T171" s="1493"/>
    </row>
    <row r="172" spans="1:56" s="1467" customFormat="1" ht="58.5" customHeight="1">
      <c r="A172" s="3736"/>
      <c r="B172" s="2279" t="str">
        <f t="shared" si="19"/>
        <v>2200001969</v>
      </c>
      <c r="C172" s="1493" t="s">
        <v>2468</v>
      </c>
      <c r="D172" s="2325">
        <v>209</v>
      </c>
      <c r="E172" s="1495" t="s">
        <v>7897</v>
      </c>
      <c r="F172" s="1493" t="s">
        <v>89</v>
      </c>
      <c r="G172" s="1495"/>
      <c r="H172" s="1495" t="s">
        <v>1599</v>
      </c>
      <c r="I172" s="1495" t="s">
        <v>19</v>
      </c>
      <c r="J172" s="1495" t="s">
        <v>234</v>
      </c>
      <c r="K172" s="1600" t="s">
        <v>7901</v>
      </c>
      <c r="L172" s="2357">
        <v>209</v>
      </c>
      <c r="M172" s="2658" t="s">
        <v>5961</v>
      </c>
      <c r="N172" s="1859"/>
      <c r="O172" s="1790">
        <v>1</v>
      </c>
      <c r="P172" s="1548"/>
      <c r="Q172" s="1548"/>
      <c r="R172" s="1493"/>
      <c r="S172" s="1493"/>
      <c r="T172" s="1493"/>
    </row>
    <row r="173" spans="1:56" s="1467" customFormat="1" ht="58.5" customHeight="1">
      <c r="A173" s="3736"/>
      <c r="B173" s="2279" t="str">
        <f t="shared" si="19"/>
        <v>2200001966</v>
      </c>
      <c r="C173" s="1493" t="s">
        <v>2468</v>
      </c>
      <c r="D173" s="2325">
        <v>2579</v>
      </c>
      <c r="E173" s="1495" t="s">
        <v>7902</v>
      </c>
      <c r="F173" s="1493" t="s">
        <v>89</v>
      </c>
      <c r="G173" s="1495"/>
      <c r="H173" s="1495" t="s">
        <v>1599</v>
      </c>
      <c r="I173" s="1495" t="s">
        <v>19</v>
      </c>
      <c r="J173" s="1495" t="s">
        <v>234</v>
      </c>
      <c r="K173" s="1547" t="s">
        <v>7903</v>
      </c>
      <c r="L173" s="2357">
        <v>2579</v>
      </c>
      <c r="M173" s="2584" t="s">
        <v>5937</v>
      </c>
      <c r="N173" s="1859"/>
      <c r="O173" s="1790">
        <v>2</v>
      </c>
      <c r="P173" s="1548"/>
      <c r="Q173" s="1493">
        <v>2200001966</v>
      </c>
      <c r="R173" s="2628" t="e">
        <f>VLOOKUP(Q173,#REF!,2,0)</f>
        <v>#REF!</v>
      </c>
      <c r="S173" s="2628" t="e">
        <f>VLOOKUP(Q173,#REF!,3,0)</f>
        <v>#REF!</v>
      </c>
      <c r="T173" s="2629" t="e">
        <f>R173-S173</f>
        <v>#REF!</v>
      </c>
      <c r="X173" s="1474"/>
      <c r="Y173" s="1474"/>
      <c r="Z173" s="1474"/>
    </row>
    <row r="174" spans="1:56" s="1467" customFormat="1" ht="58.5" customHeight="1">
      <c r="A174" s="3736"/>
      <c r="B174" s="2279" t="str">
        <f t="shared" si="19"/>
        <v>2000002920</v>
      </c>
      <c r="C174" s="1493" t="s">
        <v>2468</v>
      </c>
      <c r="D174" s="2325">
        <v>2000</v>
      </c>
      <c r="E174" s="1495" t="s">
        <v>7904</v>
      </c>
      <c r="F174" s="1493" t="s">
        <v>89</v>
      </c>
      <c r="G174" s="1495"/>
      <c r="H174" s="1495" t="s">
        <v>1599</v>
      </c>
      <c r="I174" s="1495" t="s">
        <v>19</v>
      </c>
      <c r="J174" s="1495" t="s">
        <v>234</v>
      </c>
      <c r="K174" s="1547" t="s">
        <v>7905</v>
      </c>
      <c r="L174" s="2357">
        <v>2000</v>
      </c>
      <c r="M174" s="2658" t="s">
        <v>5961</v>
      </c>
      <c r="N174" s="1859"/>
      <c r="O174" s="1790">
        <v>2</v>
      </c>
      <c r="P174" s="1548"/>
      <c r="Q174" s="1548"/>
      <c r="R174" s="1493"/>
      <c r="S174" s="1493"/>
      <c r="T174" s="1493"/>
    </row>
    <row r="175" spans="1:56" s="1467" customFormat="1" ht="58.5" customHeight="1">
      <c r="A175" s="3736"/>
      <c r="B175" s="2279" t="str">
        <f t="shared" si="19"/>
        <v>2200001971</v>
      </c>
      <c r="C175" s="1493" t="s">
        <v>2468</v>
      </c>
      <c r="D175" s="2325">
        <v>1770</v>
      </c>
      <c r="E175" s="1495" t="s">
        <v>7906</v>
      </c>
      <c r="F175" s="1493" t="s">
        <v>89</v>
      </c>
      <c r="G175" s="1495"/>
      <c r="H175" s="1495" t="s">
        <v>1599</v>
      </c>
      <c r="I175" s="1495" t="s">
        <v>19</v>
      </c>
      <c r="J175" s="1495" t="s">
        <v>234</v>
      </c>
      <c r="K175" s="1547" t="s">
        <v>7907</v>
      </c>
      <c r="L175" s="2357">
        <v>1770</v>
      </c>
      <c r="M175" s="1495" t="s">
        <v>7588</v>
      </c>
      <c r="N175" s="1859"/>
      <c r="O175" s="1790">
        <v>2</v>
      </c>
      <c r="P175" s="1548"/>
      <c r="Q175" s="1548"/>
      <c r="R175" s="1493"/>
      <c r="S175" s="1493"/>
      <c r="T175" s="1493"/>
    </row>
    <row r="176" spans="1:56" s="1467" customFormat="1" ht="58.5" customHeight="1">
      <c r="A176" s="3736"/>
      <c r="B176" s="2279" t="str">
        <f t="shared" si="19"/>
        <v>2200001974</v>
      </c>
      <c r="C176" s="1493" t="s">
        <v>2468</v>
      </c>
      <c r="D176" s="2325">
        <v>4857</v>
      </c>
      <c r="E176" s="1495" t="s">
        <v>7908</v>
      </c>
      <c r="F176" s="1493" t="s">
        <v>89</v>
      </c>
      <c r="G176" s="1495"/>
      <c r="H176" s="1495" t="s">
        <v>1599</v>
      </c>
      <c r="I176" s="1495" t="s">
        <v>19</v>
      </c>
      <c r="J176" s="1495" t="s">
        <v>234</v>
      </c>
      <c r="K176" s="1547" t="s">
        <v>7909</v>
      </c>
      <c r="L176" s="2357">
        <v>4857</v>
      </c>
      <c r="M176" s="2196" t="s">
        <v>7293</v>
      </c>
      <c r="N176" s="1859"/>
      <c r="O176" s="1790">
        <v>2</v>
      </c>
      <c r="P176" s="1548"/>
      <c r="Q176" s="1493">
        <v>2200001974</v>
      </c>
      <c r="R176" s="2628" t="e">
        <f>VLOOKUP(Q176,#REF!,2,0)</f>
        <v>#REF!</v>
      </c>
      <c r="S176" s="2628" t="e">
        <f>VLOOKUP(Q176,#REF!,3,0)</f>
        <v>#REF!</v>
      </c>
      <c r="T176" s="2629" t="e">
        <f>R176-S176</f>
        <v>#REF!</v>
      </c>
      <c r="X176" s="1474"/>
      <c r="Y176" s="1474"/>
      <c r="Z176" s="1474"/>
    </row>
    <row r="177" spans="1:26" s="1467" customFormat="1" ht="58.5" customHeight="1">
      <c r="A177" s="3736"/>
      <c r="B177" s="2279" t="str">
        <f t="shared" si="19"/>
        <v>2200001977</v>
      </c>
      <c r="C177" s="1493" t="s">
        <v>2468</v>
      </c>
      <c r="D177" s="2325">
        <v>2170</v>
      </c>
      <c r="E177" s="1495" t="s">
        <v>7910</v>
      </c>
      <c r="F177" s="1493" t="s">
        <v>89</v>
      </c>
      <c r="G177" s="1495"/>
      <c r="H177" s="1495" t="s">
        <v>1599</v>
      </c>
      <c r="I177" s="1495" t="s">
        <v>19</v>
      </c>
      <c r="J177" s="1495" t="s">
        <v>234</v>
      </c>
      <c r="K177" s="1547" t="s">
        <v>7911</v>
      </c>
      <c r="L177" s="2357">
        <v>2170</v>
      </c>
      <c r="M177" s="2196" t="s">
        <v>7293</v>
      </c>
      <c r="N177" s="1859"/>
      <c r="O177" s="1790">
        <v>3</v>
      </c>
      <c r="P177" s="1548"/>
      <c r="Q177" s="1493">
        <v>2200001977</v>
      </c>
      <c r="R177" s="2628" t="e">
        <f>VLOOKUP(Q177,#REF!,2,0)</f>
        <v>#REF!</v>
      </c>
      <c r="S177" s="2628" t="e">
        <f>VLOOKUP(Q177,#REF!,3,0)</f>
        <v>#REF!</v>
      </c>
      <c r="T177" s="2629" t="e">
        <f>R177-S177</f>
        <v>#REF!</v>
      </c>
      <c r="X177" s="1474"/>
      <c r="Y177" s="1474"/>
      <c r="Z177" s="1474"/>
    </row>
    <row r="178" spans="1:26" s="1467" customFormat="1" ht="58.5" customHeight="1">
      <c r="A178" s="3736"/>
      <c r="B178" s="2279" t="str">
        <f>TEXT(LEFT(K178,10),"0000000000")</f>
        <v>2200001983</v>
      </c>
      <c r="C178" s="1493" t="s">
        <v>2468</v>
      </c>
      <c r="D178" s="1494">
        <v>3237</v>
      </c>
      <c r="E178" s="1495" t="s">
        <v>7912</v>
      </c>
      <c r="F178" s="1493" t="s">
        <v>89</v>
      </c>
      <c r="G178" s="1495"/>
      <c r="H178" s="1495" t="s">
        <v>1599</v>
      </c>
      <c r="I178" s="1495" t="s">
        <v>19</v>
      </c>
      <c r="J178" s="1495" t="s">
        <v>234</v>
      </c>
      <c r="K178" s="1600" t="s">
        <v>7913</v>
      </c>
      <c r="L178" s="2357">
        <v>3237</v>
      </c>
      <c r="M178" s="1495" t="s">
        <v>7914</v>
      </c>
      <c r="N178" s="1859"/>
      <c r="O178" s="1790">
        <v>3</v>
      </c>
      <c r="P178" s="1548"/>
      <c r="Q178" s="1493"/>
      <c r="R178" s="2628"/>
      <c r="S178" s="2628"/>
      <c r="T178" s="2629"/>
      <c r="X178" s="1474"/>
      <c r="Y178" s="1474"/>
      <c r="Z178" s="1474"/>
    </row>
    <row r="179" spans="1:26" s="1467" customFormat="1" ht="58.5" customHeight="1">
      <c r="A179" s="3736"/>
      <c r="B179" s="2279" t="str">
        <f>TEXT(LEFT(K179,10),"0000000000")</f>
        <v>2200001987</v>
      </c>
      <c r="C179" s="1493" t="s">
        <v>2468</v>
      </c>
      <c r="D179" s="1494">
        <v>3237</v>
      </c>
      <c r="E179" s="1495" t="s">
        <v>7915</v>
      </c>
      <c r="F179" s="1493" t="s">
        <v>89</v>
      </c>
      <c r="G179" s="1495"/>
      <c r="H179" s="1495" t="s">
        <v>1599</v>
      </c>
      <c r="I179" s="1495" t="s">
        <v>19</v>
      </c>
      <c r="J179" s="1495" t="s">
        <v>234</v>
      </c>
      <c r="K179" s="1600" t="s">
        <v>7916</v>
      </c>
      <c r="L179" s="2357">
        <v>532</v>
      </c>
      <c r="M179" s="1495" t="s">
        <v>5961</v>
      </c>
      <c r="N179" s="1859"/>
      <c r="O179" s="1790">
        <v>3</v>
      </c>
      <c r="P179" s="1548"/>
      <c r="Q179" s="1493"/>
      <c r="R179" s="2628"/>
      <c r="S179" s="2628"/>
      <c r="T179" s="2629"/>
      <c r="X179" s="1474"/>
      <c r="Y179" s="1474"/>
      <c r="Z179" s="1474"/>
    </row>
    <row r="180" spans="1:26" s="1467" customFormat="1" ht="58.5" customHeight="1">
      <c r="A180" s="3737"/>
      <c r="B180" s="2279" t="str">
        <f>TEXT(LEFT(K180,10),"0000000000")</f>
        <v>2200001993</v>
      </c>
      <c r="C180" s="1493" t="s">
        <v>2468</v>
      </c>
      <c r="D180" s="1494">
        <v>1298</v>
      </c>
      <c r="E180" s="1495" t="s">
        <v>7917</v>
      </c>
      <c r="F180" s="1493" t="s">
        <v>89</v>
      </c>
      <c r="G180" s="1495"/>
      <c r="H180" s="1495" t="s">
        <v>7918</v>
      </c>
      <c r="I180" s="1495" t="s">
        <v>19</v>
      </c>
      <c r="J180" s="1495" t="s">
        <v>234</v>
      </c>
      <c r="K180" s="1600" t="s">
        <v>7919</v>
      </c>
      <c r="L180" s="2357">
        <v>1298</v>
      </c>
      <c r="M180" s="2196" t="s">
        <v>5937</v>
      </c>
      <c r="N180" s="1859"/>
      <c r="O180" s="1790">
        <v>3</v>
      </c>
      <c r="P180" s="1548"/>
      <c r="Q180" s="1493"/>
      <c r="R180" s="2628"/>
      <c r="S180" s="2628"/>
      <c r="T180" s="2629"/>
      <c r="X180" s="1474"/>
      <c r="Y180" s="1474"/>
      <c r="Z180" s="1474"/>
    </row>
    <row r="181" spans="1:26" ht="58.5" customHeight="1">
      <c r="A181" s="874"/>
      <c r="B181" s="2514"/>
      <c r="C181" s="102"/>
      <c r="D181" s="2513"/>
      <c r="E181" s="109"/>
      <c r="F181" s="102"/>
      <c r="G181" s="109"/>
      <c r="H181" s="109"/>
      <c r="I181" s="109"/>
      <c r="J181" s="109"/>
      <c r="K181" s="143"/>
      <c r="L181" s="2216"/>
      <c r="M181" s="109"/>
      <c r="N181" s="2389"/>
      <c r="O181" s="1853"/>
      <c r="P181" s="1777"/>
      <c r="Q181" s="102"/>
      <c r="R181" s="2653"/>
      <c r="S181" s="2653"/>
      <c r="T181" s="2623"/>
    </row>
    <row r="182" spans="1:26" ht="58.5" customHeight="1">
      <c r="A182" s="874"/>
      <c r="B182" s="2514"/>
      <c r="C182" s="102"/>
      <c r="D182" s="2513"/>
      <c r="E182" s="109"/>
      <c r="F182" s="102"/>
      <c r="G182" s="109"/>
      <c r="H182" s="109"/>
      <c r="I182" s="109"/>
      <c r="J182" s="109"/>
      <c r="K182" s="143"/>
      <c r="L182" s="2648"/>
      <c r="M182" s="111"/>
      <c r="N182" s="2389"/>
      <c r="O182" s="1853"/>
      <c r="P182" s="1777"/>
      <c r="Q182" s="102"/>
      <c r="R182" s="2653"/>
      <c r="S182" s="2653"/>
      <c r="T182" s="2623"/>
    </row>
    <row r="183" spans="1:26" ht="58.5" customHeight="1">
      <c r="A183" s="874"/>
      <c r="B183" s="2514"/>
      <c r="C183" s="102"/>
      <c r="D183" s="2513"/>
      <c r="E183" s="109"/>
      <c r="F183" s="102"/>
      <c r="G183" s="109"/>
      <c r="H183" s="109"/>
      <c r="I183" s="109"/>
      <c r="J183" s="109"/>
      <c r="K183" s="696"/>
      <c r="L183" s="2216"/>
      <c r="M183" s="2446"/>
      <c r="N183" s="2389"/>
      <c r="O183" s="1853"/>
      <c r="P183" s="1777"/>
      <c r="Q183" s="102"/>
      <c r="R183" s="2653"/>
      <c r="S183" s="2653"/>
      <c r="T183" s="2623"/>
    </row>
    <row r="184" spans="1:26" ht="58.5" customHeight="1">
      <c r="A184" s="874"/>
      <c r="B184" s="2514"/>
      <c r="C184" s="102"/>
      <c r="D184" s="104"/>
      <c r="E184" s="109"/>
      <c r="F184" s="102"/>
      <c r="G184" s="109"/>
      <c r="H184" s="109"/>
      <c r="I184" s="109"/>
      <c r="J184" s="109"/>
      <c r="K184" s="143"/>
      <c r="L184" s="2644"/>
      <c r="M184" s="109"/>
      <c r="N184" s="2389"/>
      <c r="O184" s="1853"/>
      <c r="P184" s="1777"/>
      <c r="Q184" s="102"/>
      <c r="R184" s="2653"/>
      <c r="S184" s="2653"/>
      <c r="T184" s="2623"/>
    </row>
    <row r="185" spans="1:26" ht="58.5" customHeight="1">
      <c r="A185" s="874"/>
      <c r="B185" s="2514"/>
      <c r="C185" s="102"/>
      <c r="D185" s="104"/>
      <c r="E185" s="109"/>
      <c r="F185" s="102"/>
      <c r="G185" s="109"/>
      <c r="H185" s="109"/>
      <c r="I185" s="109"/>
      <c r="J185" s="109"/>
      <c r="K185" s="143"/>
      <c r="L185" s="2644"/>
      <c r="M185" s="109"/>
      <c r="O185" s="1853"/>
      <c r="P185" s="1777"/>
      <c r="Q185" s="102"/>
      <c r="R185" s="2653"/>
      <c r="S185" s="2653"/>
      <c r="T185" s="2623"/>
    </row>
    <row r="186" spans="1:26" ht="58.5" customHeight="1">
      <c r="A186" s="874"/>
      <c r="B186" s="2514"/>
      <c r="C186" s="102"/>
      <c r="D186" s="104"/>
      <c r="E186" s="109"/>
      <c r="F186" s="102"/>
      <c r="G186" s="109"/>
      <c r="H186" s="109"/>
      <c r="I186" s="109"/>
      <c r="J186" s="109"/>
      <c r="K186" s="143"/>
      <c r="L186" s="2644"/>
      <c r="M186" s="109"/>
      <c r="N186" s="2389"/>
      <c r="O186" s="1853"/>
      <c r="P186" s="1777"/>
      <c r="Q186" s="102"/>
      <c r="R186" s="2653"/>
      <c r="S186" s="2653"/>
      <c r="T186" s="2623"/>
    </row>
    <row r="187" spans="1:26" ht="58.5" customHeight="1">
      <c r="A187" s="738"/>
      <c r="B187" s="2514"/>
      <c r="C187" s="102"/>
      <c r="D187" s="1277"/>
      <c r="E187" s="109"/>
      <c r="F187" s="102"/>
      <c r="G187" s="109"/>
      <c r="H187" s="109"/>
      <c r="I187" s="109"/>
      <c r="J187" s="109"/>
      <c r="K187" s="143"/>
      <c r="L187" s="2216"/>
      <c r="M187" s="1772"/>
      <c r="N187" s="2389"/>
      <c r="O187" s="2390"/>
      <c r="P187" s="1777"/>
      <c r="Q187" s="102"/>
      <c r="R187" s="102"/>
      <c r="S187" s="102"/>
      <c r="T187" s="2542"/>
      <c r="X187" s="3"/>
      <c r="Y187" s="3"/>
      <c r="Z187" s="3"/>
    </row>
    <row r="188" spans="1:26" ht="58.5" customHeight="1">
      <c r="A188" s="874"/>
      <c r="B188" s="2514"/>
      <c r="C188" s="102"/>
      <c r="D188" s="104"/>
      <c r="E188" s="109"/>
      <c r="F188" s="102"/>
      <c r="G188" s="109"/>
      <c r="H188" s="109"/>
      <c r="I188" s="109"/>
      <c r="J188" s="109"/>
      <c r="K188" s="143"/>
      <c r="L188" s="2644"/>
      <c r="M188" s="109"/>
      <c r="N188" s="157"/>
      <c r="O188" s="1853"/>
      <c r="P188" s="1777"/>
      <c r="Q188" s="102"/>
      <c r="R188" s="2653"/>
      <c r="S188" s="2653"/>
      <c r="T188" s="2623"/>
    </row>
    <row r="189" spans="1:26" ht="58.5" customHeight="1">
      <c r="A189" s="738"/>
      <c r="B189" s="2514"/>
      <c r="C189" s="102"/>
      <c r="D189" s="1277"/>
      <c r="E189" s="109"/>
      <c r="F189" s="102"/>
      <c r="G189" s="109"/>
      <c r="H189" s="109"/>
      <c r="I189" s="109"/>
      <c r="J189" s="109"/>
      <c r="K189" s="696"/>
      <c r="L189" s="2216"/>
      <c r="M189" s="109"/>
      <c r="N189" s="2389"/>
      <c r="O189" s="1853"/>
      <c r="P189" s="1777"/>
      <c r="Q189" s="102"/>
      <c r="R189" s="2653"/>
      <c r="S189" s="2653"/>
      <c r="T189" s="2623"/>
    </row>
    <row r="190" spans="1:26" ht="58.5" customHeight="1">
      <c r="A190" s="738"/>
      <c r="B190" s="2514"/>
      <c r="C190" s="102"/>
      <c r="D190" s="1167"/>
      <c r="E190" s="109"/>
      <c r="F190" s="102"/>
      <c r="G190" s="109"/>
      <c r="H190" s="109"/>
      <c r="I190" s="109"/>
      <c r="J190" s="109"/>
      <c r="K190" s="143"/>
      <c r="L190" s="2216"/>
      <c r="M190" s="109"/>
      <c r="N190" s="2389"/>
      <c r="O190" s="1853"/>
      <c r="P190" s="1777"/>
      <c r="Q190" s="102"/>
      <c r="R190" s="102"/>
      <c r="S190" s="102"/>
      <c r="T190" s="2542"/>
      <c r="X190" s="3"/>
      <c r="Y190" s="3"/>
      <c r="Z190" s="3"/>
    </row>
    <row r="191" spans="1:26" ht="58.5" customHeight="1">
      <c r="A191" s="738"/>
      <c r="B191" s="2514"/>
      <c r="C191" s="102"/>
      <c r="D191" s="1277"/>
      <c r="E191" s="109"/>
      <c r="F191" s="102"/>
      <c r="G191" s="109"/>
      <c r="H191" s="109"/>
      <c r="I191" s="109"/>
      <c r="J191" s="109"/>
      <c r="K191" s="143"/>
      <c r="L191" s="2216"/>
      <c r="M191" s="109"/>
      <c r="N191" s="2389"/>
      <c r="O191" s="1853"/>
      <c r="P191" s="1777"/>
      <c r="Q191" s="102"/>
      <c r="R191" s="2653"/>
      <c r="S191" s="2653"/>
      <c r="T191" s="2623"/>
    </row>
    <row r="192" spans="1:26" ht="58.5" customHeight="1">
      <c r="A192" s="738"/>
      <c r="B192" s="2514"/>
      <c r="C192" s="102"/>
      <c r="D192" s="2513"/>
      <c r="E192" s="109"/>
      <c r="F192" s="102"/>
      <c r="G192" s="109"/>
      <c r="H192" s="109"/>
      <c r="I192" s="109"/>
      <c r="J192" s="109"/>
      <c r="K192" s="696"/>
      <c r="L192" s="2216"/>
      <c r="M192" s="1772"/>
      <c r="N192" s="157"/>
      <c r="O192" s="1853"/>
      <c r="P192" s="1777"/>
      <c r="Q192" s="1777"/>
      <c r="R192" s="1777"/>
      <c r="S192" s="1777"/>
      <c r="T192" s="1777"/>
      <c r="U192" s="2678"/>
      <c r="X192" s="3"/>
      <c r="Y192" s="3"/>
      <c r="Z192" s="3"/>
    </row>
    <row r="193" spans="1:56" ht="58.5" customHeight="1">
      <c r="A193" s="738"/>
      <c r="B193" s="2514"/>
      <c r="C193" s="102"/>
      <c r="D193" s="2513"/>
      <c r="E193" s="109"/>
      <c r="F193" s="102"/>
      <c r="G193" s="109"/>
      <c r="H193" s="109"/>
      <c r="I193" s="109"/>
      <c r="J193" s="109"/>
      <c r="K193" s="696"/>
      <c r="L193" s="2216"/>
      <c r="M193" s="2446"/>
      <c r="N193" s="157"/>
      <c r="O193" s="1853"/>
      <c r="P193" s="1777"/>
      <c r="Q193" s="102"/>
      <c r="R193" s="2653"/>
      <c r="S193" s="2653"/>
      <c r="T193" s="2623"/>
      <c r="U193" s="2678"/>
    </row>
    <row r="194" spans="1:56" ht="58.5" customHeight="1">
      <c r="A194" s="738"/>
      <c r="B194" s="2514"/>
      <c r="C194" s="102"/>
      <c r="D194" s="1167"/>
      <c r="E194" s="109"/>
      <c r="F194" s="102"/>
      <c r="G194" s="109"/>
      <c r="H194" s="109"/>
      <c r="I194" s="109"/>
      <c r="J194" s="109"/>
      <c r="K194" s="143"/>
      <c r="L194" s="2216"/>
      <c r="M194" s="109"/>
      <c r="N194" s="157"/>
      <c r="O194" s="1853"/>
      <c r="P194" s="1777"/>
      <c r="Q194" s="102"/>
      <c r="R194" s="2653"/>
      <c r="S194" s="2653"/>
      <c r="T194" s="2623"/>
    </row>
    <row r="195" spans="1:56" ht="58.5" customHeight="1">
      <c r="A195" s="738"/>
      <c r="B195" s="839"/>
      <c r="C195" s="102"/>
      <c r="D195" s="1277"/>
      <c r="E195" s="109"/>
      <c r="F195" s="102"/>
      <c r="G195" s="109"/>
      <c r="H195" s="109"/>
      <c r="I195" s="109"/>
      <c r="J195" s="109"/>
      <c r="K195" s="2651"/>
      <c r="L195" s="2216"/>
      <c r="M195" s="2172"/>
      <c r="N195" s="2650"/>
      <c r="O195" s="1924"/>
      <c r="P195" s="1623"/>
      <c r="Q195" s="1623"/>
      <c r="R195" s="2653"/>
      <c r="S195" s="2653"/>
      <c r="T195" s="2623"/>
      <c r="X195" s="3"/>
      <c r="Y195" s="3"/>
      <c r="Z195" s="3"/>
    </row>
    <row r="196" spans="1:56" ht="58.5" customHeight="1">
      <c r="A196" s="1344"/>
      <c r="B196" s="2013"/>
      <c r="C196" s="144"/>
      <c r="D196" s="2586"/>
      <c r="E196" s="111"/>
      <c r="F196" s="144"/>
      <c r="G196" s="111"/>
      <c r="H196" s="111"/>
      <c r="I196" s="111"/>
      <c r="J196" s="111"/>
      <c r="K196" s="2652"/>
      <c r="L196" s="2649"/>
      <c r="M196" s="1772"/>
      <c r="N196" s="2389"/>
      <c r="O196" s="1853"/>
      <c r="P196" s="1777"/>
      <c r="Q196" s="1777"/>
      <c r="R196" s="2653"/>
      <c r="S196" s="2653"/>
      <c r="T196" s="2623"/>
      <c r="U196" s="2678"/>
      <c r="X196" s="3"/>
      <c r="Y196" s="3"/>
      <c r="Z196" s="3"/>
    </row>
    <row r="197" spans="1:56" ht="58.5" customHeight="1">
      <c r="A197" s="738"/>
      <c r="B197" s="109"/>
      <c r="C197" s="102"/>
      <c r="D197" s="1277"/>
      <c r="E197" s="111"/>
      <c r="F197" s="102"/>
      <c r="G197" s="109"/>
      <c r="H197" s="109"/>
      <c r="I197" s="109"/>
      <c r="J197" s="109"/>
      <c r="K197" s="143"/>
      <c r="M197" s="102"/>
      <c r="N197" s="2389"/>
      <c r="O197" s="2390"/>
      <c r="P197" s="1777"/>
      <c r="Q197" s="102"/>
      <c r="R197" s="102"/>
      <c r="S197" s="102"/>
      <c r="T197" s="2542"/>
      <c r="U197" s="2678"/>
      <c r="X197" s="3"/>
      <c r="Y197" s="3"/>
      <c r="Z197" s="3"/>
    </row>
    <row r="198" spans="1:56" s="1623" customFormat="1" ht="58.5" customHeight="1">
      <c r="A198" s="1344"/>
      <c r="B198" s="111"/>
      <c r="C198" s="144"/>
      <c r="D198" s="2586"/>
      <c r="E198" s="111"/>
      <c r="F198" s="144"/>
      <c r="G198" s="111"/>
      <c r="H198" s="111"/>
      <c r="I198" s="111"/>
      <c r="J198" s="111"/>
      <c r="K198" s="1622"/>
      <c r="L198" s="2654"/>
      <c r="M198" s="144"/>
      <c r="N198" s="2650"/>
      <c r="O198" s="2588"/>
      <c r="Q198" s="144"/>
      <c r="R198" s="144"/>
      <c r="S198" s="144"/>
      <c r="T198" s="2655"/>
      <c r="U198" s="2679"/>
      <c r="V198" s="3"/>
      <c r="W198" s="3"/>
      <c r="X198" s="3"/>
      <c r="Y198" s="3"/>
      <c r="Z198" s="3"/>
      <c r="AA198" s="3"/>
      <c r="AB198" s="3"/>
      <c r="AC198" s="3"/>
      <c r="AD198" s="3"/>
      <c r="AE198" s="3"/>
      <c r="AF198" s="3"/>
      <c r="AG198" s="3"/>
      <c r="AH198" s="3"/>
      <c r="AI198" s="3"/>
      <c r="AJ198" s="3"/>
      <c r="AK198" s="3"/>
      <c r="AL198" s="3"/>
      <c r="AM198" s="3"/>
      <c r="AN198" s="3"/>
      <c r="AO198" s="3"/>
      <c r="AP198" s="3"/>
      <c r="AQ198" s="3"/>
      <c r="AR198" s="3"/>
      <c r="AS198" s="3"/>
      <c r="AT198" s="3"/>
      <c r="AU198" s="3"/>
      <c r="AV198" s="3"/>
      <c r="AW198" s="3"/>
      <c r="AX198" s="3"/>
      <c r="AY198" s="3"/>
      <c r="AZ198" s="3"/>
      <c r="BA198" s="3"/>
      <c r="BB198" s="3"/>
      <c r="BC198" s="3"/>
      <c r="BD198" s="1654"/>
    </row>
    <row r="199" spans="1:56" s="1623" customFormat="1" ht="58.5" customHeight="1">
      <c r="U199" s="2679"/>
      <c r="V199" s="3"/>
      <c r="W199" s="3"/>
      <c r="X199" s="3"/>
      <c r="Y199" s="3"/>
      <c r="Z199" s="3"/>
      <c r="AA199" s="3"/>
      <c r="AB199" s="3"/>
      <c r="AC199" s="3"/>
      <c r="AD199" s="3"/>
      <c r="AE199" s="3"/>
      <c r="AF199" s="3"/>
      <c r="AG199" s="3"/>
      <c r="AH199" s="3"/>
      <c r="AI199" s="3"/>
      <c r="AJ199" s="3"/>
      <c r="AK199" s="3"/>
      <c r="AL199" s="3"/>
      <c r="AM199" s="3"/>
      <c r="AN199" s="3"/>
      <c r="AO199" s="3"/>
      <c r="AP199" s="3"/>
      <c r="AQ199" s="3"/>
      <c r="AR199" s="3"/>
      <c r="AS199" s="3"/>
      <c r="AT199" s="3"/>
      <c r="AU199" s="3"/>
      <c r="AV199" s="3"/>
      <c r="AW199" s="3"/>
      <c r="AX199" s="3"/>
      <c r="AY199" s="3"/>
      <c r="AZ199" s="3"/>
      <c r="BA199" s="3"/>
      <c r="BB199" s="3"/>
      <c r="BC199" s="3"/>
      <c r="BD199" s="1654"/>
    </row>
    <row r="200" spans="1:56" s="1777" customFormat="1" ht="58.5" customHeight="1">
      <c r="U200" s="2678"/>
      <c r="V200" s="3"/>
      <c r="W200" s="3"/>
      <c r="X200" s="3"/>
      <c r="Y200" s="3"/>
      <c r="Z200" s="3"/>
      <c r="AA200" s="3"/>
      <c r="AB200" s="3"/>
      <c r="AC200" s="3"/>
      <c r="AD200" s="3"/>
      <c r="AE200" s="3"/>
      <c r="AF200" s="3"/>
      <c r="AG200" s="3"/>
      <c r="AH200" s="3"/>
      <c r="AI200" s="3"/>
      <c r="AJ200" s="3"/>
      <c r="AK200" s="3"/>
      <c r="AL200" s="3"/>
      <c r="AM200" s="3"/>
      <c r="AN200" s="3"/>
      <c r="AO200" s="3"/>
      <c r="AP200" s="3"/>
      <c r="AQ200" s="3"/>
      <c r="AR200" s="3"/>
      <c r="AS200" s="3"/>
      <c r="AT200" s="3"/>
      <c r="AU200" s="3"/>
      <c r="AV200" s="3"/>
      <c r="AW200" s="3"/>
      <c r="AX200" s="3"/>
      <c r="AY200" s="3"/>
      <c r="AZ200" s="3"/>
      <c r="BA200" s="3"/>
      <c r="BB200" s="3"/>
      <c r="BC200" s="3"/>
      <c r="BD200" s="1986"/>
    </row>
    <row r="201" spans="1:56" ht="58.5" customHeight="1">
      <c r="A201" s="3"/>
      <c r="B201" s="3"/>
      <c r="C201" s="3"/>
      <c r="D201" s="3"/>
      <c r="E201" s="3"/>
      <c r="F201" s="3"/>
      <c r="G201" s="3"/>
      <c r="H201" s="3"/>
      <c r="I201" s="3"/>
      <c r="J201" s="3"/>
      <c r="K201" s="3"/>
      <c r="L201" s="3"/>
      <c r="M201" s="3"/>
      <c r="N201" s="3"/>
      <c r="O201" s="3"/>
      <c r="Q201" s="3"/>
      <c r="R201" s="3"/>
      <c r="S201" s="3"/>
      <c r="T201" s="3"/>
      <c r="X201" s="3"/>
      <c r="Y201" s="3"/>
      <c r="Z201" s="3"/>
    </row>
  </sheetData>
  <autoFilter ref="A3:T201" xr:uid="{C2910CBF-003D-48D2-BE1E-9DC5F1C7E0B4}"/>
  <mergeCells count="41">
    <mergeCell ref="A46:A47"/>
    <mergeCell ref="A48:A50"/>
    <mergeCell ref="A51:A54"/>
    <mergeCell ref="A57:A61"/>
    <mergeCell ref="A55:A56"/>
    <mergeCell ref="A1:P1"/>
    <mergeCell ref="A2:C2"/>
    <mergeCell ref="O2:P2"/>
    <mergeCell ref="A10:A12"/>
    <mergeCell ref="A4:A5"/>
    <mergeCell ref="Q2:T2"/>
    <mergeCell ref="A33:A39"/>
    <mergeCell ref="A19:A22"/>
    <mergeCell ref="A42:A45"/>
    <mergeCell ref="A6:A9"/>
    <mergeCell ref="A14:A16"/>
    <mergeCell ref="A23:A31"/>
    <mergeCell ref="A62:A65"/>
    <mergeCell ref="A124:A130"/>
    <mergeCell ref="A67:A78"/>
    <mergeCell ref="A120:A123"/>
    <mergeCell ref="A93:A100"/>
    <mergeCell ref="A112:A113"/>
    <mergeCell ref="A88:A90"/>
    <mergeCell ref="A110:A111"/>
    <mergeCell ref="A79:A80"/>
    <mergeCell ref="A81:A82"/>
    <mergeCell ref="A83:A86"/>
    <mergeCell ref="A104:A107"/>
    <mergeCell ref="A168:A180"/>
    <mergeCell ref="A164:A165"/>
    <mergeCell ref="A152:A154"/>
    <mergeCell ref="A101:A103"/>
    <mergeCell ref="A155:A156"/>
    <mergeCell ref="A148:A151"/>
    <mergeCell ref="A115:A119"/>
    <mergeCell ref="A136:A144"/>
    <mergeCell ref="A133:A135"/>
    <mergeCell ref="A166:A167"/>
    <mergeCell ref="A157:A162"/>
    <mergeCell ref="A145:A147"/>
  </mergeCells>
  <conditionalFormatting sqref="B202:B1048576 B1 B3:B9 B13:B17 B19:B198">
    <cfRule type="duplicateValues" dxfId="63" priority="1243"/>
  </conditionalFormatting>
  <conditionalFormatting sqref="B202:B1048576 B1:B9 B13:B17 B19:B198">
    <cfRule type="duplicateValues" dxfId="62" priority="1249"/>
  </conditionalFormatting>
  <conditionalFormatting sqref="B202:B1048576 B6:B9 B13:B17 B19:B198">
    <cfRule type="duplicateValues" dxfId="61" priority="1254"/>
    <cfRule type="duplicateValues" dxfId="60" priority="1255"/>
  </conditionalFormatting>
  <pageMargins left="0.7" right="0.7" top="0.75" bottom="0.75" header="0.3" footer="0.3"/>
  <pageSetup paperSize="9" scale="40" orientation="landscape"/>
</worksheet>
</file>

<file path=xl/worksheets/sheet5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05363C-1AEB-41C7-9B73-03CC587BB0BE}">
  <sheetPr>
    <tabColor rgb="FFFFC000"/>
    <pageSetUpPr fitToPage="1"/>
  </sheetPr>
  <dimension ref="A1:AJ290"/>
  <sheetViews>
    <sheetView zoomScale="55" zoomScaleNormal="55" workbookViewId="0">
      <pane xSplit="4" ySplit="3" topLeftCell="L220" activePane="bottomRight" state="frozen"/>
      <selection pane="topRight"/>
      <selection pane="bottomLeft" activeCell="A4" sqref="A4"/>
      <selection pane="bottomRight" activeCell="N222" sqref="N222"/>
    </sheetView>
  </sheetViews>
  <sheetFormatPr defaultColWidth="32.140625" defaultRowHeight="58.5" customHeight="1"/>
  <cols>
    <col min="1" max="1" width="10" style="359" customWidth="1"/>
    <col min="2" max="2" width="27.140625" style="763" customWidth="1"/>
    <col min="3" max="3" width="32.140625" style="1" customWidth="1"/>
    <col min="4" max="4" width="17.28515625" style="1138" customWidth="1"/>
    <col min="5" max="5" width="18.85546875" style="3131" customWidth="1"/>
    <col min="6" max="6" width="20.7109375" style="1" customWidth="1"/>
    <col min="7" max="7" width="24.7109375" style="271" customWidth="1"/>
    <col min="8" max="8" width="22.42578125" style="271" customWidth="1"/>
    <col min="9" max="9" width="18.42578125" style="271" customWidth="1"/>
    <col min="10" max="10" width="17.7109375" style="271" customWidth="1"/>
    <col min="11" max="11" width="27.140625" style="271" customWidth="1"/>
    <col min="12" max="12" width="85.42578125" style="477" customWidth="1"/>
    <col min="13" max="13" width="19.85546875" style="803" customWidth="1"/>
    <col min="14" max="14" width="68.140625" style="1" customWidth="1"/>
    <col min="15" max="16" width="23.140625" style="3" customWidth="1"/>
    <col min="17" max="17" width="54" style="2225" bestFit="1" customWidth="1"/>
    <col min="18" max="18" width="32.140625" style="3135" customWidth="1"/>
    <col min="19" max="19" width="32.140625" style="3"/>
    <col min="20" max="20" width="15.7109375" style="3" bestFit="1" customWidth="1"/>
    <col min="21" max="21" width="23.28515625" style="3" bestFit="1" customWidth="1"/>
    <col min="22" max="22" width="15.85546875" style="3" bestFit="1" customWidth="1"/>
    <col min="23" max="23" width="15.42578125" style="3" bestFit="1" customWidth="1"/>
    <col min="24" max="16384" width="32.140625" style="3"/>
  </cols>
  <sheetData>
    <row r="1" spans="1:29" ht="74.25" customHeight="1">
      <c r="A1" s="3739" t="s">
        <v>7920</v>
      </c>
      <c r="B1" s="3740"/>
      <c r="C1" s="3740"/>
      <c r="D1" s="3740"/>
      <c r="E1" s="3740"/>
      <c r="F1" s="3740"/>
      <c r="G1" s="3740"/>
      <c r="H1" s="3740"/>
      <c r="I1" s="3740"/>
      <c r="J1" s="3740"/>
      <c r="K1" s="3740"/>
      <c r="L1" s="3740"/>
      <c r="M1" s="3740"/>
      <c r="N1" s="3740"/>
      <c r="O1" s="3740"/>
      <c r="P1" s="3740"/>
      <c r="Q1" s="3740"/>
      <c r="R1" s="3740"/>
    </row>
    <row r="2" spans="1:29" s="2709" customFormat="1" ht="48.75" customHeight="1">
      <c r="A2" s="3743"/>
      <c r="B2" s="3743"/>
      <c r="C2" s="3743"/>
      <c r="D2" s="2916"/>
      <c r="E2" s="2890"/>
      <c r="F2" s="2888"/>
      <c r="G2" s="2889" t="s">
        <v>5187</v>
      </c>
      <c r="H2" s="2889"/>
      <c r="I2" s="2890"/>
      <c r="J2" s="2890"/>
      <c r="K2" s="2891"/>
      <c r="L2" s="2892">
        <f ca="1">TODAY()</f>
        <v>45960</v>
      </c>
      <c r="M2" s="3058">
        <f>SUBTOTAL(9,M4:M2597)</f>
        <v>535064</v>
      </c>
      <c r="N2" s="2893" t="s">
        <v>5188</v>
      </c>
      <c r="O2" s="3013"/>
      <c r="P2" s="3013"/>
      <c r="Q2" s="2940"/>
      <c r="R2" s="2894" t="s">
        <v>5170</v>
      </c>
      <c r="S2" s="3"/>
      <c r="T2" s="3726" t="s">
        <v>5189</v>
      </c>
      <c r="U2" s="3726"/>
      <c r="V2" s="3726"/>
      <c r="W2" s="3726"/>
      <c r="X2" s="3"/>
      <c r="Y2" s="3"/>
      <c r="Z2" s="3"/>
      <c r="AA2" s="3"/>
      <c r="AB2" s="3"/>
      <c r="AC2" s="3"/>
    </row>
    <row r="3" spans="1:29" s="2709" customFormat="1" ht="103.5" customHeight="1">
      <c r="A3" s="2895" t="s">
        <v>1</v>
      </c>
      <c r="B3" s="2896" t="s">
        <v>5190</v>
      </c>
      <c r="C3" s="2897" t="s">
        <v>5191</v>
      </c>
      <c r="D3" s="2898" t="s">
        <v>5423</v>
      </c>
      <c r="E3" s="2897" t="s">
        <v>3389</v>
      </c>
      <c r="F3" s="2899" t="s">
        <v>5</v>
      </c>
      <c r="G3" s="2897" t="s">
        <v>3390</v>
      </c>
      <c r="H3" s="2897" t="s">
        <v>5193</v>
      </c>
      <c r="I3" s="3087" t="s">
        <v>5194</v>
      </c>
      <c r="J3" s="2897" t="s">
        <v>5195</v>
      </c>
      <c r="K3" s="2897" t="s">
        <v>9</v>
      </c>
      <c r="L3" s="3221" t="s">
        <v>5196</v>
      </c>
      <c r="M3" s="3088" t="s">
        <v>5197</v>
      </c>
      <c r="N3" s="2900" t="s">
        <v>5198</v>
      </c>
      <c r="O3" s="3032"/>
      <c r="P3" s="3032"/>
      <c r="Q3" s="2896" t="s">
        <v>11</v>
      </c>
      <c r="R3" s="3132" t="s">
        <v>5200</v>
      </c>
      <c r="S3" s="2709" t="s">
        <v>5201</v>
      </c>
      <c r="T3" s="2705" t="s">
        <v>5202</v>
      </c>
      <c r="U3" s="2705" t="s">
        <v>5203</v>
      </c>
      <c r="V3" s="2705" t="s">
        <v>5204</v>
      </c>
      <c r="W3" s="2705" t="s">
        <v>5205</v>
      </c>
    </row>
    <row r="4" spans="1:29" s="2983" customFormat="1" ht="58.5" customHeight="1">
      <c r="A4" s="3817">
        <v>1</v>
      </c>
      <c r="B4" s="2973" t="str">
        <f t="shared" ref="B4:B67" si="0">TEXT(LEFT(L4,10),"0000000000")</f>
        <v>2400001269</v>
      </c>
      <c r="C4" s="3006" t="s">
        <v>7921</v>
      </c>
      <c r="D4" s="3007">
        <v>35200</v>
      </c>
      <c r="E4" s="2974" t="s">
        <v>7922</v>
      </c>
      <c r="F4" s="3006" t="s">
        <v>7923</v>
      </c>
      <c r="G4" s="2974" t="s">
        <v>7924</v>
      </c>
      <c r="H4" s="2974"/>
      <c r="I4" s="3008"/>
      <c r="J4" s="2977" t="s">
        <v>19</v>
      </c>
      <c r="K4" s="2974" t="s">
        <v>7925</v>
      </c>
      <c r="L4" s="2978" t="s">
        <v>7926</v>
      </c>
      <c r="M4" s="3043">
        <v>8000</v>
      </c>
      <c r="N4" s="2980" t="s">
        <v>7927</v>
      </c>
      <c r="O4" s="2974"/>
      <c r="P4" s="2974"/>
      <c r="Q4" s="2988" t="s">
        <v>7928</v>
      </c>
      <c r="R4" s="3025">
        <v>1</v>
      </c>
      <c r="S4" s="1856" t="s">
        <v>7929</v>
      </c>
      <c r="T4" s="3069">
        <v>2400001269</v>
      </c>
      <c r="U4" s="2983" t="e">
        <f>VLOOKUP(T4,'PKH UPDATE'!A:D,2,0)</f>
        <v>#N/A</v>
      </c>
      <c r="V4" s="2983" t="e">
        <f>VLOOKUP(T4,'PKH UPDATE'!A:D,3,0)</f>
        <v>#N/A</v>
      </c>
      <c r="W4" s="2983" t="e">
        <f>VLOOKUP(T4,'PKH UPDATE'!A:D,4,0)</f>
        <v>#N/A</v>
      </c>
    </row>
    <row r="5" spans="1:29" s="2983" customFormat="1" ht="58.5" customHeight="1">
      <c r="A5" s="3818"/>
      <c r="B5" s="2973" t="str">
        <f t="shared" si="0"/>
        <v>2400001270</v>
      </c>
      <c r="C5" s="2998" t="s">
        <v>7921</v>
      </c>
      <c r="D5" s="3009"/>
      <c r="E5" s="2974"/>
      <c r="F5" s="2998" t="s">
        <v>7923</v>
      </c>
      <c r="G5" s="2986"/>
      <c r="H5" s="2986"/>
      <c r="I5" s="2986"/>
      <c r="J5" s="2985" t="s">
        <v>19</v>
      </c>
      <c r="K5" s="2986" t="s">
        <v>7925</v>
      </c>
      <c r="L5" s="2987" t="s">
        <v>7930</v>
      </c>
      <c r="M5" s="3044"/>
      <c r="N5" s="3025" t="s">
        <v>7931</v>
      </c>
      <c r="O5" s="2986"/>
      <c r="P5" s="2986"/>
      <c r="Q5" s="3010"/>
      <c r="R5" s="3025">
        <v>1</v>
      </c>
      <c r="S5" s="1856"/>
      <c r="T5" s="3069"/>
      <c r="U5" s="1486"/>
      <c r="V5" s="1486"/>
      <c r="W5" s="1486"/>
      <c r="X5" s="1486"/>
      <c r="Y5" s="1486"/>
      <c r="Z5" s="1486"/>
      <c r="AA5" s="1486"/>
      <c r="AB5" s="1486"/>
      <c r="AC5" s="1486"/>
    </row>
    <row r="6" spans="1:29" s="2983" customFormat="1" ht="58.5" customHeight="1">
      <c r="A6" s="3818"/>
      <c r="B6" s="2973" t="str">
        <f t="shared" si="0"/>
        <v>2400001271</v>
      </c>
      <c r="C6" s="3011" t="s">
        <v>7921</v>
      </c>
      <c r="D6" s="3012"/>
      <c r="E6" s="2977"/>
      <c r="F6" s="2998" t="s">
        <v>7923</v>
      </c>
      <c r="G6" s="2985"/>
      <c r="H6" s="2985"/>
      <c r="I6" s="2985"/>
      <c r="J6" s="2985" t="s">
        <v>19</v>
      </c>
      <c r="K6" s="2985" t="s">
        <v>7925</v>
      </c>
      <c r="L6" s="2991" t="s">
        <v>7932</v>
      </c>
      <c r="M6" s="3045"/>
      <c r="N6" s="3026" t="s">
        <v>5454</v>
      </c>
      <c r="O6" s="2986"/>
      <c r="P6" s="2986"/>
      <c r="Q6" s="3010" t="s">
        <v>7928</v>
      </c>
      <c r="R6" s="3025">
        <v>1</v>
      </c>
      <c r="S6" s="1856"/>
      <c r="T6" s="3069"/>
      <c r="U6" s="1486"/>
      <c r="V6" s="1486"/>
      <c r="W6" s="1486"/>
      <c r="X6" s="1486"/>
      <c r="Y6" s="1486"/>
      <c r="Z6" s="1486"/>
      <c r="AA6" s="1486"/>
      <c r="AB6" s="1486"/>
      <c r="AC6" s="1486"/>
    </row>
    <row r="7" spans="1:29" s="2983" customFormat="1" ht="58.5" customHeight="1">
      <c r="A7" s="2992">
        <v>2</v>
      </c>
      <c r="B7" s="2993" t="str">
        <f t="shared" si="0"/>
        <v>2000003250</v>
      </c>
      <c r="C7" s="2976" t="s">
        <v>4786</v>
      </c>
      <c r="D7" s="2975">
        <v>5820</v>
      </c>
      <c r="E7" s="2974" t="s">
        <v>7933</v>
      </c>
      <c r="F7" s="2976" t="s">
        <v>16</v>
      </c>
      <c r="G7" s="2974" t="s">
        <v>7934</v>
      </c>
      <c r="H7" s="2974"/>
      <c r="I7" s="2974"/>
      <c r="J7" s="2977" t="s">
        <v>19</v>
      </c>
      <c r="K7" s="2974" t="s">
        <v>20</v>
      </c>
      <c r="L7" s="2978" t="s">
        <v>7935</v>
      </c>
      <c r="M7" s="3043">
        <v>5820</v>
      </c>
      <c r="N7" s="3027" t="s">
        <v>5257</v>
      </c>
      <c r="O7" s="2976" t="s">
        <v>7936</v>
      </c>
      <c r="P7" s="2976"/>
      <c r="Q7" s="2988"/>
      <c r="R7" s="3025">
        <v>1</v>
      </c>
      <c r="S7" s="2982"/>
      <c r="T7" s="2982"/>
      <c r="U7" s="2982"/>
      <c r="V7" s="2982"/>
      <c r="W7" s="2982"/>
      <c r="X7" s="2982"/>
      <c r="Y7" s="2982"/>
      <c r="Z7" s="2982"/>
      <c r="AA7" s="2982"/>
      <c r="AB7" s="2982"/>
      <c r="AC7" s="2982"/>
    </row>
    <row r="8" spans="1:29" s="2983" customFormat="1" ht="58.5" customHeight="1">
      <c r="A8" s="3822">
        <v>3</v>
      </c>
      <c r="B8" s="2993" t="str">
        <f t="shared" si="0"/>
        <v>2000003261</v>
      </c>
      <c r="C8" s="2994" t="s">
        <v>3699</v>
      </c>
      <c r="D8" s="2995">
        <v>4370</v>
      </c>
      <c r="E8" s="2996" t="s">
        <v>7937</v>
      </c>
      <c r="F8" s="2994" t="s">
        <v>61</v>
      </c>
      <c r="G8" s="2996" t="s">
        <v>7938</v>
      </c>
      <c r="H8" s="2996"/>
      <c r="I8" s="2974"/>
      <c r="J8" s="2994" t="s">
        <v>19</v>
      </c>
      <c r="K8" s="2996" t="s">
        <v>74</v>
      </c>
      <c r="L8" s="2997" t="s">
        <v>7939</v>
      </c>
      <c r="M8" s="3046">
        <v>700</v>
      </c>
      <c r="N8" s="3026" t="s">
        <v>5454</v>
      </c>
      <c r="O8" s="2998" t="s">
        <v>7940</v>
      </c>
      <c r="P8" s="2998"/>
      <c r="Q8" s="2999"/>
      <c r="R8" s="3025">
        <v>1</v>
      </c>
      <c r="S8" s="1837"/>
      <c r="T8" s="1837"/>
      <c r="U8" s="1837"/>
      <c r="V8" s="1837"/>
      <c r="W8" s="1837"/>
      <c r="X8" s="1837"/>
      <c r="Y8" s="1837"/>
      <c r="Z8" s="1837"/>
      <c r="AA8" s="1837"/>
      <c r="AB8" s="1837"/>
      <c r="AC8" s="1837"/>
    </row>
    <row r="9" spans="1:29" s="2983" customFormat="1" ht="58.5" customHeight="1">
      <c r="A9" s="3823"/>
      <c r="B9" s="2973" t="str">
        <f t="shared" si="0"/>
        <v>2200002149</v>
      </c>
      <c r="C9" s="3000" t="s">
        <v>3699</v>
      </c>
      <c r="D9" s="3001"/>
      <c r="E9" s="3126"/>
      <c r="F9" s="3000" t="s">
        <v>61</v>
      </c>
      <c r="G9" s="3002"/>
      <c r="H9" s="3002"/>
      <c r="I9" s="3003"/>
      <c r="J9" s="3000" t="s">
        <v>19</v>
      </c>
      <c r="K9" s="3002" t="s">
        <v>74</v>
      </c>
      <c r="L9" s="3004" t="s">
        <v>7941</v>
      </c>
      <c r="M9" s="3047">
        <v>224</v>
      </c>
      <c r="N9" s="3028" t="s">
        <v>7942</v>
      </c>
      <c r="O9" s="2984"/>
      <c r="P9" s="2984"/>
      <c r="Q9" s="2999"/>
      <c r="R9" s="3025">
        <v>1</v>
      </c>
      <c r="S9" s="1837"/>
      <c r="T9" s="1837"/>
      <c r="U9" s="1837"/>
      <c r="V9" s="1837"/>
      <c r="W9" s="1837"/>
      <c r="X9" s="1837"/>
      <c r="Y9" s="1837"/>
      <c r="Z9" s="1837"/>
      <c r="AA9" s="1837"/>
      <c r="AB9" s="1837"/>
      <c r="AC9" s="1837"/>
    </row>
    <row r="10" spans="1:29" s="2983" customFormat="1" ht="58.5" customHeight="1">
      <c r="A10" s="3824"/>
      <c r="B10" s="2973" t="str">
        <f t="shared" si="0"/>
        <v>2200002114</v>
      </c>
      <c r="C10" s="1832" t="s">
        <v>3699</v>
      </c>
      <c r="D10" s="3005"/>
      <c r="E10" s="2974"/>
      <c r="F10" s="1832" t="s">
        <v>61</v>
      </c>
      <c r="G10" s="2986"/>
      <c r="H10" s="2986"/>
      <c r="I10" s="2986"/>
      <c r="J10" s="1832" t="s">
        <v>19</v>
      </c>
      <c r="K10" s="1834" t="s">
        <v>74</v>
      </c>
      <c r="L10" s="1835" t="s">
        <v>7943</v>
      </c>
      <c r="M10" s="3014">
        <v>3446</v>
      </c>
      <c r="N10" s="3026" t="s">
        <v>5454</v>
      </c>
      <c r="O10" s="2984"/>
      <c r="P10" s="2984"/>
      <c r="Q10" s="2999"/>
      <c r="R10" s="3025">
        <v>1</v>
      </c>
      <c r="S10" s="1837"/>
      <c r="T10" s="1837"/>
      <c r="U10" s="1837"/>
      <c r="V10" s="1837"/>
      <c r="W10" s="1837"/>
      <c r="X10" s="1837"/>
      <c r="Y10" s="1837"/>
      <c r="Z10" s="1837"/>
      <c r="AA10" s="1837"/>
      <c r="AB10" s="1837"/>
      <c r="AC10" s="1837"/>
    </row>
    <row r="11" spans="1:29" s="2983" customFormat="1" ht="58.5" customHeight="1">
      <c r="A11" s="3825">
        <v>4</v>
      </c>
      <c r="B11" s="2973" t="str">
        <f t="shared" si="0"/>
        <v>2200002145</v>
      </c>
      <c r="C11" s="2974" t="s">
        <v>7944</v>
      </c>
      <c r="D11" s="2975">
        <v>3726</v>
      </c>
      <c r="E11" s="2974" t="s">
        <v>7945</v>
      </c>
      <c r="F11" s="2976" t="s">
        <v>54</v>
      </c>
      <c r="G11" s="2974"/>
      <c r="H11" s="2974"/>
      <c r="I11" s="2974"/>
      <c r="J11" s="2977" t="s">
        <v>19</v>
      </c>
      <c r="K11" s="2974" t="s">
        <v>1138</v>
      </c>
      <c r="L11" s="2978" t="s">
        <v>7946</v>
      </c>
      <c r="M11" s="3043">
        <v>650</v>
      </c>
      <c r="N11" s="3027" t="s">
        <v>7947</v>
      </c>
      <c r="O11" s="2976"/>
      <c r="P11" s="2976"/>
      <c r="Q11" s="2979" t="s">
        <v>7948</v>
      </c>
      <c r="R11" s="3025">
        <v>1</v>
      </c>
      <c r="S11" s="2981"/>
      <c r="T11" s="2981"/>
      <c r="U11" s="2982"/>
      <c r="V11" s="2982"/>
      <c r="W11" s="2982"/>
      <c r="X11" s="2982"/>
      <c r="Y11" s="2982"/>
      <c r="Z11" s="2982"/>
      <c r="AA11" s="2982"/>
      <c r="AB11" s="2982"/>
      <c r="AC11" s="2982"/>
    </row>
    <row r="12" spans="1:29" s="2983" customFormat="1" ht="58.5" customHeight="1">
      <c r="A12" s="3826"/>
      <c r="B12" s="2973" t="str">
        <f t="shared" si="0"/>
        <v>2200002146</v>
      </c>
      <c r="C12" s="2984" t="s">
        <v>3425</v>
      </c>
      <c r="D12" s="2975"/>
      <c r="E12" s="2974"/>
      <c r="F12" s="2984" t="s">
        <v>54</v>
      </c>
      <c r="G12" s="2974"/>
      <c r="H12" s="2974"/>
      <c r="I12" s="2974"/>
      <c r="J12" s="2985" t="s">
        <v>19</v>
      </c>
      <c r="K12" s="2986" t="s">
        <v>1138</v>
      </c>
      <c r="L12" s="2987" t="s">
        <v>7949</v>
      </c>
      <c r="M12" s="3044">
        <v>1535</v>
      </c>
      <c r="N12" s="3027" t="s">
        <v>7947</v>
      </c>
      <c r="O12" s="2976"/>
      <c r="P12" s="2976"/>
      <c r="Q12" s="2988"/>
      <c r="R12" s="3025">
        <v>1</v>
      </c>
      <c r="S12" s="2981"/>
      <c r="T12" s="2981"/>
      <c r="U12" s="2982"/>
      <c r="V12" s="2982"/>
      <c r="W12" s="2982"/>
      <c r="X12" s="2982"/>
      <c r="Y12" s="2982"/>
      <c r="Z12" s="2982"/>
      <c r="AA12" s="2982"/>
      <c r="AB12" s="2982"/>
      <c r="AC12" s="2982"/>
    </row>
    <row r="13" spans="1:29" s="2983" customFormat="1" ht="58.5" customHeight="1">
      <c r="A13" s="3826"/>
      <c r="B13" s="2973" t="str">
        <f t="shared" si="0"/>
        <v>2200002147</v>
      </c>
      <c r="C13" s="2984" t="s">
        <v>3425</v>
      </c>
      <c r="D13" s="2975"/>
      <c r="E13" s="2974"/>
      <c r="F13" s="2984" t="s">
        <v>54</v>
      </c>
      <c r="G13" s="2974"/>
      <c r="H13" s="2974"/>
      <c r="I13" s="2974"/>
      <c r="J13" s="2985" t="s">
        <v>19</v>
      </c>
      <c r="K13" s="2986" t="s">
        <v>1138</v>
      </c>
      <c r="L13" s="2987" t="s">
        <v>7950</v>
      </c>
      <c r="M13" s="3044">
        <v>1987</v>
      </c>
      <c r="N13" s="3027" t="s">
        <v>7951</v>
      </c>
      <c r="O13" s="2976"/>
      <c r="P13" s="2976"/>
      <c r="Q13" s="2988"/>
      <c r="R13" s="3025">
        <v>1</v>
      </c>
      <c r="S13" s="2981"/>
      <c r="T13" s="2981"/>
      <c r="U13" s="2982"/>
      <c r="V13" s="2982"/>
      <c r="W13" s="2982"/>
      <c r="X13" s="2982"/>
      <c r="Y13" s="2982"/>
      <c r="Z13" s="2982"/>
      <c r="AA13" s="2982"/>
      <c r="AB13" s="2982"/>
      <c r="AC13" s="2982"/>
    </row>
    <row r="14" spans="1:29" s="2983" customFormat="1" ht="58.5" customHeight="1">
      <c r="A14" s="3827"/>
      <c r="B14" s="2973" t="str">
        <f t="shared" si="0"/>
        <v>2200002148</v>
      </c>
      <c r="C14" s="2984" t="s">
        <v>3425</v>
      </c>
      <c r="D14" s="2989"/>
      <c r="E14" s="2977"/>
      <c r="F14" s="2990" t="s">
        <v>54</v>
      </c>
      <c r="G14" s="2977"/>
      <c r="H14" s="2977"/>
      <c r="I14" s="2977"/>
      <c r="J14" s="2985" t="s">
        <v>19</v>
      </c>
      <c r="K14" s="2985" t="s">
        <v>1138</v>
      </c>
      <c r="L14" s="2991" t="s">
        <v>7952</v>
      </c>
      <c r="M14" s="3045">
        <v>298</v>
      </c>
      <c r="N14" s="3029" t="s">
        <v>7947</v>
      </c>
      <c r="O14" s="2976"/>
      <c r="P14" s="2976"/>
      <c r="Q14" s="2988"/>
      <c r="R14" s="3025">
        <v>1</v>
      </c>
      <c r="S14" s="2981"/>
      <c r="T14" s="2981"/>
      <c r="U14" s="2982"/>
      <c r="V14" s="2982"/>
      <c r="W14" s="2982"/>
      <c r="X14" s="2982"/>
      <c r="Y14" s="2982"/>
      <c r="Z14" s="2982"/>
      <c r="AA14" s="2982"/>
      <c r="AB14" s="2982"/>
      <c r="AC14" s="2982"/>
    </row>
    <row r="15" spans="1:29" s="2983" customFormat="1" ht="58.5" customHeight="1">
      <c r="A15" s="3825">
        <v>5</v>
      </c>
      <c r="B15" s="2973" t="str">
        <f t="shared" si="0"/>
        <v>2000003192</v>
      </c>
      <c r="C15" s="2976" t="s">
        <v>5635</v>
      </c>
      <c r="D15" s="2975">
        <v>10600</v>
      </c>
      <c r="E15" s="2974" t="s">
        <v>7953</v>
      </c>
      <c r="F15" s="2976" t="s">
        <v>3401</v>
      </c>
      <c r="G15" s="2974" t="s">
        <v>7954</v>
      </c>
      <c r="H15" s="2974"/>
      <c r="I15" s="3008" t="s">
        <v>7955</v>
      </c>
      <c r="J15" s="2977" t="s">
        <v>19</v>
      </c>
      <c r="K15" s="2974" t="s">
        <v>123</v>
      </c>
      <c r="L15" s="2978" t="s">
        <v>7956</v>
      </c>
      <c r="M15" s="3043">
        <v>3900</v>
      </c>
      <c r="N15" s="3027" t="s">
        <v>5257</v>
      </c>
      <c r="O15" s="2984" t="s">
        <v>7957</v>
      </c>
      <c r="P15" s="2984"/>
      <c r="Q15" s="3010"/>
      <c r="R15" s="3025">
        <v>1</v>
      </c>
      <c r="S15" s="2982"/>
      <c r="T15" s="2982"/>
      <c r="U15" s="2982"/>
      <c r="V15" s="2982"/>
      <c r="W15" s="2982"/>
      <c r="X15" s="2982"/>
      <c r="Y15" s="2982"/>
      <c r="Z15" s="2982"/>
      <c r="AA15" s="2982"/>
      <c r="AB15" s="2982"/>
      <c r="AC15" s="2982"/>
    </row>
    <row r="16" spans="1:29" s="2983" customFormat="1" ht="50.25" customHeight="1">
      <c r="A16" s="3826"/>
      <c r="B16" s="2973" t="str">
        <f t="shared" si="0"/>
        <v>2000003253</v>
      </c>
      <c r="C16" s="2984" t="s">
        <v>5635</v>
      </c>
      <c r="D16" s="2975"/>
      <c r="E16" s="2974"/>
      <c r="F16" s="2976" t="s">
        <v>3401</v>
      </c>
      <c r="G16" s="2974"/>
      <c r="H16" s="2974"/>
      <c r="I16" s="1834"/>
      <c r="J16" s="2985" t="s">
        <v>19</v>
      </c>
      <c r="K16" s="2986" t="s">
        <v>123</v>
      </c>
      <c r="L16" s="2987" t="s">
        <v>7958</v>
      </c>
      <c r="M16" s="3044">
        <v>4000</v>
      </c>
      <c r="N16" s="3027" t="s">
        <v>7959</v>
      </c>
      <c r="O16" s="2976"/>
      <c r="P16" s="2976"/>
      <c r="Q16" s="2988"/>
      <c r="R16" s="3025">
        <v>1</v>
      </c>
      <c r="S16" s="2982"/>
      <c r="T16" s="2982"/>
      <c r="U16" s="2982"/>
      <c r="V16" s="2982"/>
      <c r="W16" s="2982"/>
      <c r="X16" s="2982"/>
      <c r="Y16" s="2982"/>
      <c r="Z16" s="2982"/>
      <c r="AA16" s="2982"/>
      <c r="AB16" s="2982"/>
      <c r="AC16" s="2982"/>
    </row>
    <row r="17" spans="1:29" s="2983" customFormat="1" ht="69.75" customHeight="1">
      <c r="A17" s="3826"/>
      <c r="B17" s="2973" t="str">
        <f t="shared" si="0"/>
        <v>2000003300</v>
      </c>
      <c r="C17" s="2984" t="s">
        <v>5635</v>
      </c>
      <c r="D17" s="3015"/>
      <c r="E17" s="3127"/>
      <c r="F17" s="2984" t="s">
        <v>3401</v>
      </c>
      <c r="G17" s="2753"/>
      <c r="H17" s="2753"/>
      <c r="I17" s="2753"/>
      <c r="J17" s="2753" t="s">
        <v>19</v>
      </c>
      <c r="K17" s="2753" t="s">
        <v>123</v>
      </c>
      <c r="L17" s="2991" t="s">
        <v>7960</v>
      </c>
      <c r="M17" s="3048">
        <v>287</v>
      </c>
      <c r="N17" s="3027" t="s">
        <v>7961</v>
      </c>
      <c r="O17" s="3016"/>
      <c r="P17" s="3016"/>
      <c r="Q17" s="3017"/>
      <c r="R17" s="3025">
        <v>1</v>
      </c>
      <c r="S17" s="1837"/>
      <c r="T17" s="1837"/>
      <c r="U17" s="1837"/>
      <c r="V17" s="1837"/>
      <c r="W17" s="1837"/>
      <c r="X17" s="1837"/>
      <c r="Y17" s="1837"/>
      <c r="Z17" s="1837"/>
      <c r="AA17" s="1837"/>
      <c r="AB17" s="1837"/>
      <c r="AC17" s="1837"/>
    </row>
    <row r="18" spans="1:29" s="2983" customFormat="1" ht="71.25" customHeight="1">
      <c r="A18" s="3826"/>
      <c r="B18" s="2973" t="str">
        <f t="shared" si="0"/>
        <v>2000003301</v>
      </c>
      <c r="C18" s="2984" t="s">
        <v>5635</v>
      </c>
      <c r="D18" s="3015"/>
      <c r="E18" s="3127"/>
      <c r="F18" s="2984" t="s">
        <v>3401</v>
      </c>
      <c r="G18" s="2753"/>
      <c r="H18" s="2753"/>
      <c r="I18" s="2753"/>
      <c r="J18" s="2753" t="s">
        <v>19</v>
      </c>
      <c r="K18" s="2753" t="s">
        <v>123</v>
      </c>
      <c r="L18" s="2991" t="s">
        <v>7962</v>
      </c>
      <c r="M18" s="3048">
        <v>1700</v>
      </c>
      <c r="N18" s="3027" t="s">
        <v>7963</v>
      </c>
      <c r="O18" s="3016"/>
      <c r="P18" s="3016"/>
      <c r="Q18" s="3017"/>
      <c r="R18" s="3025">
        <v>1</v>
      </c>
      <c r="S18" s="1837"/>
      <c r="T18" s="1837"/>
      <c r="U18" s="1837"/>
      <c r="V18" s="1837"/>
      <c r="W18" s="1837"/>
      <c r="X18" s="1837"/>
      <c r="Y18" s="1837"/>
      <c r="Z18" s="1837"/>
      <c r="AA18" s="1837"/>
      <c r="AB18" s="1837"/>
      <c r="AC18" s="1837"/>
    </row>
    <row r="19" spans="1:29" s="2983" customFormat="1" ht="75" customHeight="1">
      <c r="A19" s="3827"/>
      <c r="B19" s="2973" t="str">
        <f t="shared" si="0"/>
        <v>2000003254</v>
      </c>
      <c r="C19" s="2984" t="s">
        <v>5635</v>
      </c>
      <c r="D19" s="3014"/>
      <c r="E19" s="2996"/>
      <c r="F19" s="2984" t="s">
        <v>3401</v>
      </c>
      <c r="G19" s="1834"/>
      <c r="H19" s="1834"/>
      <c r="I19" s="1834"/>
      <c r="J19" s="1832" t="s">
        <v>19</v>
      </c>
      <c r="K19" s="1834" t="s">
        <v>5325</v>
      </c>
      <c r="L19" s="2987" t="s">
        <v>7964</v>
      </c>
      <c r="M19" s="3049">
        <v>1100</v>
      </c>
      <c r="N19" s="3027" t="s">
        <v>5214</v>
      </c>
      <c r="O19" s="2976"/>
      <c r="P19" s="2976"/>
      <c r="Q19" s="2988"/>
      <c r="R19" s="3025">
        <v>1</v>
      </c>
      <c r="S19" s="2982"/>
      <c r="T19" s="2982"/>
      <c r="U19" s="2982"/>
      <c r="V19" s="2982"/>
      <c r="W19" s="2982"/>
      <c r="X19" s="2982"/>
      <c r="Y19" s="2982"/>
      <c r="Z19" s="2982"/>
      <c r="AA19" s="2982"/>
      <c r="AB19" s="2982"/>
      <c r="AC19" s="2982"/>
    </row>
    <row r="20" spans="1:29" s="2643" customFormat="1" ht="58.5" customHeight="1">
      <c r="A20" s="3735">
        <v>6</v>
      </c>
      <c r="B20" s="3018" t="str">
        <f t="shared" si="0"/>
        <v>2200002124</v>
      </c>
      <c r="C20" s="3033" t="s">
        <v>3414</v>
      </c>
      <c r="D20" s="3034">
        <v>24000</v>
      </c>
      <c r="E20" s="3035" t="s">
        <v>7965</v>
      </c>
      <c r="F20" s="3033" t="s">
        <v>3416</v>
      </c>
      <c r="G20" s="3035" t="s">
        <v>7966</v>
      </c>
      <c r="H20" s="3035"/>
      <c r="I20" s="3040" t="s">
        <v>7955</v>
      </c>
      <c r="J20" s="1493" t="s">
        <v>19</v>
      </c>
      <c r="K20" s="1495" t="s">
        <v>959</v>
      </c>
      <c r="L20" s="1845" t="s">
        <v>7967</v>
      </c>
      <c r="M20" s="3055">
        <v>2510</v>
      </c>
      <c r="N20" s="3030" t="s">
        <v>7968</v>
      </c>
      <c r="O20" s="1902" t="s">
        <v>7969</v>
      </c>
      <c r="P20" s="1902"/>
      <c r="Q20" s="2590"/>
      <c r="R20" s="3059">
        <v>1</v>
      </c>
      <c r="S20" s="1790"/>
      <c r="T20" s="1790"/>
      <c r="U20" s="2150"/>
      <c r="V20" s="2150"/>
      <c r="W20" s="2150"/>
      <c r="X20" s="2150"/>
      <c r="Y20" s="2150"/>
      <c r="Z20" s="2150"/>
      <c r="AA20" s="2150"/>
      <c r="AB20" s="2150"/>
      <c r="AC20" s="2150"/>
    </row>
    <row r="21" spans="1:29" s="2643" customFormat="1" ht="58.5" customHeight="1">
      <c r="A21" s="3736"/>
      <c r="B21" s="3018" t="str">
        <f t="shared" si="0"/>
        <v>2000003258</v>
      </c>
      <c r="C21" s="3023" t="s">
        <v>3414</v>
      </c>
      <c r="D21" s="3020"/>
      <c r="E21" s="3035"/>
      <c r="F21" s="3023" t="s">
        <v>3416</v>
      </c>
      <c r="G21" s="3021"/>
      <c r="H21" s="3021"/>
      <c r="I21" s="1495"/>
      <c r="J21" s="1493" t="s">
        <v>19</v>
      </c>
      <c r="K21" s="1495" t="s">
        <v>959</v>
      </c>
      <c r="L21" s="1600" t="s">
        <v>7970</v>
      </c>
      <c r="M21" s="3051">
        <v>2000</v>
      </c>
      <c r="N21" s="3030" t="s">
        <v>7971</v>
      </c>
      <c r="O21" s="1493"/>
      <c r="P21" s="1493"/>
      <c r="Q21" s="2590"/>
      <c r="R21" s="3059">
        <v>1</v>
      </c>
      <c r="S21" s="1790"/>
      <c r="T21" s="1790"/>
      <c r="U21" s="1548"/>
      <c r="V21" s="1548"/>
      <c r="W21" s="1548"/>
      <c r="X21" s="1548"/>
      <c r="Y21" s="1548"/>
      <c r="Z21" s="1548"/>
      <c r="AA21" s="1548"/>
      <c r="AB21" s="1548"/>
      <c r="AC21" s="1548"/>
    </row>
    <row r="22" spans="1:29" s="2643" customFormat="1" ht="58.5" customHeight="1">
      <c r="A22" s="3736"/>
      <c r="B22" s="3018" t="str">
        <f t="shared" si="0"/>
        <v>2200002155</v>
      </c>
      <c r="C22" s="3023" t="s">
        <v>3414</v>
      </c>
      <c r="D22" s="3020"/>
      <c r="E22" s="3035"/>
      <c r="F22" s="3023" t="s">
        <v>3416</v>
      </c>
      <c r="G22" s="3021"/>
      <c r="H22" s="3021"/>
      <c r="I22" s="3021"/>
      <c r="J22" s="1493" t="s">
        <v>19</v>
      </c>
      <c r="K22" s="1495" t="s">
        <v>959</v>
      </c>
      <c r="L22" s="2880" t="s">
        <v>7972</v>
      </c>
      <c r="M22" s="3102">
        <v>2851</v>
      </c>
      <c r="N22" s="3030" t="s">
        <v>7947</v>
      </c>
      <c r="O22" s="3023"/>
      <c r="P22" s="3023"/>
      <c r="Q22" s="3024"/>
      <c r="R22" s="3059">
        <v>1</v>
      </c>
      <c r="S22" s="1548"/>
      <c r="T22" s="1548"/>
      <c r="U22" s="1548"/>
      <c r="V22" s="1548"/>
      <c r="W22" s="1548"/>
      <c r="X22" s="1548"/>
      <c r="Y22" s="1548"/>
      <c r="Z22" s="1548"/>
      <c r="AA22" s="1548"/>
      <c r="AB22" s="1548"/>
      <c r="AC22" s="1548"/>
    </row>
    <row r="23" spans="1:29" s="2643" customFormat="1" ht="58.5" customHeight="1">
      <c r="A23" s="3736"/>
      <c r="B23" s="3018" t="str">
        <f t="shared" si="0"/>
        <v>2200002156</v>
      </c>
      <c r="C23" s="3023" t="s">
        <v>3414</v>
      </c>
      <c r="D23" s="3020"/>
      <c r="E23" s="3035"/>
      <c r="F23" s="3023" t="s">
        <v>3416</v>
      </c>
      <c r="G23" s="3021"/>
      <c r="H23" s="3021"/>
      <c r="I23" s="3021"/>
      <c r="J23" s="1493" t="s">
        <v>19</v>
      </c>
      <c r="K23" s="1495" t="s">
        <v>959</v>
      </c>
      <c r="L23" s="2880" t="s">
        <v>7973</v>
      </c>
      <c r="M23" s="3102">
        <v>4713</v>
      </c>
      <c r="N23" s="3030" t="s">
        <v>5257</v>
      </c>
      <c r="O23" s="3023"/>
      <c r="P23" s="3023"/>
      <c r="Q23" s="3024"/>
      <c r="R23" s="3059">
        <v>1</v>
      </c>
      <c r="S23" s="1548"/>
      <c r="T23" s="1548"/>
      <c r="U23" s="1548"/>
      <c r="V23" s="1548"/>
      <c r="W23" s="1548"/>
      <c r="X23" s="1548"/>
      <c r="Y23" s="1548"/>
      <c r="Z23" s="1548"/>
      <c r="AA23" s="1548"/>
      <c r="AB23" s="1548"/>
      <c r="AC23" s="1548"/>
    </row>
    <row r="24" spans="1:29" s="2643" customFormat="1" ht="58.5" customHeight="1">
      <c r="A24" s="3737"/>
      <c r="B24" s="3018" t="str">
        <f t="shared" si="0"/>
        <v>2200002157</v>
      </c>
      <c r="C24" s="3023" t="s">
        <v>3414</v>
      </c>
      <c r="D24" s="3020"/>
      <c r="E24" s="3035"/>
      <c r="F24" s="3023" t="s">
        <v>3416</v>
      </c>
      <c r="G24" s="3021"/>
      <c r="H24" s="3021"/>
      <c r="I24" s="3021"/>
      <c r="J24" s="1493" t="s">
        <v>19</v>
      </c>
      <c r="K24" s="1495" t="s">
        <v>959</v>
      </c>
      <c r="L24" s="3108" t="s">
        <v>7974</v>
      </c>
      <c r="M24" s="3102">
        <v>11925</v>
      </c>
      <c r="N24" s="3030" t="s">
        <v>7975</v>
      </c>
      <c r="O24" s="3023"/>
      <c r="P24" s="3023"/>
      <c r="Q24" s="3024"/>
      <c r="R24" s="3059">
        <v>1</v>
      </c>
      <c r="S24" s="1548"/>
      <c r="T24" s="1548"/>
      <c r="U24" s="1548"/>
      <c r="V24" s="1548"/>
      <c r="W24" s="1548"/>
      <c r="X24" s="1548"/>
      <c r="Y24" s="1548"/>
      <c r="Z24" s="1548"/>
      <c r="AA24" s="1548"/>
      <c r="AB24" s="1548"/>
      <c r="AC24" s="1548"/>
    </row>
    <row r="25" spans="1:29" s="2643" customFormat="1" ht="82.5" customHeight="1">
      <c r="A25" s="3732">
        <v>6</v>
      </c>
      <c r="B25" s="3018" t="str">
        <f t="shared" si="0"/>
        <v>2000003192</v>
      </c>
      <c r="C25" s="3039" t="s">
        <v>3115</v>
      </c>
      <c r="D25" s="3034">
        <v>9800</v>
      </c>
      <c r="E25" s="3035" t="s">
        <v>7976</v>
      </c>
      <c r="F25" s="3033" t="s">
        <v>3401</v>
      </c>
      <c r="G25" s="3035" t="s">
        <v>7977</v>
      </c>
      <c r="H25" s="3035"/>
      <c r="I25" s="3040" t="s">
        <v>7955</v>
      </c>
      <c r="J25" s="3041" t="s">
        <v>19</v>
      </c>
      <c r="K25" s="3035" t="s">
        <v>123</v>
      </c>
      <c r="L25" s="2912" t="s">
        <v>7978</v>
      </c>
      <c r="M25" s="3050">
        <v>1100</v>
      </c>
      <c r="N25" s="3030" t="s">
        <v>7979</v>
      </c>
      <c r="O25" s="3033" t="s">
        <v>7980</v>
      </c>
      <c r="P25" s="3033"/>
      <c r="Q25" s="3037"/>
      <c r="R25" s="3059">
        <v>1</v>
      </c>
      <c r="S25" s="2150"/>
      <c r="T25" s="2150"/>
      <c r="U25" s="2150"/>
      <c r="V25" s="2150"/>
      <c r="W25" s="2150"/>
      <c r="X25" s="2150"/>
      <c r="Y25" s="2150"/>
      <c r="Z25" s="2150"/>
      <c r="AA25" s="2150"/>
      <c r="AB25" s="2150"/>
      <c r="AC25" s="2150"/>
    </row>
    <row r="26" spans="1:29" s="2643" customFormat="1" ht="58.5" customHeight="1">
      <c r="A26" s="3733"/>
      <c r="B26" s="3018" t="str">
        <f t="shared" si="0"/>
        <v>2200002139</v>
      </c>
      <c r="C26" s="3042" t="s">
        <v>3115</v>
      </c>
      <c r="D26" s="1903"/>
      <c r="E26" s="1921"/>
      <c r="F26" s="3023" t="s">
        <v>3401</v>
      </c>
      <c r="G26" s="1495"/>
      <c r="H26" s="1495"/>
      <c r="I26" s="1495"/>
      <c r="J26" s="1493" t="s">
        <v>19</v>
      </c>
      <c r="K26" s="1495" t="s">
        <v>123</v>
      </c>
      <c r="L26" s="2880" t="s">
        <v>7981</v>
      </c>
      <c r="M26" s="3051">
        <v>1200</v>
      </c>
      <c r="N26" s="2915" t="s">
        <v>5454</v>
      </c>
      <c r="O26" s="1493"/>
      <c r="P26" s="1493"/>
      <c r="Q26" s="2590"/>
      <c r="R26" s="3059">
        <v>1</v>
      </c>
      <c r="S26" s="1852"/>
      <c r="T26" s="1852"/>
      <c r="U26" s="1548"/>
      <c r="V26" s="1548"/>
      <c r="W26" s="1548"/>
      <c r="X26" s="1548"/>
      <c r="Y26" s="1548"/>
      <c r="Z26" s="1548"/>
      <c r="AA26" s="1548"/>
      <c r="AB26" s="1548"/>
      <c r="AC26" s="1548"/>
    </row>
    <row r="27" spans="1:29" s="2643" customFormat="1" ht="58.5" customHeight="1">
      <c r="A27" s="3733"/>
      <c r="B27" s="3018" t="str">
        <f t="shared" si="0"/>
        <v>2000003278</v>
      </c>
      <c r="C27" s="3042" t="s">
        <v>3115</v>
      </c>
      <c r="D27" s="1903"/>
      <c r="E27" s="1921"/>
      <c r="F27" s="3023" t="s">
        <v>3401</v>
      </c>
      <c r="G27" s="3021"/>
      <c r="H27" s="3021"/>
      <c r="I27" s="3021"/>
      <c r="J27" s="3023" t="s">
        <v>19</v>
      </c>
      <c r="K27" s="3085" t="s">
        <v>123</v>
      </c>
      <c r="L27" s="2880" t="s">
        <v>7982</v>
      </c>
      <c r="M27" s="3052">
        <v>2600</v>
      </c>
      <c r="N27" s="3030" t="s">
        <v>5937</v>
      </c>
      <c r="O27" s="3023"/>
      <c r="P27" s="3023"/>
      <c r="Q27" s="3024"/>
      <c r="R27" s="3059">
        <v>1</v>
      </c>
      <c r="S27" s="1548"/>
      <c r="T27" s="1548"/>
      <c r="U27" s="1548"/>
      <c r="V27" s="1548"/>
      <c r="W27" s="1548"/>
      <c r="X27" s="1548"/>
      <c r="Y27" s="1548"/>
      <c r="Z27" s="1548"/>
      <c r="AA27" s="1548"/>
      <c r="AB27" s="1548"/>
      <c r="AC27" s="1548"/>
    </row>
    <row r="28" spans="1:29" s="2643" customFormat="1" ht="58.5" customHeight="1">
      <c r="A28" s="3733"/>
      <c r="B28" s="3018" t="str">
        <f t="shared" si="0"/>
        <v>2000003277</v>
      </c>
      <c r="C28" s="3042" t="s">
        <v>3115</v>
      </c>
      <c r="D28" s="1903"/>
      <c r="E28" s="1921"/>
      <c r="F28" s="3023" t="s">
        <v>3401</v>
      </c>
      <c r="G28" s="3021"/>
      <c r="H28" s="3021"/>
      <c r="I28" s="3021"/>
      <c r="J28" s="3023" t="s">
        <v>19</v>
      </c>
      <c r="K28" s="3085" t="s">
        <v>123</v>
      </c>
      <c r="L28" s="2880" t="s">
        <v>7983</v>
      </c>
      <c r="M28" s="3052">
        <v>2000</v>
      </c>
      <c r="N28" s="3030" t="s">
        <v>5257</v>
      </c>
      <c r="O28" s="3023"/>
      <c r="P28" s="3023"/>
      <c r="Q28" s="3024"/>
      <c r="R28" s="3059">
        <v>1</v>
      </c>
      <c r="S28" s="1548"/>
      <c r="T28" s="1548"/>
      <c r="U28" s="1548"/>
      <c r="V28" s="1548"/>
      <c r="W28" s="1548"/>
      <c r="X28" s="1548"/>
      <c r="Y28" s="1548"/>
      <c r="Z28" s="1548"/>
      <c r="AA28" s="1548"/>
      <c r="AB28" s="1548"/>
      <c r="AC28" s="1548"/>
    </row>
    <row r="29" spans="1:29" s="2643" customFormat="1" ht="58.5" customHeight="1">
      <c r="A29" s="3733"/>
      <c r="B29" s="3018" t="str">
        <f t="shared" si="0"/>
        <v>2000003286</v>
      </c>
      <c r="C29" s="3042" t="s">
        <v>3115</v>
      </c>
      <c r="D29" s="1903"/>
      <c r="E29" s="1921"/>
      <c r="F29" s="3023" t="s">
        <v>3401</v>
      </c>
      <c r="G29" s="3021"/>
      <c r="H29" s="3021"/>
      <c r="I29" s="3021"/>
      <c r="J29" s="3023" t="s">
        <v>19</v>
      </c>
      <c r="K29" s="3085" t="s">
        <v>123</v>
      </c>
      <c r="L29" s="2880" t="s">
        <v>7984</v>
      </c>
      <c r="M29" s="3052">
        <v>1900</v>
      </c>
      <c r="N29" s="3030" t="s">
        <v>5937</v>
      </c>
      <c r="O29" s="3023"/>
      <c r="P29" s="3023"/>
      <c r="Q29" s="3024"/>
      <c r="R29" s="3059">
        <v>1</v>
      </c>
      <c r="S29" s="1548"/>
      <c r="T29" s="1548"/>
      <c r="U29" s="1548"/>
      <c r="V29" s="1548"/>
      <c r="W29" s="1548"/>
      <c r="X29" s="1548"/>
      <c r="Y29" s="1548"/>
      <c r="Z29" s="1548"/>
      <c r="AA29" s="1548"/>
      <c r="AB29" s="1548"/>
      <c r="AC29" s="1548"/>
    </row>
    <row r="30" spans="1:29" s="2643" customFormat="1" ht="58.5" customHeight="1">
      <c r="A30" s="3734"/>
      <c r="B30" s="3018" t="str">
        <f t="shared" si="0"/>
        <v>2000003285</v>
      </c>
      <c r="C30" s="3042" t="s">
        <v>3115</v>
      </c>
      <c r="D30" s="1903"/>
      <c r="E30" s="1921"/>
      <c r="F30" s="3023" t="s">
        <v>3401</v>
      </c>
      <c r="G30" s="3021"/>
      <c r="H30" s="3021"/>
      <c r="I30" s="3021"/>
      <c r="J30" s="3023" t="s">
        <v>19</v>
      </c>
      <c r="K30" s="3085" t="s">
        <v>123</v>
      </c>
      <c r="L30" s="2880" t="s">
        <v>7985</v>
      </c>
      <c r="M30" s="3052">
        <v>1000</v>
      </c>
      <c r="N30" s="3030" t="s">
        <v>5257</v>
      </c>
      <c r="O30" s="3023"/>
      <c r="P30" s="3023"/>
      <c r="Q30" s="3024"/>
      <c r="R30" s="3059">
        <v>1</v>
      </c>
      <c r="S30" s="1548"/>
      <c r="T30" s="1548"/>
      <c r="U30" s="1548"/>
      <c r="V30" s="1548"/>
      <c r="W30" s="1548"/>
      <c r="X30" s="1548"/>
      <c r="Y30" s="1548"/>
      <c r="Z30" s="1548"/>
      <c r="AA30" s="1548"/>
      <c r="AB30" s="1548"/>
      <c r="AC30" s="1548"/>
    </row>
    <row r="31" spans="1:29" s="2150" customFormat="1" ht="58.5" customHeight="1">
      <c r="A31" s="3732">
        <v>7</v>
      </c>
      <c r="B31" s="3018" t="str">
        <f t="shared" si="0"/>
        <v>2400001250</v>
      </c>
      <c r="C31" s="3033" t="s">
        <v>7986</v>
      </c>
      <c r="D31" s="3034">
        <f>2000+2000</f>
        <v>4000</v>
      </c>
      <c r="E31" s="3035" t="s">
        <v>7987</v>
      </c>
      <c r="F31" s="3033" t="s">
        <v>2260</v>
      </c>
      <c r="G31" s="3035" t="s">
        <v>7988</v>
      </c>
      <c r="H31" s="3035"/>
      <c r="I31" s="3035"/>
      <c r="J31" s="3033" t="s">
        <v>19</v>
      </c>
      <c r="K31" s="3086" t="s">
        <v>109</v>
      </c>
      <c r="L31" s="2912" t="s">
        <v>7989</v>
      </c>
      <c r="M31" s="3050">
        <v>350</v>
      </c>
      <c r="N31" s="3036" t="s">
        <v>5454</v>
      </c>
      <c r="O31" s="3033">
        <v>25</v>
      </c>
      <c r="P31" s="3033"/>
      <c r="Q31" s="3037" t="s">
        <v>7990</v>
      </c>
      <c r="R31" s="3059">
        <v>1</v>
      </c>
    </row>
    <row r="32" spans="1:29" s="1548" customFormat="1" ht="58.5" customHeight="1">
      <c r="A32" s="3733"/>
      <c r="B32" s="3018" t="str">
        <f t="shared" si="0"/>
        <v>2400001251</v>
      </c>
      <c r="C32" s="3023" t="s">
        <v>7986</v>
      </c>
      <c r="D32" s="3020"/>
      <c r="E32" s="3035"/>
      <c r="F32" s="3023" t="s">
        <v>2260</v>
      </c>
      <c r="G32" s="3021"/>
      <c r="H32" s="3021"/>
      <c r="I32" s="3021"/>
      <c r="J32" s="3023" t="s">
        <v>19</v>
      </c>
      <c r="K32" s="3021" t="s">
        <v>109</v>
      </c>
      <c r="L32" s="3148" t="s">
        <v>7991</v>
      </c>
      <c r="M32" s="3053">
        <v>250</v>
      </c>
      <c r="N32" s="3031" t="s">
        <v>5454</v>
      </c>
      <c r="O32" s="3033">
        <v>25</v>
      </c>
      <c r="P32" s="3033"/>
      <c r="Q32" s="3037" t="s">
        <v>7990</v>
      </c>
      <c r="R32" s="3059">
        <v>1</v>
      </c>
    </row>
    <row r="33" spans="1:30" s="1548" customFormat="1" ht="58.5" customHeight="1">
      <c r="A33" s="3733"/>
      <c r="B33" s="3018" t="str">
        <f t="shared" si="0"/>
        <v>2400001252</v>
      </c>
      <c r="C33" s="3023" t="s">
        <v>7986</v>
      </c>
      <c r="D33" s="3020"/>
      <c r="E33" s="3035"/>
      <c r="F33" s="3023" t="s">
        <v>2260</v>
      </c>
      <c r="G33" s="3021"/>
      <c r="H33" s="3021"/>
      <c r="I33" s="3021"/>
      <c r="J33" s="3023" t="s">
        <v>19</v>
      </c>
      <c r="K33" s="3021" t="s">
        <v>109</v>
      </c>
      <c r="L33" s="2880" t="s">
        <v>7992</v>
      </c>
      <c r="M33" s="3054">
        <v>300</v>
      </c>
      <c r="N33" s="3031" t="s">
        <v>5454</v>
      </c>
      <c r="O33" s="3033">
        <v>25</v>
      </c>
      <c r="P33" s="3033"/>
      <c r="Q33" s="3037" t="s">
        <v>7990</v>
      </c>
      <c r="R33" s="3059">
        <v>1</v>
      </c>
    </row>
    <row r="34" spans="1:30" s="1548" customFormat="1" ht="58.5" customHeight="1">
      <c r="A34" s="3733"/>
      <c r="B34" s="3018" t="str">
        <f t="shared" si="0"/>
        <v>2400001253</v>
      </c>
      <c r="C34" s="3023" t="s">
        <v>7986</v>
      </c>
      <c r="D34" s="3020"/>
      <c r="E34" s="3035"/>
      <c r="F34" s="3023" t="s">
        <v>2260</v>
      </c>
      <c r="G34" s="3021"/>
      <c r="H34" s="3021"/>
      <c r="I34" s="3021"/>
      <c r="J34" s="3023" t="s">
        <v>19</v>
      </c>
      <c r="K34" s="3021" t="s">
        <v>109</v>
      </c>
      <c r="L34" s="2880" t="s">
        <v>7993</v>
      </c>
      <c r="M34" s="3054">
        <v>900</v>
      </c>
      <c r="N34" s="3031" t="s">
        <v>5454</v>
      </c>
      <c r="O34" s="3033">
        <v>25</v>
      </c>
      <c r="P34" s="3033"/>
      <c r="Q34" s="3037" t="s">
        <v>7990</v>
      </c>
      <c r="R34" s="3059">
        <v>1</v>
      </c>
    </row>
    <row r="35" spans="1:30" s="1548" customFormat="1" ht="58.5" customHeight="1">
      <c r="A35" s="3733"/>
      <c r="B35" s="3018" t="str">
        <f t="shared" si="0"/>
        <v>2400001254</v>
      </c>
      <c r="C35" s="3023" t="s">
        <v>7986</v>
      </c>
      <c r="D35" s="3020"/>
      <c r="E35" s="3035"/>
      <c r="F35" s="3023" t="s">
        <v>2260</v>
      </c>
      <c r="G35" s="3021"/>
      <c r="H35" s="3021"/>
      <c r="I35" s="3021"/>
      <c r="J35" s="3023" t="s">
        <v>19</v>
      </c>
      <c r="K35" s="3021" t="s">
        <v>109</v>
      </c>
      <c r="L35" s="2880" t="s">
        <v>7994</v>
      </c>
      <c r="M35" s="3054">
        <v>200</v>
      </c>
      <c r="N35" s="3031" t="s">
        <v>5454</v>
      </c>
      <c r="O35" s="3033">
        <v>25</v>
      </c>
      <c r="P35" s="3033"/>
      <c r="Q35" s="3037" t="s">
        <v>7990</v>
      </c>
      <c r="R35" s="3059">
        <v>1</v>
      </c>
    </row>
    <row r="36" spans="1:30" s="1548" customFormat="1" ht="58.5" customHeight="1">
      <c r="A36" s="3733"/>
      <c r="B36" s="3018" t="str">
        <f t="shared" si="0"/>
        <v>2400001260</v>
      </c>
      <c r="C36" s="3023" t="s">
        <v>7986</v>
      </c>
      <c r="D36" s="3020"/>
      <c r="E36" s="3035"/>
      <c r="F36" s="3023" t="s">
        <v>2260</v>
      </c>
      <c r="G36" s="3021"/>
      <c r="H36" s="3021"/>
      <c r="I36" s="3021"/>
      <c r="J36" s="3023" t="s">
        <v>19</v>
      </c>
      <c r="K36" s="3021" t="s">
        <v>7995</v>
      </c>
      <c r="L36" s="2880" t="s">
        <v>7996</v>
      </c>
      <c r="M36" s="3054">
        <v>900</v>
      </c>
      <c r="N36" s="3031" t="s">
        <v>5454</v>
      </c>
      <c r="O36" s="3033">
        <v>25</v>
      </c>
      <c r="P36" s="3033"/>
      <c r="Q36" s="3024" t="s">
        <v>7997</v>
      </c>
      <c r="R36" s="3059">
        <v>1</v>
      </c>
    </row>
    <row r="37" spans="1:30" s="1548" customFormat="1" ht="58.5" customHeight="1">
      <c r="A37" s="3733"/>
      <c r="B37" s="3018" t="str">
        <f t="shared" si="0"/>
        <v>2400001261</v>
      </c>
      <c r="C37" s="3023" t="s">
        <v>7986</v>
      </c>
      <c r="D37" s="3020"/>
      <c r="E37" s="3035"/>
      <c r="F37" s="3023" t="s">
        <v>2260</v>
      </c>
      <c r="G37" s="3021"/>
      <c r="H37" s="3021"/>
      <c r="I37" s="3021"/>
      <c r="J37" s="3023" t="s">
        <v>19</v>
      </c>
      <c r="K37" s="3021" t="s">
        <v>7995</v>
      </c>
      <c r="L37" s="2880" t="s">
        <v>7998</v>
      </c>
      <c r="M37" s="3054">
        <v>1100</v>
      </c>
      <c r="N37" s="3031" t="s">
        <v>5454</v>
      </c>
      <c r="O37" s="3033">
        <v>25</v>
      </c>
      <c r="P37" s="3033"/>
      <c r="Q37" s="3024" t="s">
        <v>7997</v>
      </c>
      <c r="R37" s="3059">
        <v>1</v>
      </c>
    </row>
    <row r="38" spans="1:30" s="1548" customFormat="1" ht="58.5" customHeight="1">
      <c r="A38" s="3734"/>
      <c r="B38" s="3018" t="str">
        <f t="shared" si="0"/>
        <v>2400001275</v>
      </c>
      <c r="C38" s="3023" t="s">
        <v>7986</v>
      </c>
      <c r="D38" s="3020"/>
      <c r="E38" s="3035"/>
      <c r="F38" s="3023" t="s">
        <v>2260</v>
      </c>
      <c r="G38" s="3021"/>
      <c r="H38" s="3021"/>
      <c r="I38" s="3021"/>
      <c r="J38" s="3023" t="s">
        <v>19</v>
      </c>
      <c r="K38" s="3021" t="s">
        <v>7995</v>
      </c>
      <c r="L38" s="2880" t="s">
        <v>7999</v>
      </c>
      <c r="M38" s="3054">
        <v>25</v>
      </c>
      <c r="N38" s="3031" t="s">
        <v>5454</v>
      </c>
      <c r="O38" s="3033">
        <v>25</v>
      </c>
      <c r="P38" s="3033"/>
      <c r="Q38" s="3024" t="s">
        <v>7997</v>
      </c>
      <c r="R38" s="3059">
        <v>1</v>
      </c>
    </row>
    <row r="39" spans="1:30" s="1548" customFormat="1" ht="52.5" customHeight="1">
      <c r="A39" s="2436">
        <v>8</v>
      </c>
      <c r="B39" s="3038" t="str">
        <f t="shared" si="0"/>
        <v>2000003258</v>
      </c>
      <c r="C39" s="1902" t="s">
        <v>211</v>
      </c>
      <c r="D39" s="2642">
        <v>4000</v>
      </c>
      <c r="E39" s="2789" t="s">
        <v>8000</v>
      </c>
      <c r="F39" s="3033" t="s">
        <v>61</v>
      </c>
      <c r="G39" s="1921" t="s">
        <v>8001</v>
      </c>
      <c r="H39" s="1921"/>
      <c r="I39" s="1921" t="s">
        <v>5253</v>
      </c>
      <c r="J39" s="1902" t="s">
        <v>19</v>
      </c>
      <c r="K39" s="1921" t="s">
        <v>1138</v>
      </c>
      <c r="L39" s="1845" t="s">
        <v>7970</v>
      </c>
      <c r="M39" s="3055">
        <v>4000</v>
      </c>
      <c r="N39" s="3030" t="s">
        <v>5937</v>
      </c>
      <c r="O39" s="3023">
        <v>37</v>
      </c>
      <c r="P39" s="3023"/>
      <c r="Q39" s="1745"/>
      <c r="R39" s="3059">
        <v>1</v>
      </c>
      <c r="S39" s="2429"/>
      <c r="T39" s="2429"/>
      <c r="U39" s="2150"/>
      <c r="V39" s="2150"/>
      <c r="W39" s="2150"/>
      <c r="X39" s="2150"/>
      <c r="Y39" s="2150"/>
      <c r="Z39" s="2150"/>
      <c r="AA39" s="2150"/>
      <c r="AB39" s="2150"/>
      <c r="AC39" s="2150"/>
      <c r="AD39" s="2150"/>
    </row>
    <row r="40" spans="1:30" s="1548" customFormat="1" ht="58.5" customHeight="1">
      <c r="A40" s="3819">
        <v>9</v>
      </c>
      <c r="B40" s="3018" t="str">
        <f t="shared" si="0"/>
        <v>2400001241</v>
      </c>
      <c r="C40" s="3033" t="s">
        <v>8002</v>
      </c>
      <c r="D40" s="3050">
        <v>8375</v>
      </c>
      <c r="E40" s="3035" t="s">
        <v>8003</v>
      </c>
      <c r="F40" s="3033" t="s">
        <v>8004</v>
      </c>
      <c r="G40" s="3035" t="s">
        <v>8005</v>
      </c>
      <c r="H40" s="3035"/>
      <c r="I40" s="3035" t="s">
        <v>5253</v>
      </c>
      <c r="J40" s="3033" t="s">
        <v>19</v>
      </c>
      <c r="K40" s="3035" t="s">
        <v>8006</v>
      </c>
      <c r="L40" s="2912" t="s">
        <v>8007</v>
      </c>
      <c r="M40" s="3050">
        <v>2400</v>
      </c>
      <c r="N40" s="2915" t="s">
        <v>5454</v>
      </c>
      <c r="O40" s="3023"/>
      <c r="P40" s="3023"/>
      <c r="Q40" s="3024" t="s">
        <v>7990</v>
      </c>
      <c r="R40" s="3059">
        <v>2</v>
      </c>
      <c r="T40" s="2628">
        <v>2400001241</v>
      </c>
      <c r="U40" s="1493">
        <f>VLOOKUP(T40,'PKH UPDATE'!A:D,2,0)</f>
        <v>2433</v>
      </c>
      <c r="V40" s="1493">
        <f>VLOOKUP(T40,'PKH UPDATE'!A:D,3,0)</f>
        <v>2410</v>
      </c>
      <c r="W40" s="1493">
        <f>VLOOKUP(T40,'PKH UPDATE'!A:D,4,0)</f>
        <v>22</v>
      </c>
    </row>
    <row r="41" spans="1:30" s="1548" customFormat="1" ht="58.5" customHeight="1">
      <c r="A41" s="3820"/>
      <c r="B41" s="3018" t="str">
        <f t="shared" si="0"/>
        <v>2400001248</v>
      </c>
      <c r="C41" s="3023" t="s">
        <v>8002</v>
      </c>
      <c r="D41" s="3054"/>
      <c r="E41" s="3035"/>
      <c r="F41" s="3023" t="s">
        <v>8004</v>
      </c>
      <c r="G41" s="3021"/>
      <c r="H41" s="3021"/>
      <c r="I41" s="3021" t="s">
        <v>5253</v>
      </c>
      <c r="J41" s="3023" t="s">
        <v>19</v>
      </c>
      <c r="K41" s="3021" t="s">
        <v>8006</v>
      </c>
      <c r="L41" s="2880" t="s">
        <v>8008</v>
      </c>
      <c r="M41" s="3054">
        <v>600</v>
      </c>
      <c r="N41" s="2915" t="s">
        <v>5454</v>
      </c>
      <c r="O41" s="3023"/>
      <c r="P41" s="3023"/>
      <c r="Q41" s="3024" t="s">
        <v>7990</v>
      </c>
      <c r="R41" s="3059">
        <v>2</v>
      </c>
      <c r="T41" s="2628">
        <v>2400001248</v>
      </c>
      <c r="U41" s="1493" t="e">
        <f>VLOOKUP(T41,'PKH UPDATE'!A:D,2,0)</f>
        <v>#N/A</v>
      </c>
      <c r="V41" s="1493" t="e">
        <f>VLOOKUP(T41,'PKH UPDATE'!A:D,3,0)</f>
        <v>#N/A</v>
      </c>
      <c r="W41" s="1493" t="e">
        <f>VLOOKUP(T41,'PKH UPDATE'!A:D,4,0)</f>
        <v>#N/A</v>
      </c>
    </row>
    <row r="42" spans="1:30" s="1548" customFormat="1" ht="58.5" customHeight="1">
      <c r="A42" s="3820"/>
      <c r="B42" s="3018" t="str">
        <f t="shared" si="0"/>
        <v>2400001243</v>
      </c>
      <c r="C42" s="3023" t="s">
        <v>8002</v>
      </c>
      <c r="D42" s="3054"/>
      <c r="E42" s="3035"/>
      <c r="F42" s="3023" t="s">
        <v>8004</v>
      </c>
      <c r="G42" s="3021"/>
      <c r="H42" s="3021"/>
      <c r="I42" s="3021" t="s">
        <v>5253</v>
      </c>
      <c r="J42" s="3023" t="s">
        <v>19</v>
      </c>
      <c r="K42" s="3021" t="s">
        <v>8006</v>
      </c>
      <c r="L42" s="2880" t="s">
        <v>8009</v>
      </c>
      <c r="M42" s="3054">
        <v>25</v>
      </c>
      <c r="N42" s="2915" t="s">
        <v>5454</v>
      </c>
      <c r="O42" s="3023"/>
      <c r="P42" s="3023"/>
      <c r="Q42" s="3024" t="s">
        <v>7990</v>
      </c>
      <c r="R42" s="3059">
        <v>2</v>
      </c>
      <c r="T42" s="2628">
        <v>2400001243</v>
      </c>
      <c r="U42" s="1493" t="e">
        <f>VLOOKUP(T42,'PKH UPDATE'!A:D,2,0)</f>
        <v>#N/A</v>
      </c>
      <c r="V42" s="1493" t="e">
        <f>VLOOKUP(T42,'PKH UPDATE'!A:D,3,0)</f>
        <v>#N/A</v>
      </c>
      <c r="W42" s="1493" t="e">
        <f>VLOOKUP(T42,'PKH UPDATE'!A:D,4,0)</f>
        <v>#N/A</v>
      </c>
    </row>
    <row r="43" spans="1:30" s="1548" customFormat="1" ht="58.5" customHeight="1">
      <c r="A43" s="3820"/>
      <c r="B43" s="3018" t="str">
        <f t="shared" si="0"/>
        <v>2400001276</v>
      </c>
      <c r="C43" s="3023" t="s">
        <v>8002</v>
      </c>
      <c r="D43" s="3020"/>
      <c r="E43" s="3035"/>
      <c r="F43" s="3023" t="s">
        <v>8004</v>
      </c>
      <c r="G43" s="3021"/>
      <c r="H43" s="3021"/>
      <c r="I43" s="3021"/>
      <c r="J43" s="3023" t="s">
        <v>19</v>
      </c>
      <c r="K43" s="3085" t="s">
        <v>5207</v>
      </c>
      <c r="L43" s="2880" t="s">
        <v>8010</v>
      </c>
      <c r="M43" s="3054">
        <v>5000</v>
      </c>
      <c r="N43" s="2915" t="s">
        <v>5454</v>
      </c>
      <c r="O43" s="3023"/>
      <c r="P43" s="3023"/>
      <c r="Q43" s="3024" t="s">
        <v>7997</v>
      </c>
      <c r="R43" s="3059">
        <v>2</v>
      </c>
      <c r="T43" s="2628">
        <v>2400001276</v>
      </c>
      <c r="U43" s="1493">
        <f>VLOOKUP(T43,'PKH UPDATE'!A:D,2,0)</f>
        <v>4541</v>
      </c>
      <c r="V43" s="1493">
        <f>VLOOKUP(T43,'PKH UPDATE'!A:D,3,0)</f>
        <v>3789</v>
      </c>
      <c r="W43" s="1493">
        <f>VLOOKUP(T43,'PKH UPDATE'!A:D,4,0)</f>
        <v>752</v>
      </c>
    </row>
    <row r="44" spans="1:30" s="1548" customFormat="1" ht="58.5" customHeight="1">
      <c r="A44" s="3820"/>
      <c r="B44" s="3018" t="str">
        <f t="shared" si="0"/>
        <v>2400001284</v>
      </c>
      <c r="C44" s="3023" t="s">
        <v>8002</v>
      </c>
      <c r="D44" s="3034"/>
      <c r="E44" s="3035"/>
      <c r="F44" s="3023" t="s">
        <v>8004</v>
      </c>
      <c r="G44" s="3035"/>
      <c r="H44" s="3035"/>
      <c r="I44" s="3021" t="s">
        <v>5253</v>
      </c>
      <c r="J44" s="3023" t="s">
        <v>19</v>
      </c>
      <c r="K44" s="3021" t="s">
        <v>5207</v>
      </c>
      <c r="L44" s="3073" t="s">
        <v>8011</v>
      </c>
      <c r="M44" s="3074">
        <v>300</v>
      </c>
      <c r="N44" s="2915" t="s">
        <v>5454</v>
      </c>
      <c r="O44" s="3033"/>
      <c r="P44" s="3033"/>
      <c r="Q44" s="3024" t="s">
        <v>7997</v>
      </c>
      <c r="R44" s="3059">
        <v>2</v>
      </c>
      <c r="S44" s="2150"/>
      <c r="T44" s="2674">
        <v>2400001284</v>
      </c>
      <c r="U44" s="1493">
        <f>VLOOKUP(T44,'PKH UPDATE'!A:D,2,0)</f>
        <v>326</v>
      </c>
      <c r="V44" s="1493">
        <f>VLOOKUP(T44,'PKH UPDATE'!A:D,3,0)</f>
        <v>187</v>
      </c>
      <c r="W44" s="1493">
        <f>VLOOKUP(T44,'PKH UPDATE'!A:D,4,0)</f>
        <v>139</v>
      </c>
      <c r="X44" s="2150"/>
      <c r="Y44" s="2150"/>
      <c r="Z44" s="2150"/>
      <c r="AA44" s="2150"/>
      <c r="AB44" s="2150"/>
      <c r="AC44" s="2150"/>
    </row>
    <row r="45" spans="1:30" s="1548" customFormat="1" ht="58.5" customHeight="1">
      <c r="A45" s="3820"/>
      <c r="B45" s="3018" t="str">
        <f t="shared" si="0"/>
        <v>2400001272</v>
      </c>
      <c r="C45" s="3023" t="s">
        <v>8002</v>
      </c>
      <c r="D45" s="3020"/>
      <c r="E45" s="3035"/>
      <c r="F45" s="3023" t="s">
        <v>8004</v>
      </c>
      <c r="G45" s="3021"/>
      <c r="H45" s="3021"/>
      <c r="I45" s="3075">
        <v>45939</v>
      </c>
      <c r="J45" s="3023" t="s">
        <v>19</v>
      </c>
      <c r="K45" s="3021" t="s">
        <v>8006</v>
      </c>
      <c r="L45" s="2880" t="s">
        <v>8012</v>
      </c>
      <c r="M45" s="3054">
        <v>50</v>
      </c>
      <c r="N45" s="2915" t="s">
        <v>5454</v>
      </c>
      <c r="O45" s="3023"/>
      <c r="P45" s="3023"/>
      <c r="Q45" s="3024" t="s">
        <v>7990</v>
      </c>
      <c r="R45" s="3059">
        <v>2</v>
      </c>
      <c r="T45" s="2628">
        <v>2400001272</v>
      </c>
      <c r="U45" s="1493">
        <f>VLOOKUP(T45,'PKH UPDATE'!A:D,2,0)</f>
        <v>46</v>
      </c>
      <c r="V45" s="1493">
        <f>VLOOKUP(T45,'PKH UPDATE'!A:D,3,0)</f>
        <v>0</v>
      </c>
      <c r="W45" s="1493">
        <f>VLOOKUP(T45,'PKH UPDATE'!A:D,4,0)</f>
        <v>46</v>
      </c>
    </row>
    <row r="46" spans="1:30" s="1548" customFormat="1" ht="58.5" customHeight="1">
      <c r="A46" s="3821"/>
      <c r="B46" s="3018" t="str">
        <f t="shared" si="0"/>
        <v>2400001273</v>
      </c>
      <c r="C46" s="3023" t="s">
        <v>8002</v>
      </c>
      <c r="D46" s="3020"/>
      <c r="E46" s="3035"/>
      <c r="F46" s="3023" t="s">
        <v>8004</v>
      </c>
      <c r="G46" s="3021"/>
      <c r="H46" s="3021"/>
      <c r="I46" s="3075">
        <v>45939</v>
      </c>
      <c r="J46" s="3023" t="s">
        <v>19</v>
      </c>
      <c r="K46" s="3021" t="s">
        <v>8006</v>
      </c>
      <c r="L46" s="2880" t="s">
        <v>8013</v>
      </c>
      <c r="M46" s="3054">
        <v>25</v>
      </c>
      <c r="N46" s="2915" t="s">
        <v>5454</v>
      </c>
      <c r="O46" s="3023"/>
      <c r="P46" s="3023"/>
      <c r="Q46" s="3024" t="s">
        <v>7990</v>
      </c>
      <c r="R46" s="3059">
        <v>2</v>
      </c>
      <c r="T46" s="2628">
        <v>2400001273</v>
      </c>
      <c r="U46" s="1493">
        <f>VLOOKUP(T46,'PKH UPDATE'!A:D,2,0)</f>
        <v>25</v>
      </c>
      <c r="V46" s="1493">
        <f>VLOOKUP(T46,'PKH UPDATE'!A:D,3,0)</f>
        <v>0</v>
      </c>
      <c r="W46" s="1493">
        <f>VLOOKUP(T46,'PKH UPDATE'!A:D,4,0)</f>
        <v>25</v>
      </c>
    </row>
    <row r="47" spans="1:30" s="1548" customFormat="1" ht="58.5" customHeight="1">
      <c r="A47" s="3735">
        <v>10</v>
      </c>
      <c r="B47" s="3018" t="str">
        <f t="shared" si="0"/>
        <v>2200002135</v>
      </c>
      <c r="C47" s="1902" t="s">
        <v>3455</v>
      </c>
      <c r="D47" s="2642">
        <v>8800</v>
      </c>
      <c r="E47" s="1921" t="s">
        <v>8014</v>
      </c>
      <c r="F47" s="1902" t="s">
        <v>3401</v>
      </c>
      <c r="G47" s="1921" t="s">
        <v>8015</v>
      </c>
      <c r="H47" s="1921"/>
      <c r="I47" s="1921"/>
      <c r="J47" s="1902" t="s">
        <v>19</v>
      </c>
      <c r="K47" s="1921" t="s">
        <v>1138</v>
      </c>
      <c r="L47" s="1845" t="s">
        <v>8016</v>
      </c>
      <c r="M47" s="3055">
        <v>1200</v>
      </c>
      <c r="N47" s="3030" t="s">
        <v>5454</v>
      </c>
      <c r="O47" s="1493"/>
      <c r="P47" s="1493"/>
      <c r="Q47" s="2590"/>
      <c r="R47" s="3059">
        <v>1</v>
      </c>
      <c r="S47" s="1790"/>
      <c r="T47" s="1790"/>
      <c r="U47" s="2150"/>
      <c r="V47" s="2150"/>
      <c r="W47" s="2150"/>
      <c r="X47" s="2150"/>
      <c r="Y47" s="2150"/>
      <c r="Z47" s="2150"/>
      <c r="AA47" s="2150"/>
      <c r="AB47" s="2150"/>
      <c r="AC47" s="2150"/>
    </row>
    <row r="48" spans="1:30" s="1548" customFormat="1" ht="58.5" customHeight="1">
      <c r="A48" s="3736"/>
      <c r="B48" s="3018" t="str">
        <f t="shared" si="0"/>
        <v>2200002136</v>
      </c>
      <c r="C48" s="1493" t="s">
        <v>3455</v>
      </c>
      <c r="D48" s="1903"/>
      <c r="E48" s="1921"/>
      <c r="F48" s="1493" t="s">
        <v>3401</v>
      </c>
      <c r="G48" s="1495"/>
      <c r="H48" s="1495"/>
      <c r="I48" s="1495"/>
      <c r="J48" s="1493" t="s">
        <v>19</v>
      </c>
      <c r="K48" s="1495" t="s">
        <v>1138</v>
      </c>
      <c r="L48" s="1600" t="s">
        <v>8017</v>
      </c>
      <c r="M48" s="3051">
        <v>4900</v>
      </c>
      <c r="N48" s="3030" t="s">
        <v>5257</v>
      </c>
      <c r="O48" s="2879"/>
      <c r="P48" s="2879"/>
      <c r="Q48" s="2590"/>
      <c r="R48" s="3059">
        <v>1</v>
      </c>
      <c r="S48" s="1852"/>
      <c r="T48" s="1852"/>
      <c r="U48" s="2150"/>
      <c r="V48" s="2150"/>
      <c r="W48" s="2150"/>
      <c r="X48" s="2150"/>
      <c r="Y48" s="2150"/>
      <c r="Z48" s="2150"/>
      <c r="AA48" s="2150"/>
      <c r="AB48" s="2150"/>
      <c r="AC48" s="2150"/>
    </row>
    <row r="49" spans="1:29" s="1548" customFormat="1" ht="58.5" customHeight="1">
      <c r="A49" s="3736"/>
      <c r="B49" s="3018" t="str">
        <f t="shared" si="0"/>
        <v>2000003243</v>
      </c>
      <c r="C49" s="1493" t="s">
        <v>3455</v>
      </c>
      <c r="D49" s="1903"/>
      <c r="E49" s="1921"/>
      <c r="F49" s="1493" t="s">
        <v>3401</v>
      </c>
      <c r="G49" s="1495"/>
      <c r="H49" s="1495"/>
      <c r="I49" s="1495"/>
      <c r="J49" s="1493" t="s">
        <v>19</v>
      </c>
      <c r="K49" s="1495" t="s">
        <v>1138</v>
      </c>
      <c r="L49" s="1600" t="s">
        <v>8018</v>
      </c>
      <c r="M49" s="3051">
        <v>1000</v>
      </c>
      <c r="N49" s="3030" t="s">
        <v>5257</v>
      </c>
      <c r="O49" s="1493"/>
      <c r="P49" s="1493"/>
      <c r="Q49" s="2590"/>
      <c r="R49" s="3059">
        <v>1</v>
      </c>
    </row>
    <row r="50" spans="1:29" s="1548" customFormat="1" ht="58.5" customHeight="1">
      <c r="A50" s="3737"/>
      <c r="B50" s="3018" t="str">
        <f t="shared" si="0"/>
        <v>2000003203</v>
      </c>
      <c r="C50" s="1493" t="s">
        <v>3455</v>
      </c>
      <c r="D50" s="3020"/>
      <c r="E50" s="3035"/>
      <c r="F50" s="1493" t="s">
        <v>3401</v>
      </c>
      <c r="G50" s="3021"/>
      <c r="H50" s="3021"/>
      <c r="I50" s="3021"/>
      <c r="J50" s="3022" t="s">
        <v>19</v>
      </c>
      <c r="K50" s="1495" t="s">
        <v>1138</v>
      </c>
      <c r="L50" s="2880" t="s">
        <v>8019</v>
      </c>
      <c r="M50" s="3054">
        <v>2000</v>
      </c>
      <c r="N50" s="3030" t="s">
        <v>5454</v>
      </c>
      <c r="O50" s="3023"/>
      <c r="P50" s="3023"/>
      <c r="Q50" s="3024"/>
      <c r="R50" s="3059">
        <v>1</v>
      </c>
    </row>
    <row r="51" spans="1:29" s="1548" customFormat="1" ht="58.5" customHeight="1">
      <c r="A51" s="3735">
        <v>11</v>
      </c>
      <c r="B51" s="3018" t="str">
        <f t="shared" si="0"/>
        <v>2200002138</v>
      </c>
      <c r="C51" s="2187" t="s">
        <v>8020</v>
      </c>
      <c r="D51" s="2642">
        <v>3950</v>
      </c>
      <c r="E51" s="1921" t="s">
        <v>8021</v>
      </c>
      <c r="F51" s="1902" t="s">
        <v>84</v>
      </c>
      <c r="G51" s="1921" t="s">
        <v>8022</v>
      </c>
      <c r="H51" s="1921"/>
      <c r="I51" s="1921"/>
      <c r="J51" s="1902" t="s">
        <v>19</v>
      </c>
      <c r="K51" s="1921" t="s">
        <v>101</v>
      </c>
      <c r="L51" s="1845" t="s">
        <v>8023</v>
      </c>
      <c r="M51" s="3055">
        <v>2000</v>
      </c>
      <c r="N51" s="3030" t="s">
        <v>5257</v>
      </c>
      <c r="O51" s="1493"/>
      <c r="P51" s="1493"/>
      <c r="Q51" s="2590"/>
      <c r="R51" s="1748">
        <v>1</v>
      </c>
    </row>
    <row r="52" spans="1:29" s="1548" customFormat="1" ht="63" customHeight="1">
      <c r="A52" s="3736"/>
      <c r="B52" s="3018" t="str">
        <f t="shared" si="0"/>
        <v>2200002137</v>
      </c>
      <c r="C52" s="1493" t="s">
        <v>5699</v>
      </c>
      <c r="D52" s="3019"/>
      <c r="E52" s="1921"/>
      <c r="F52" s="1493" t="s">
        <v>84</v>
      </c>
      <c r="G52" s="1495"/>
      <c r="H52" s="1495"/>
      <c r="I52" s="1495"/>
      <c r="J52" s="1493" t="s">
        <v>19</v>
      </c>
      <c r="K52" s="1495" t="s">
        <v>101</v>
      </c>
      <c r="L52" s="1600" t="s">
        <v>8024</v>
      </c>
      <c r="M52" s="3051">
        <v>900</v>
      </c>
      <c r="N52" s="3031" t="s">
        <v>5454</v>
      </c>
      <c r="O52" s="1493"/>
      <c r="P52" s="1493"/>
      <c r="Q52" s="2590"/>
      <c r="R52" s="3059">
        <v>1</v>
      </c>
      <c r="S52" s="1493"/>
      <c r="T52" s="1474"/>
      <c r="U52" s="1467"/>
      <c r="V52" s="1467"/>
      <c r="W52" s="1467"/>
      <c r="X52" s="1467"/>
      <c r="Y52" s="1467"/>
      <c r="Z52" s="1467"/>
      <c r="AA52" s="1467"/>
      <c r="AB52" s="1467"/>
      <c r="AC52" s="1467"/>
    </row>
    <row r="53" spans="1:29" s="1548" customFormat="1" ht="72" customHeight="1">
      <c r="A53" s="3737"/>
      <c r="B53" s="3018" t="str">
        <f t="shared" si="0"/>
        <v>2200002114</v>
      </c>
      <c r="C53" s="1493" t="s">
        <v>5699</v>
      </c>
      <c r="D53" s="3019"/>
      <c r="E53" s="1921"/>
      <c r="F53" s="1493" t="s">
        <v>84</v>
      </c>
      <c r="G53" s="1495"/>
      <c r="H53" s="1495"/>
      <c r="I53" s="1495"/>
      <c r="J53" s="1493" t="s">
        <v>19</v>
      </c>
      <c r="K53" s="1495" t="s">
        <v>74</v>
      </c>
      <c r="L53" s="1600" t="s">
        <v>8025</v>
      </c>
      <c r="M53" s="3051">
        <v>1054</v>
      </c>
      <c r="N53" s="3031" t="s">
        <v>5454</v>
      </c>
      <c r="O53" s="1493"/>
      <c r="P53" s="1493"/>
      <c r="Q53" s="2590"/>
      <c r="R53" s="3059">
        <v>1</v>
      </c>
      <c r="S53" s="1493"/>
      <c r="T53" s="1474"/>
      <c r="U53" s="1467"/>
      <c r="V53" s="1467"/>
      <c r="W53" s="1467"/>
      <c r="X53" s="1467"/>
      <c r="Y53" s="1467"/>
      <c r="Z53" s="1467"/>
      <c r="AA53" s="1467"/>
      <c r="AB53" s="1467"/>
      <c r="AC53" s="1467"/>
    </row>
    <row r="54" spans="1:29" s="2643" customFormat="1" ht="58.5" customHeight="1">
      <c r="A54" s="3732">
        <v>12</v>
      </c>
      <c r="B54" s="3038" t="str">
        <f t="shared" si="0"/>
        <v>2000003282</v>
      </c>
      <c r="C54" s="3033" t="s">
        <v>3460</v>
      </c>
      <c r="D54" s="3034">
        <v>4000</v>
      </c>
      <c r="E54" s="3035" t="s">
        <v>8026</v>
      </c>
      <c r="F54" s="3033" t="s">
        <v>61</v>
      </c>
      <c r="G54" s="3035" t="s">
        <v>8027</v>
      </c>
      <c r="H54" s="3035"/>
      <c r="I54" s="3035"/>
      <c r="J54" s="3041" t="s">
        <v>19</v>
      </c>
      <c r="K54" s="3035" t="s">
        <v>20</v>
      </c>
      <c r="L54" s="2912" t="s">
        <v>8028</v>
      </c>
      <c r="M54" s="3050">
        <v>1360</v>
      </c>
      <c r="N54" s="3030" t="s">
        <v>5257</v>
      </c>
      <c r="O54" s="3023">
        <v>37</v>
      </c>
      <c r="P54" s="3023"/>
      <c r="Q54" s="3037"/>
      <c r="R54" s="3059">
        <v>1</v>
      </c>
      <c r="S54" s="2150"/>
      <c r="T54" s="2150"/>
      <c r="U54" s="2150"/>
      <c r="V54" s="2150"/>
      <c r="W54" s="2150"/>
      <c r="X54" s="2150"/>
      <c r="Y54" s="2150"/>
      <c r="Z54" s="2150"/>
      <c r="AA54" s="2150"/>
      <c r="AB54" s="2150"/>
      <c r="AC54" s="2150"/>
    </row>
    <row r="55" spans="1:29" s="1467" customFormat="1" ht="58.5" customHeight="1">
      <c r="A55" s="3733"/>
      <c r="B55" s="3018" t="str">
        <f t="shared" si="0"/>
        <v>2000003250</v>
      </c>
      <c r="C55" s="3023" t="s">
        <v>3460</v>
      </c>
      <c r="D55" s="3020"/>
      <c r="E55" s="3035"/>
      <c r="F55" s="3023" t="s">
        <v>61</v>
      </c>
      <c r="G55" s="3021"/>
      <c r="H55" s="3021"/>
      <c r="I55" s="3021"/>
      <c r="J55" s="3022" t="s">
        <v>19</v>
      </c>
      <c r="K55" s="3021" t="s">
        <v>20</v>
      </c>
      <c r="L55" s="2880" t="s">
        <v>8029</v>
      </c>
      <c r="M55" s="3054">
        <v>570</v>
      </c>
      <c r="N55" s="3030" t="s">
        <v>5257</v>
      </c>
      <c r="O55" s="3023">
        <v>37</v>
      </c>
      <c r="P55" s="3023"/>
      <c r="Q55" s="3024"/>
      <c r="R55" s="3059">
        <v>1</v>
      </c>
      <c r="S55" s="1548"/>
      <c r="T55" s="1548"/>
      <c r="U55" s="1548"/>
      <c r="V55" s="1548"/>
      <c r="W55" s="1548"/>
      <c r="X55" s="1548"/>
      <c r="Y55" s="1548"/>
      <c r="Z55" s="1548"/>
      <c r="AA55" s="1548"/>
      <c r="AB55" s="1548"/>
      <c r="AC55" s="1548"/>
    </row>
    <row r="56" spans="1:29" s="1548" customFormat="1" ht="58.5" customHeight="1">
      <c r="A56" s="3733"/>
      <c r="B56" s="3018" t="str">
        <f t="shared" si="0"/>
        <v>2000003241</v>
      </c>
      <c r="C56" s="3023" t="s">
        <v>3460</v>
      </c>
      <c r="D56" s="1903"/>
      <c r="E56" s="1921"/>
      <c r="F56" s="1545" t="s">
        <v>61</v>
      </c>
      <c r="G56" s="1495"/>
      <c r="H56" s="1495"/>
      <c r="I56" s="1495"/>
      <c r="J56" s="1493" t="s">
        <v>19</v>
      </c>
      <c r="K56" s="1495" t="s">
        <v>1138</v>
      </c>
      <c r="L56" s="1600" t="s">
        <v>8030</v>
      </c>
      <c r="M56" s="3051">
        <v>270</v>
      </c>
      <c r="N56" s="2385" t="s">
        <v>5454</v>
      </c>
      <c r="O56" s="3023">
        <v>37</v>
      </c>
      <c r="P56" s="3023"/>
      <c r="Q56" s="2590"/>
      <c r="R56" s="3059">
        <v>1</v>
      </c>
    </row>
    <row r="57" spans="1:29" s="1467" customFormat="1" ht="58.5" customHeight="1">
      <c r="A57" s="3733"/>
      <c r="B57" s="3018" t="str">
        <f t="shared" si="0"/>
        <v>2200002124</v>
      </c>
      <c r="C57" s="3023" t="s">
        <v>3460</v>
      </c>
      <c r="D57" s="3020"/>
      <c r="E57" s="3035"/>
      <c r="F57" s="3023" t="s">
        <v>61</v>
      </c>
      <c r="G57" s="3021"/>
      <c r="H57" s="3021"/>
      <c r="I57" s="3059"/>
      <c r="J57" s="1493" t="s">
        <v>19</v>
      </c>
      <c r="K57" s="1495" t="s">
        <v>1138</v>
      </c>
      <c r="L57" s="1600" t="s">
        <v>8031</v>
      </c>
      <c r="M57" s="3051">
        <v>1400</v>
      </c>
      <c r="N57" s="3030" t="s">
        <v>5937</v>
      </c>
      <c r="O57" s="3023">
        <v>37</v>
      </c>
      <c r="P57" s="3023"/>
      <c r="Q57" s="2590"/>
      <c r="R57" s="3059">
        <v>1</v>
      </c>
      <c r="S57" s="1790"/>
      <c r="T57" s="1790"/>
      <c r="U57" s="1548"/>
      <c r="V57" s="1548"/>
      <c r="W57" s="1548"/>
      <c r="X57" s="1548"/>
      <c r="Y57" s="1548"/>
      <c r="Z57" s="1548"/>
      <c r="AA57" s="1548"/>
      <c r="AB57" s="1548"/>
      <c r="AC57" s="1548"/>
    </row>
    <row r="58" spans="1:29" s="1467" customFormat="1" ht="58.5" customHeight="1">
      <c r="A58" s="3734"/>
      <c r="B58" s="3018" t="str">
        <f t="shared" si="0"/>
        <v>2200002159</v>
      </c>
      <c r="C58" s="3023" t="s">
        <v>3460</v>
      </c>
      <c r="D58" s="3020"/>
      <c r="E58" s="3035"/>
      <c r="F58" s="3023" t="s">
        <v>61</v>
      </c>
      <c r="G58" s="3021"/>
      <c r="H58" s="3021"/>
      <c r="I58" s="3021"/>
      <c r="J58" s="1493" t="s">
        <v>19</v>
      </c>
      <c r="K58" s="1495" t="s">
        <v>1138</v>
      </c>
      <c r="L58" s="2880" t="s">
        <v>8032</v>
      </c>
      <c r="M58" s="3103">
        <v>400</v>
      </c>
      <c r="N58" s="2385" t="s">
        <v>5454</v>
      </c>
      <c r="O58" s="3023">
        <v>37</v>
      </c>
      <c r="P58" s="3023"/>
      <c r="Q58" s="3024"/>
      <c r="R58" s="3059">
        <v>1</v>
      </c>
      <c r="S58" s="1548"/>
      <c r="T58" s="1548"/>
      <c r="U58" s="1548"/>
      <c r="V58" s="1548"/>
      <c r="W58" s="1548"/>
      <c r="X58" s="1548"/>
      <c r="Y58" s="1548"/>
      <c r="Z58" s="1548"/>
      <c r="AA58" s="1548"/>
      <c r="AB58" s="1548"/>
      <c r="AC58" s="1548"/>
    </row>
    <row r="59" spans="1:29" s="1548" customFormat="1" ht="72" customHeight="1">
      <c r="A59" s="3732">
        <v>13</v>
      </c>
      <c r="B59" s="3018" t="str">
        <f t="shared" si="0"/>
        <v>2000003295</v>
      </c>
      <c r="C59" s="3039" t="s">
        <v>8033</v>
      </c>
      <c r="D59" s="3034">
        <f>SUM(M59:M62)</f>
        <v>10900</v>
      </c>
      <c r="E59" s="3035" t="s">
        <v>8034</v>
      </c>
      <c r="F59" s="3033" t="s">
        <v>89</v>
      </c>
      <c r="G59" s="3021" t="s">
        <v>8035</v>
      </c>
      <c r="H59" s="3021"/>
      <c r="I59" s="1495" t="s">
        <v>5253</v>
      </c>
      <c r="J59" s="3023" t="s">
        <v>19</v>
      </c>
      <c r="K59" s="3021" t="s">
        <v>63</v>
      </c>
      <c r="L59" s="2880" t="s">
        <v>8036</v>
      </c>
      <c r="M59" s="3054">
        <v>7000</v>
      </c>
      <c r="N59" s="2915" t="s">
        <v>5454</v>
      </c>
      <c r="O59" s="3023">
        <v>36</v>
      </c>
      <c r="P59" s="3023"/>
      <c r="Q59" s="3076" t="s">
        <v>8037</v>
      </c>
      <c r="R59" s="3059">
        <v>1</v>
      </c>
      <c r="S59" s="1548" t="s">
        <v>8038</v>
      </c>
      <c r="T59" s="1548">
        <v>2000003295</v>
      </c>
      <c r="U59" s="1493">
        <f>VLOOKUP(T59,'PKH UPDATE'!A:D,2,0)</f>
        <v>6888</v>
      </c>
      <c r="V59" s="1493">
        <f>VLOOKUP(T59,'PKH UPDATE'!A:D,3,0)</f>
        <v>5818</v>
      </c>
      <c r="W59" s="1493">
        <f>VLOOKUP(T59,'PKH UPDATE'!A:D,4,0)</f>
        <v>1070</v>
      </c>
    </row>
    <row r="60" spans="1:29" s="1548" customFormat="1" ht="72" customHeight="1">
      <c r="A60" s="3733"/>
      <c r="B60" s="3018" t="str">
        <f t="shared" si="0"/>
        <v>2000003256</v>
      </c>
      <c r="C60" s="3042" t="s">
        <v>8033</v>
      </c>
      <c r="D60" s="1903"/>
      <c r="E60" s="1921"/>
      <c r="F60" s="3023" t="s">
        <v>89</v>
      </c>
      <c r="G60" s="1495"/>
      <c r="H60" s="1495"/>
      <c r="I60" s="1495" t="s">
        <v>5253</v>
      </c>
      <c r="J60" s="1493" t="s">
        <v>19</v>
      </c>
      <c r="K60" s="1495" t="s">
        <v>63</v>
      </c>
      <c r="L60" s="2880" t="s">
        <v>8039</v>
      </c>
      <c r="M60" s="3051">
        <v>500</v>
      </c>
      <c r="N60" s="2915" t="s">
        <v>5454</v>
      </c>
      <c r="O60" s="3023">
        <v>36</v>
      </c>
      <c r="P60" s="3023"/>
      <c r="Q60" s="3077" t="s">
        <v>8040</v>
      </c>
      <c r="R60" s="3059">
        <v>1</v>
      </c>
      <c r="T60" s="1548">
        <v>2000003256</v>
      </c>
      <c r="U60" s="1493">
        <f>VLOOKUP(T60,'PKH UPDATE'!A:D,2,0)</f>
        <v>326</v>
      </c>
      <c r="V60" s="1493">
        <f>VLOOKUP(T60,'PKH UPDATE'!A:D,3,0)</f>
        <v>0</v>
      </c>
      <c r="W60" s="1493">
        <f>VLOOKUP(T60,'PKH UPDATE'!A:D,4,0)</f>
        <v>326</v>
      </c>
    </row>
    <row r="61" spans="1:29" s="1548" customFormat="1" ht="58.5" customHeight="1">
      <c r="A61" s="3733"/>
      <c r="B61" s="3018" t="str">
        <f t="shared" si="0"/>
        <v>2000003186</v>
      </c>
      <c r="C61" s="3042" t="s">
        <v>8033</v>
      </c>
      <c r="D61" s="3051"/>
      <c r="E61" s="1921"/>
      <c r="F61" s="3023" t="s">
        <v>89</v>
      </c>
      <c r="G61" s="1495"/>
      <c r="H61" s="1495"/>
      <c r="I61" s="1495" t="s">
        <v>5253</v>
      </c>
      <c r="J61" s="1493" t="s">
        <v>19</v>
      </c>
      <c r="K61" s="1495" t="s">
        <v>5325</v>
      </c>
      <c r="L61" s="1843" t="s">
        <v>8041</v>
      </c>
      <c r="M61" s="3051">
        <v>2500</v>
      </c>
      <c r="N61" s="2915" t="s">
        <v>5454</v>
      </c>
      <c r="O61" s="3023">
        <v>36</v>
      </c>
      <c r="P61" s="3023"/>
      <c r="Q61" s="2590"/>
      <c r="R61" s="3059">
        <v>1</v>
      </c>
      <c r="S61" s="1790"/>
      <c r="T61" s="1790">
        <v>2000003186</v>
      </c>
      <c r="U61" s="1493">
        <f>VLOOKUP(T61,'PKH UPDATE'!A:D,2,0)</f>
        <v>1658</v>
      </c>
      <c r="V61" s="1493">
        <f>VLOOKUP(T61,'PKH UPDATE'!A:D,3,0)</f>
        <v>1006</v>
      </c>
      <c r="W61" s="1493">
        <f>VLOOKUP(T61,'PKH UPDATE'!A:D,4,0)</f>
        <v>652</v>
      </c>
    </row>
    <row r="62" spans="1:29" s="1548" customFormat="1" ht="58.5" customHeight="1">
      <c r="A62" s="3734"/>
      <c r="B62" s="3018" t="str">
        <f t="shared" si="0"/>
        <v>2000003189</v>
      </c>
      <c r="C62" s="3042" t="s">
        <v>8033</v>
      </c>
      <c r="D62" s="3051"/>
      <c r="E62" s="1921"/>
      <c r="F62" s="3023" t="s">
        <v>89</v>
      </c>
      <c r="G62" s="1495"/>
      <c r="H62" s="1495"/>
      <c r="I62" s="1495" t="s">
        <v>5253</v>
      </c>
      <c r="J62" s="1493" t="s">
        <v>19</v>
      </c>
      <c r="K62" s="1495" t="s">
        <v>5325</v>
      </c>
      <c r="L62" s="1843" t="s">
        <v>8042</v>
      </c>
      <c r="M62" s="3051">
        <v>900</v>
      </c>
      <c r="N62" s="2915" t="s">
        <v>5454</v>
      </c>
      <c r="O62" s="3023">
        <v>36</v>
      </c>
      <c r="P62" s="3023"/>
      <c r="Q62" s="2590"/>
      <c r="R62" s="3059">
        <v>1</v>
      </c>
      <c r="S62" s="1790"/>
      <c r="T62" s="1790">
        <v>2000003189</v>
      </c>
      <c r="U62" s="1493">
        <f>VLOOKUP(T62,'PKH UPDATE'!A:D,2,0)</f>
        <v>3862</v>
      </c>
      <c r="V62" s="1493">
        <f>VLOOKUP(T62,'PKH UPDATE'!A:D,3,0)</f>
        <v>1263</v>
      </c>
      <c r="W62" s="1493">
        <f>VLOOKUP(T62,'PKH UPDATE'!A:D,4,0)</f>
        <v>2599</v>
      </c>
    </row>
    <row r="63" spans="1:29" s="1548" customFormat="1" ht="58.5" customHeight="1">
      <c r="A63" s="3819">
        <v>14</v>
      </c>
      <c r="B63" s="3018" t="str">
        <f t="shared" si="0"/>
        <v>2000003306</v>
      </c>
      <c r="C63" s="3033" t="s">
        <v>5675</v>
      </c>
      <c r="D63" s="3020">
        <v>4350</v>
      </c>
      <c r="E63" s="3081" t="s">
        <v>8043</v>
      </c>
      <c r="F63" s="3023" t="s">
        <v>61</v>
      </c>
      <c r="G63" s="3021" t="s">
        <v>8044</v>
      </c>
      <c r="H63" s="3021"/>
      <c r="I63" s="3075" t="s">
        <v>5253</v>
      </c>
      <c r="J63" s="3022" t="s">
        <v>19</v>
      </c>
      <c r="K63" s="3021" t="s">
        <v>74</v>
      </c>
      <c r="L63" s="2880" t="s">
        <v>8045</v>
      </c>
      <c r="M63" s="3054">
        <f>4350-M64</f>
        <v>3620</v>
      </c>
      <c r="N63" s="2915" t="s">
        <v>5454</v>
      </c>
      <c r="O63" s="3023"/>
      <c r="P63" s="3023"/>
      <c r="Q63" s="1745" t="s">
        <v>8046</v>
      </c>
      <c r="R63" s="3059">
        <v>2</v>
      </c>
    </row>
    <row r="64" spans="1:29" s="1467" customFormat="1" ht="58.5" customHeight="1">
      <c r="A64" s="3821"/>
      <c r="B64" s="3018" t="str">
        <f t="shared" si="0"/>
        <v>2200002165</v>
      </c>
      <c r="C64" s="3023" t="s">
        <v>5675</v>
      </c>
      <c r="D64" s="3020"/>
      <c r="E64" s="3081"/>
      <c r="F64" s="3023" t="s">
        <v>61</v>
      </c>
      <c r="G64" s="3021"/>
      <c r="H64" s="3021"/>
      <c r="I64" s="3075" t="s">
        <v>5253</v>
      </c>
      <c r="J64" s="3022" t="s">
        <v>19</v>
      </c>
      <c r="K64" s="3021" t="s">
        <v>74</v>
      </c>
      <c r="L64" s="1600" t="s">
        <v>8047</v>
      </c>
      <c r="M64" s="3078">
        <v>730</v>
      </c>
      <c r="N64" s="2915" t="s">
        <v>5454</v>
      </c>
      <c r="O64" s="3023"/>
      <c r="P64" s="3023"/>
      <c r="Q64" s="2590"/>
      <c r="R64" s="3059">
        <v>2</v>
      </c>
      <c r="S64" s="1548"/>
      <c r="T64" s="1548"/>
      <c r="U64" s="1548"/>
      <c r="V64" s="1548"/>
      <c r="W64" s="1548"/>
      <c r="X64" s="1548"/>
      <c r="Y64" s="1548"/>
      <c r="Z64" s="1548"/>
      <c r="AA64" s="1548"/>
      <c r="AB64" s="1548"/>
      <c r="AC64" s="1548"/>
    </row>
    <row r="65" spans="1:30" s="1548" customFormat="1" ht="58.5" customHeight="1">
      <c r="A65" s="3819" t="s">
        <v>2051</v>
      </c>
      <c r="B65" s="3018" t="str">
        <f t="shared" si="0"/>
        <v>2000003288</v>
      </c>
      <c r="C65" s="3033" t="s">
        <v>5269</v>
      </c>
      <c r="D65" s="3034">
        <f>SUM(M65:M72)</f>
        <v>23815</v>
      </c>
      <c r="E65" s="3035" t="s">
        <v>8048</v>
      </c>
      <c r="F65" s="3033" t="s">
        <v>3416</v>
      </c>
      <c r="G65" s="3035" t="s">
        <v>8049</v>
      </c>
      <c r="H65" s="3035"/>
      <c r="I65" s="3090" t="s">
        <v>5253</v>
      </c>
      <c r="J65" s="3022" t="s">
        <v>19</v>
      </c>
      <c r="K65" s="3021" t="s">
        <v>63</v>
      </c>
      <c r="L65" s="2880" t="s">
        <v>8050</v>
      </c>
      <c r="M65" s="3054">
        <v>6895</v>
      </c>
      <c r="N65" s="3030" t="s">
        <v>5937</v>
      </c>
      <c r="O65" s="3033">
        <v>30</v>
      </c>
      <c r="P65" s="3033"/>
      <c r="Q65" s="3024"/>
      <c r="R65" s="3059">
        <v>1</v>
      </c>
      <c r="T65" s="1548">
        <v>2000003288</v>
      </c>
      <c r="U65" s="1493" t="e">
        <f>VLOOKUP(T65,'PKH UPDATE'!A:D,3,0)</f>
        <v>#N/A</v>
      </c>
      <c r="V65" s="1493" t="e">
        <f>VLOOKUP(T65,'PKH UPDATE'!A:D,3,0)</f>
        <v>#N/A</v>
      </c>
      <c r="W65" s="1493" t="e">
        <f>VLOOKUP(T65,'PKH UPDATE'!A:D,4,0)</f>
        <v>#N/A</v>
      </c>
    </row>
    <row r="66" spans="1:30" s="1548" customFormat="1" ht="58.5" customHeight="1">
      <c r="A66" s="3820"/>
      <c r="B66" s="3018" t="str">
        <f t="shared" si="0"/>
        <v>2000003296</v>
      </c>
      <c r="C66" s="3023" t="s">
        <v>5269</v>
      </c>
      <c r="D66" s="3020"/>
      <c r="E66" s="3035"/>
      <c r="F66" s="3023" t="s">
        <v>3416</v>
      </c>
      <c r="G66" s="3021"/>
      <c r="H66" s="3021"/>
      <c r="I66" s="1495" t="s">
        <v>5253</v>
      </c>
      <c r="J66" s="3023" t="s">
        <v>19</v>
      </c>
      <c r="K66" s="3085" t="s">
        <v>63</v>
      </c>
      <c r="L66" s="2880" t="s">
        <v>8051</v>
      </c>
      <c r="M66" s="3052">
        <v>4000</v>
      </c>
      <c r="N66" s="2915" t="s">
        <v>5454</v>
      </c>
      <c r="O66" s="3033">
        <v>30</v>
      </c>
      <c r="P66" s="3033"/>
      <c r="Q66" s="3024" t="s">
        <v>8052</v>
      </c>
      <c r="R66" s="3059">
        <v>1</v>
      </c>
      <c r="T66" s="1548">
        <v>2000003296</v>
      </c>
      <c r="U66" s="1493" t="e">
        <f>VLOOKUP(T66,'PKH UPDATE'!A:D,2,0)</f>
        <v>#N/A</v>
      </c>
      <c r="V66" s="1493" t="e">
        <f>VLOOKUP(T66,'PKH UPDATE'!A:D,3,0)</f>
        <v>#N/A</v>
      </c>
      <c r="W66" s="1493" t="e">
        <f>VLOOKUP(T66,'PKH UPDATE'!A:D,4,0)</f>
        <v>#N/A</v>
      </c>
    </row>
    <row r="67" spans="1:30" s="1548" customFormat="1" ht="58.5" customHeight="1">
      <c r="A67" s="3820"/>
      <c r="B67" s="3018" t="str">
        <f t="shared" si="0"/>
        <v>2000003189</v>
      </c>
      <c r="C67" s="3023" t="s">
        <v>5269</v>
      </c>
      <c r="D67" s="3051"/>
      <c r="E67" s="1921"/>
      <c r="F67" s="3023" t="s">
        <v>3416</v>
      </c>
      <c r="G67" s="1495"/>
      <c r="H67" s="1495"/>
      <c r="I67" s="1495" t="s">
        <v>5253</v>
      </c>
      <c r="J67" s="1493" t="s">
        <v>19</v>
      </c>
      <c r="K67" s="1495" t="s">
        <v>5325</v>
      </c>
      <c r="L67" s="1843" t="s">
        <v>8053</v>
      </c>
      <c r="M67" s="3051">
        <v>3170</v>
      </c>
      <c r="N67" s="2915" t="s">
        <v>5454</v>
      </c>
      <c r="O67" s="3033">
        <v>30</v>
      </c>
      <c r="P67" s="3033"/>
      <c r="Q67" s="2590"/>
      <c r="R67" s="3059">
        <v>1</v>
      </c>
      <c r="S67" s="1790"/>
      <c r="T67" s="1790">
        <v>2000003189</v>
      </c>
      <c r="U67" s="1493">
        <f>VLOOKUP(T67,'PKH UPDATE'!A:D,2,0)</f>
        <v>3862</v>
      </c>
      <c r="V67" s="1493">
        <f>VLOOKUP(T67,'PKH UPDATE'!A:D,3,0)</f>
        <v>1263</v>
      </c>
      <c r="W67" s="1493">
        <f>VLOOKUP(T67,'PKH UPDATE'!A:D,4,0)</f>
        <v>2599</v>
      </c>
    </row>
    <row r="68" spans="1:30" s="2150" customFormat="1" ht="58.5" customHeight="1">
      <c r="A68" s="3820"/>
      <c r="B68" s="3038" t="str">
        <f t="shared" ref="B68:B131" si="1">TEXT(LEFT(L68,10),"0000000000")</f>
        <v>2000003300</v>
      </c>
      <c r="C68" s="3023" t="s">
        <v>5269</v>
      </c>
      <c r="D68" s="3091"/>
      <c r="E68" s="2187"/>
      <c r="F68" s="3023" t="s">
        <v>3416</v>
      </c>
      <c r="G68" s="2187"/>
      <c r="H68" s="2187"/>
      <c r="I68" s="1495" t="s">
        <v>5253</v>
      </c>
      <c r="J68" s="2187" t="s">
        <v>19</v>
      </c>
      <c r="K68" s="2187" t="s">
        <v>123</v>
      </c>
      <c r="L68" s="3215" t="s">
        <v>7960</v>
      </c>
      <c r="M68" s="3092">
        <v>200</v>
      </c>
      <c r="N68" s="3030" t="s">
        <v>5937</v>
      </c>
      <c r="O68" s="3033">
        <v>30</v>
      </c>
      <c r="P68" s="3186"/>
      <c r="Q68" s="2593"/>
      <c r="R68" s="3059">
        <v>1</v>
      </c>
      <c r="U68" s="1493" t="e">
        <f>VLOOKUP(T68,'PKH UPDATE'!A:D,3,0)</f>
        <v>#N/A</v>
      </c>
      <c r="V68" s="1493" t="e">
        <f>VLOOKUP(T68,'PKH UPDATE'!A:D,3,0)</f>
        <v>#N/A</v>
      </c>
      <c r="W68" s="1493" t="e">
        <f>VLOOKUP(T68,'PKH UPDATE'!A:D,4,0)</f>
        <v>#N/A</v>
      </c>
    </row>
    <row r="69" spans="1:30" s="1548" customFormat="1" ht="58.5" customHeight="1">
      <c r="A69" s="3820"/>
      <c r="B69" s="3018" t="str">
        <f t="shared" si="1"/>
        <v>2000003278</v>
      </c>
      <c r="C69" s="3023" t="s">
        <v>5269</v>
      </c>
      <c r="D69" s="3020"/>
      <c r="E69" s="3035"/>
      <c r="F69" s="3023" t="s">
        <v>3416</v>
      </c>
      <c r="G69" s="3021"/>
      <c r="H69" s="3021"/>
      <c r="I69" s="1495" t="s">
        <v>5253</v>
      </c>
      <c r="J69" s="3023" t="s">
        <v>19</v>
      </c>
      <c r="K69" s="3085" t="s">
        <v>123</v>
      </c>
      <c r="L69" s="2880" t="s">
        <v>8054</v>
      </c>
      <c r="M69" s="3052">
        <v>500</v>
      </c>
      <c r="N69" s="3030" t="s">
        <v>5937</v>
      </c>
      <c r="O69" s="3033">
        <v>30</v>
      </c>
      <c r="P69" s="3033"/>
      <c r="Q69" s="3024"/>
      <c r="R69" s="3059">
        <v>1</v>
      </c>
      <c r="U69" s="1493" t="e">
        <f>VLOOKUP(T69,'PKH UPDATE'!A:D,3,0)</f>
        <v>#N/A</v>
      </c>
      <c r="V69" s="1493" t="e">
        <f>VLOOKUP(T69,'PKH UPDATE'!A:D,3,0)</f>
        <v>#N/A</v>
      </c>
      <c r="W69" s="1493" t="e">
        <f>VLOOKUP(T69,'PKH UPDATE'!A:D,4,0)</f>
        <v>#N/A</v>
      </c>
    </row>
    <row r="70" spans="1:30" s="1548" customFormat="1" ht="58.5" customHeight="1">
      <c r="A70" s="3820"/>
      <c r="B70" s="3018" t="str">
        <f t="shared" si="1"/>
        <v>2000003301</v>
      </c>
      <c r="C70" s="3023" t="s">
        <v>5269</v>
      </c>
      <c r="D70" s="3093"/>
      <c r="E70" s="2187"/>
      <c r="F70" s="3023" t="s">
        <v>3416</v>
      </c>
      <c r="G70" s="1543"/>
      <c r="H70" s="1543"/>
      <c r="I70" s="1495" t="s">
        <v>5253</v>
      </c>
      <c r="J70" s="1543" t="s">
        <v>19</v>
      </c>
      <c r="K70" s="1543" t="s">
        <v>123</v>
      </c>
      <c r="L70" s="3073" t="s">
        <v>7962</v>
      </c>
      <c r="M70" s="3094">
        <v>472</v>
      </c>
      <c r="N70" s="3030" t="s">
        <v>7963</v>
      </c>
      <c r="O70" s="3033">
        <v>30</v>
      </c>
      <c r="P70" s="3186"/>
      <c r="Q70" s="2591"/>
      <c r="R70" s="3059">
        <v>1</v>
      </c>
      <c r="U70" s="1493" t="e">
        <f>VLOOKUP(T70,'PKH UPDATE'!A:D,3,0)</f>
        <v>#N/A</v>
      </c>
      <c r="V70" s="1493" t="e">
        <f>VLOOKUP(T70,'PKH UPDATE'!A:D,3,0)</f>
        <v>#N/A</v>
      </c>
      <c r="W70" s="1493" t="e">
        <f>VLOOKUP(T70,'PKH UPDATE'!A:D,4,0)</f>
        <v>#N/A</v>
      </c>
    </row>
    <row r="71" spans="1:30" s="1548" customFormat="1" ht="58.5" customHeight="1">
      <c r="A71" s="3820"/>
      <c r="B71" s="3018" t="str">
        <f t="shared" si="1"/>
        <v>2200002097</v>
      </c>
      <c r="C71" s="3023" t="s">
        <v>5269</v>
      </c>
      <c r="D71" s="3051"/>
      <c r="E71" s="1921"/>
      <c r="F71" s="3023" t="s">
        <v>3416</v>
      </c>
      <c r="G71" s="1495"/>
      <c r="H71" s="1495"/>
      <c r="I71" s="1495" t="s">
        <v>5253</v>
      </c>
      <c r="J71" s="1493" t="s">
        <v>19</v>
      </c>
      <c r="K71" s="1495" t="s">
        <v>1230</v>
      </c>
      <c r="L71" s="2880" t="s">
        <v>8055</v>
      </c>
      <c r="M71" s="3051">
        <v>1800</v>
      </c>
      <c r="N71" s="3021" t="s">
        <v>8056</v>
      </c>
      <c r="O71" s="1493"/>
      <c r="P71" s="1493"/>
      <c r="Q71" s="2590" t="s">
        <v>8057</v>
      </c>
      <c r="R71" s="1748">
        <v>2</v>
      </c>
      <c r="S71" s="1790"/>
      <c r="T71" s="1790">
        <v>2200002097</v>
      </c>
      <c r="U71" s="1493">
        <f>VLOOKUP(T71,'PKH UPDATE'!A:D,2,0)</f>
        <v>6537</v>
      </c>
      <c r="V71" s="1493">
        <f>VLOOKUP(T71,'PKH UPDATE'!A:D,3,0)</f>
        <v>4089</v>
      </c>
      <c r="W71" s="1493">
        <f>VLOOKUP(T71,'PKH UPDATE'!A:D,4,0)</f>
        <v>2448</v>
      </c>
    </row>
    <row r="72" spans="1:30" s="1548" customFormat="1" ht="58.5" customHeight="1">
      <c r="A72" s="3821"/>
      <c r="B72" s="3018" t="str">
        <f t="shared" si="1"/>
        <v>2000003253</v>
      </c>
      <c r="C72" s="3023" t="s">
        <v>5269</v>
      </c>
      <c r="D72" s="3034"/>
      <c r="E72" s="3035"/>
      <c r="F72" s="3033" t="s">
        <v>3416</v>
      </c>
      <c r="G72" s="3035"/>
      <c r="H72" s="3035"/>
      <c r="I72" s="1495" t="s">
        <v>5253</v>
      </c>
      <c r="J72" s="3022" t="s">
        <v>19</v>
      </c>
      <c r="K72" s="3021" t="s">
        <v>123</v>
      </c>
      <c r="L72" s="2880" t="s">
        <v>8058</v>
      </c>
      <c r="M72" s="3054">
        <v>6778</v>
      </c>
      <c r="N72" s="3030" t="s">
        <v>5937</v>
      </c>
      <c r="O72" s="3033">
        <v>30</v>
      </c>
      <c r="P72" s="3033"/>
      <c r="Q72" s="2590" t="s">
        <v>8057</v>
      </c>
      <c r="R72" s="3059">
        <v>1</v>
      </c>
      <c r="U72" s="1493" t="e">
        <f>VLOOKUP(T72,'PKH UPDATE'!A:D,3,0)</f>
        <v>#N/A</v>
      </c>
      <c r="V72" s="1493" t="e">
        <f>VLOOKUP(T72,'PKH UPDATE'!A:D,3,0)</f>
        <v>#N/A</v>
      </c>
      <c r="W72" s="1493" t="e">
        <f>VLOOKUP(T72,'PKH UPDATE'!A:D,4,0)</f>
        <v>#N/A</v>
      </c>
    </row>
    <row r="73" spans="1:30" s="2150" customFormat="1" ht="58.5" customHeight="1">
      <c r="A73" s="3732">
        <v>16</v>
      </c>
      <c r="B73" s="3018" t="str">
        <f t="shared" si="1"/>
        <v>2200002138</v>
      </c>
      <c r="C73" s="3035" t="s">
        <v>8059</v>
      </c>
      <c r="D73" s="3034">
        <v>3423</v>
      </c>
      <c r="E73" s="3060" t="s">
        <v>8060</v>
      </c>
      <c r="F73" s="3033" t="s">
        <v>61</v>
      </c>
      <c r="G73" s="3035"/>
      <c r="H73" s="3035"/>
      <c r="I73" s="1495" t="s">
        <v>5253</v>
      </c>
      <c r="J73" s="1902" t="s">
        <v>19</v>
      </c>
      <c r="K73" s="1921" t="s">
        <v>101</v>
      </c>
      <c r="L73" s="1845" t="s">
        <v>8061</v>
      </c>
      <c r="M73" s="3055">
        <v>800</v>
      </c>
      <c r="N73" s="3030" t="s">
        <v>5257</v>
      </c>
      <c r="O73" s="3033">
        <v>25</v>
      </c>
      <c r="P73" s="3033"/>
      <c r="Q73" s="3037"/>
      <c r="R73" s="3059">
        <v>1</v>
      </c>
    </row>
    <row r="74" spans="1:30" s="2643" customFormat="1" ht="58.5" customHeight="1">
      <c r="A74" s="3733"/>
      <c r="B74" s="3018" t="str">
        <f t="shared" si="1"/>
        <v>2200002113</v>
      </c>
      <c r="C74" s="3035" t="s">
        <v>8059</v>
      </c>
      <c r="D74" s="3034"/>
      <c r="E74" s="3060"/>
      <c r="F74" s="3033" t="s">
        <v>61</v>
      </c>
      <c r="G74" s="3035"/>
      <c r="H74" s="3035"/>
      <c r="I74" s="1495" t="s">
        <v>5253</v>
      </c>
      <c r="J74" s="1902" t="s">
        <v>19</v>
      </c>
      <c r="K74" s="1921" t="s">
        <v>101</v>
      </c>
      <c r="L74" s="1600" t="s">
        <v>8062</v>
      </c>
      <c r="M74" s="1826">
        <v>423</v>
      </c>
      <c r="N74" s="2749" t="s">
        <v>8063</v>
      </c>
      <c r="O74" s="1493"/>
      <c r="P74" s="1493"/>
      <c r="Q74" s="1843"/>
      <c r="R74" s="1748">
        <v>2</v>
      </c>
      <c r="S74" s="1790"/>
      <c r="T74" s="3070"/>
      <c r="U74" s="1467"/>
      <c r="V74" s="1467"/>
      <c r="W74" s="1467"/>
      <c r="X74" s="1467"/>
      <c r="Y74" s="1467"/>
      <c r="Z74" s="1467"/>
      <c r="AA74" s="1467"/>
      <c r="AB74" s="1467"/>
      <c r="AC74" s="1467"/>
    </row>
    <row r="75" spans="1:30" s="2150" customFormat="1" ht="58.5" customHeight="1">
      <c r="A75" s="3733"/>
      <c r="B75" s="3018" t="str">
        <f t="shared" si="1"/>
        <v>2000003279</v>
      </c>
      <c r="C75" s="3035" t="s">
        <v>8059</v>
      </c>
      <c r="D75" s="3020"/>
      <c r="E75" s="3035"/>
      <c r="F75" s="3023" t="s">
        <v>61</v>
      </c>
      <c r="G75" s="3021"/>
      <c r="H75" s="3021"/>
      <c r="I75" s="1495" t="s">
        <v>5253</v>
      </c>
      <c r="J75" s="3023" t="s">
        <v>19</v>
      </c>
      <c r="K75" s="3085" t="s">
        <v>74</v>
      </c>
      <c r="L75" s="2880" t="s">
        <v>8064</v>
      </c>
      <c r="M75" s="3052">
        <v>2000</v>
      </c>
      <c r="N75" s="3030" t="s">
        <v>5257</v>
      </c>
      <c r="O75" s="3033">
        <v>25</v>
      </c>
      <c r="P75" s="3033"/>
      <c r="Q75" s="3024"/>
      <c r="R75" s="3059">
        <v>1</v>
      </c>
      <c r="S75" s="1548"/>
      <c r="T75" s="1548"/>
      <c r="U75" s="1548"/>
      <c r="V75" s="1548"/>
      <c r="W75" s="1548"/>
      <c r="X75" s="1548"/>
      <c r="Y75" s="1548"/>
      <c r="Z75" s="1548"/>
      <c r="AA75" s="1548"/>
      <c r="AB75" s="1548"/>
      <c r="AC75" s="1548"/>
    </row>
    <row r="76" spans="1:30" s="1467" customFormat="1" ht="58.5" customHeight="1">
      <c r="A76" s="3734"/>
      <c r="B76" s="3018" t="str">
        <f t="shared" si="1"/>
        <v>2200002160</v>
      </c>
      <c r="C76" s="3035" t="s">
        <v>8059</v>
      </c>
      <c r="D76" s="3020"/>
      <c r="E76" s="3035"/>
      <c r="F76" s="3023" t="s">
        <v>61</v>
      </c>
      <c r="G76" s="3021"/>
      <c r="H76" s="3021"/>
      <c r="I76" s="1495" t="s">
        <v>5253</v>
      </c>
      <c r="J76" s="3023" t="s">
        <v>19</v>
      </c>
      <c r="K76" s="3021" t="s">
        <v>74</v>
      </c>
      <c r="L76" s="2880" t="s">
        <v>8065</v>
      </c>
      <c r="M76" s="3103">
        <v>22</v>
      </c>
      <c r="N76" s="3030" t="s">
        <v>8066</v>
      </c>
      <c r="O76" s="3023">
        <v>37</v>
      </c>
      <c r="P76" s="3023"/>
      <c r="Q76" s="3024"/>
      <c r="R76" s="3059">
        <v>1</v>
      </c>
      <c r="S76" s="1548"/>
      <c r="T76" s="1548"/>
      <c r="U76" s="1548"/>
      <c r="V76" s="1548"/>
      <c r="W76" s="1548"/>
      <c r="X76" s="1548"/>
      <c r="Y76" s="1548"/>
      <c r="Z76" s="1548"/>
      <c r="AA76" s="1548"/>
      <c r="AB76" s="1548"/>
      <c r="AC76" s="1548"/>
    </row>
    <row r="77" spans="1:30" s="2150" customFormat="1" ht="55.5" customHeight="1">
      <c r="A77" s="3062">
        <v>17</v>
      </c>
      <c r="B77" s="3038" t="str">
        <f t="shared" si="1"/>
        <v>2000003282</v>
      </c>
      <c r="C77" s="3033" t="s">
        <v>82</v>
      </c>
      <c r="D77" s="3034">
        <v>4250</v>
      </c>
      <c r="E77" s="3035" t="s">
        <v>8067</v>
      </c>
      <c r="F77" s="3033" t="s">
        <v>84</v>
      </c>
      <c r="G77" s="3035" t="s">
        <v>8068</v>
      </c>
      <c r="H77" s="3035"/>
      <c r="I77" s="1495" t="s">
        <v>5253</v>
      </c>
      <c r="J77" s="3041" t="s">
        <v>19</v>
      </c>
      <c r="K77" s="3035" t="s">
        <v>20</v>
      </c>
      <c r="L77" s="2912" t="s">
        <v>8069</v>
      </c>
      <c r="M77" s="3050">
        <v>4250</v>
      </c>
      <c r="N77" s="3030">
        <v>0</v>
      </c>
      <c r="O77" s="3023">
        <v>37</v>
      </c>
      <c r="P77" s="3023"/>
      <c r="Q77" s="3037" t="s">
        <v>8070</v>
      </c>
      <c r="R77" s="3059">
        <v>1</v>
      </c>
    </row>
    <row r="78" spans="1:30" s="2643" customFormat="1" ht="55.5" customHeight="1">
      <c r="A78" s="2436">
        <v>18</v>
      </c>
      <c r="B78" s="3038" t="str">
        <f t="shared" si="1"/>
        <v>2200002151</v>
      </c>
      <c r="C78" s="1902" t="s">
        <v>8071</v>
      </c>
      <c r="D78" s="2607">
        <v>4200</v>
      </c>
      <c r="E78" s="1921" t="s">
        <v>8072</v>
      </c>
      <c r="F78" s="1902" t="s">
        <v>16</v>
      </c>
      <c r="G78" s="1921" t="s">
        <v>8073</v>
      </c>
      <c r="H78" s="1921"/>
      <c r="I78" s="1921" t="s">
        <v>5253</v>
      </c>
      <c r="J78" s="1902" t="s">
        <v>19</v>
      </c>
      <c r="K78" s="1561" t="s">
        <v>959</v>
      </c>
      <c r="L78" s="3216" t="s">
        <v>8074</v>
      </c>
      <c r="M78" s="3061">
        <v>4200</v>
      </c>
      <c r="N78" s="2915" t="s">
        <v>5257</v>
      </c>
      <c r="O78" s="2429">
        <v>25</v>
      </c>
      <c r="P78" s="2429"/>
      <c r="Q78" s="2290"/>
      <c r="R78" s="1909">
        <v>2</v>
      </c>
      <c r="S78" s="2150"/>
      <c r="T78" s="2150"/>
      <c r="U78" s="2150"/>
      <c r="V78" s="2150"/>
      <c r="W78" s="2150"/>
      <c r="X78" s="2150"/>
      <c r="Y78" s="2150"/>
      <c r="Z78" s="2150"/>
      <c r="AA78" s="2150"/>
      <c r="AB78" s="2150"/>
      <c r="AC78" s="2150"/>
    </row>
    <row r="79" spans="1:30" s="2643" customFormat="1" ht="55.5" customHeight="1">
      <c r="A79" s="3732">
        <v>19</v>
      </c>
      <c r="B79" s="3038" t="str">
        <f t="shared" si="1"/>
        <v>2000003187</v>
      </c>
      <c r="C79" s="1902" t="s">
        <v>7672</v>
      </c>
      <c r="D79" s="3034">
        <v>4250</v>
      </c>
      <c r="E79" s="3035" t="s">
        <v>8003</v>
      </c>
      <c r="F79" s="1902" t="s">
        <v>84</v>
      </c>
      <c r="G79" s="3035" t="s">
        <v>8075</v>
      </c>
      <c r="H79" s="3035"/>
      <c r="I79" s="1921" t="s">
        <v>5253</v>
      </c>
      <c r="J79" s="1902" t="s">
        <v>19</v>
      </c>
      <c r="K79" s="1921" t="s">
        <v>1138</v>
      </c>
      <c r="L79" s="2194" t="s">
        <v>8076</v>
      </c>
      <c r="M79" s="3079">
        <v>3645</v>
      </c>
      <c r="N79" s="2915" t="s">
        <v>5454</v>
      </c>
      <c r="O79" s="2563">
        <v>25</v>
      </c>
      <c r="P79" s="2563"/>
      <c r="Q79" s="2290"/>
      <c r="R79" s="3040">
        <v>2</v>
      </c>
      <c r="S79" s="2150"/>
      <c r="T79" s="2150">
        <v>2000003187</v>
      </c>
      <c r="U79" s="1493">
        <f>VLOOKUP(T79,'PKH UPDATE'!A:D,2,0)</f>
        <v>4349</v>
      </c>
      <c r="V79" s="1493">
        <f>VLOOKUP(T79,'PKH UPDATE'!A:D,3,0)</f>
        <v>1890</v>
      </c>
      <c r="W79" s="1493">
        <f>VLOOKUP(T79,'PKH UPDATE'!A:D,4,0)</f>
        <v>2459</v>
      </c>
      <c r="X79" s="2150"/>
      <c r="Y79" s="2150"/>
      <c r="Z79" s="2150"/>
      <c r="AA79" s="2150"/>
      <c r="AB79" s="2150"/>
      <c r="AC79" s="2150"/>
      <c r="AD79" s="2150"/>
    </row>
    <row r="80" spans="1:30" s="1467" customFormat="1" ht="55.5" customHeight="1">
      <c r="A80" s="3734"/>
      <c r="B80" s="3018" t="str">
        <f t="shared" si="1"/>
        <v>2000003246</v>
      </c>
      <c r="C80" s="1493" t="s">
        <v>7672</v>
      </c>
      <c r="D80" s="3034"/>
      <c r="E80" s="3035"/>
      <c r="F80" s="1493" t="s">
        <v>84</v>
      </c>
      <c r="G80" s="3035"/>
      <c r="H80" s="3035"/>
      <c r="I80" s="1495" t="s">
        <v>5253</v>
      </c>
      <c r="J80" s="1493" t="s">
        <v>19</v>
      </c>
      <c r="K80" s="1921" t="s">
        <v>1138</v>
      </c>
      <c r="L80" s="1496" t="s">
        <v>8077</v>
      </c>
      <c r="M80" s="3080">
        <v>605</v>
      </c>
      <c r="N80" s="2584" t="s">
        <v>5456</v>
      </c>
      <c r="O80" s="2563">
        <v>25</v>
      </c>
      <c r="P80" s="2563"/>
      <c r="Q80" s="2223"/>
      <c r="R80" s="3059">
        <v>2</v>
      </c>
      <c r="S80" s="1548"/>
      <c r="T80" s="1548">
        <v>2000003246</v>
      </c>
      <c r="U80" s="1493" t="e">
        <f>VLOOKUP(T80,'PKH UPDATE'!$A:$D,2,0)</f>
        <v>#N/A</v>
      </c>
      <c r="V80" s="1493" t="e">
        <f>VLOOKUP(T80,'PKH UPDATE'!A:D,3,0)</f>
        <v>#N/A</v>
      </c>
      <c r="W80" s="1493" t="e">
        <f>VLOOKUP(T80,'PKH UPDATE'!A:D,4,0)</f>
        <v>#N/A</v>
      </c>
      <c r="X80" s="1548"/>
      <c r="Y80" s="1548"/>
      <c r="Z80" s="1548"/>
      <c r="AA80" s="1548"/>
      <c r="AB80" s="1548"/>
      <c r="AC80" s="1548"/>
      <c r="AD80" s="1548"/>
    </row>
    <row r="81" spans="1:30" s="2660" customFormat="1" ht="55.5" customHeight="1">
      <c r="A81" s="3828">
        <v>20</v>
      </c>
      <c r="B81" s="3105" t="str">
        <f t="shared" si="1"/>
        <v>2000003187</v>
      </c>
      <c r="C81" s="2180" t="s">
        <v>8078</v>
      </c>
      <c r="D81" s="3079">
        <v>10679</v>
      </c>
      <c r="E81" s="2180" t="s">
        <v>8079</v>
      </c>
      <c r="F81" s="2667" t="s">
        <v>16</v>
      </c>
      <c r="G81" s="2180"/>
      <c r="H81" s="2180"/>
      <c r="I81" s="2180" t="s">
        <v>5253</v>
      </c>
      <c r="J81" s="1902" t="s">
        <v>1612</v>
      </c>
      <c r="K81" s="1921" t="s">
        <v>1138</v>
      </c>
      <c r="L81" s="2194" t="s">
        <v>8080</v>
      </c>
      <c r="M81" s="3079">
        <v>776</v>
      </c>
      <c r="N81" s="2915" t="s">
        <v>5454</v>
      </c>
      <c r="O81" s="2667">
        <v>36</v>
      </c>
      <c r="P81" s="2667"/>
      <c r="R81" s="3119">
        <v>2</v>
      </c>
      <c r="S81" s="2667"/>
      <c r="T81" s="2667">
        <v>2000003187</v>
      </c>
      <c r="U81" s="1493">
        <f>VLOOKUP(T81,'PKH UPDATE'!A:D,2,0)</f>
        <v>4349</v>
      </c>
      <c r="V81" s="1493">
        <f>VLOOKUP(T81,'PKH UPDATE'!A:D,3,0)</f>
        <v>1890</v>
      </c>
      <c r="W81" s="1493">
        <f>VLOOKUP(T81,'PKH UPDATE'!A:D,4,0)</f>
        <v>2459</v>
      </c>
    </row>
    <row r="82" spans="1:30" s="2676" customFormat="1" ht="55.5" customHeight="1">
      <c r="A82" s="3829"/>
      <c r="B82" s="3106" t="str">
        <f t="shared" si="1"/>
        <v>2000003182</v>
      </c>
      <c r="C82" s="1780" t="s">
        <v>5635</v>
      </c>
      <c r="D82" s="3107"/>
      <c r="E82" s="2180"/>
      <c r="F82" s="1782" t="s">
        <v>16</v>
      </c>
      <c r="G82" s="1780"/>
      <c r="H82" s="1780"/>
      <c r="I82" s="1780" t="s">
        <v>5253</v>
      </c>
      <c r="J82" s="1493" t="s">
        <v>1612</v>
      </c>
      <c r="K82" s="1921" t="s">
        <v>1138</v>
      </c>
      <c r="L82" s="1496" t="s">
        <v>8081</v>
      </c>
      <c r="M82" s="3080">
        <v>351</v>
      </c>
      <c r="N82" s="2584" t="s">
        <v>5257</v>
      </c>
      <c r="O82" s="2667">
        <v>36</v>
      </c>
      <c r="P82" s="2667"/>
      <c r="Q82" s="2660"/>
      <c r="R82" s="3119">
        <v>2</v>
      </c>
      <c r="S82" s="2667"/>
      <c r="T82" s="2667"/>
      <c r="U82" s="2660"/>
      <c r="V82" s="2660"/>
      <c r="W82" s="2660"/>
      <c r="X82" s="2660"/>
      <c r="Y82" s="2660"/>
      <c r="Z82" s="2660"/>
      <c r="AA82" s="2660"/>
      <c r="AB82" s="2660"/>
      <c r="AC82" s="2660"/>
    </row>
    <row r="83" spans="1:30" s="2660" customFormat="1" ht="55.5" customHeight="1">
      <c r="A83" s="3829"/>
      <c r="B83" s="3106" t="str">
        <f t="shared" si="1"/>
        <v>2200002146</v>
      </c>
      <c r="C83" s="1780" t="s">
        <v>5635</v>
      </c>
      <c r="D83" s="3107"/>
      <c r="E83" s="2180"/>
      <c r="F83" s="1782" t="s">
        <v>16</v>
      </c>
      <c r="G83" s="1780"/>
      <c r="H83" s="1780"/>
      <c r="I83" s="1780" t="s">
        <v>5253</v>
      </c>
      <c r="J83" s="1493" t="s">
        <v>1612</v>
      </c>
      <c r="K83" s="1921" t="s">
        <v>1138</v>
      </c>
      <c r="L83" s="3108" t="s">
        <v>8082</v>
      </c>
      <c r="M83" s="3109">
        <v>801</v>
      </c>
      <c r="N83" s="2584" t="s">
        <v>5456</v>
      </c>
      <c r="O83" s="2667">
        <v>36</v>
      </c>
      <c r="P83" s="2667"/>
      <c r="R83" s="3119">
        <v>2</v>
      </c>
      <c r="S83" s="2667"/>
      <c r="T83" s="2667">
        <v>2200002146</v>
      </c>
      <c r="U83" s="1493">
        <f>VLOOKUP(T83,'PKH UPDATE'!A:D,2,0)</f>
        <v>1541</v>
      </c>
      <c r="V83" s="1493">
        <f>VLOOKUP(T83,'PKH UPDATE'!A:D,3,0)</f>
        <v>1518</v>
      </c>
      <c r="W83" s="1493">
        <f>VLOOKUP(T83,'PKH UPDATE'!A:D,4,0)</f>
        <v>23</v>
      </c>
    </row>
    <row r="84" spans="1:30" s="2676" customFormat="1" ht="50.25" customHeight="1">
      <c r="A84" s="3829"/>
      <c r="B84" s="3106" t="str">
        <f t="shared" si="1"/>
        <v>2200002178</v>
      </c>
      <c r="C84" s="1780" t="s">
        <v>5635</v>
      </c>
      <c r="D84" s="3107"/>
      <c r="E84" s="2180"/>
      <c r="F84" s="1782" t="s">
        <v>16</v>
      </c>
      <c r="G84" s="1780"/>
      <c r="H84" s="1780"/>
      <c r="I84" s="1780" t="s">
        <v>5253</v>
      </c>
      <c r="J84" s="1493" t="s">
        <v>1612</v>
      </c>
      <c r="K84" s="1921" t="s">
        <v>1138</v>
      </c>
      <c r="L84" s="1496" t="s">
        <v>8083</v>
      </c>
      <c r="M84" s="3080">
        <v>1378</v>
      </c>
      <c r="N84" s="2584" t="s">
        <v>8084</v>
      </c>
      <c r="O84" s="2667">
        <v>36</v>
      </c>
      <c r="P84" s="2667"/>
      <c r="Q84" s="2660"/>
      <c r="R84" s="3119">
        <v>2</v>
      </c>
      <c r="S84" s="2667"/>
      <c r="T84" s="2667"/>
      <c r="U84" s="2660"/>
      <c r="V84" s="2660"/>
      <c r="W84" s="2660"/>
      <c r="X84" s="2660"/>
      <c r="Y84" s="2660"/>
      <c r="Z84" s="2660"/>
      <c r="AA84" s="2660"/>
      <c r="AB84" s="2660"/>
      <c r="AC84" s="2660"/>
    </row>
    <row r="85" spans="1:30" s="2676" customFormat="1" ht="50.25" customHeight="1">
      <c r="A85" s="3829"/>
      <c r="B85" s="3106" t="str">
        <f t="shared" si="1"/>
        <v>2200002179</v>
      </c>
      <c r="C85" s="1780" t="s">
        <v>5635</v>
      </c>
      <c r="D85" s="3107"/>
      <c r="E85" s="2180"/>
      <c r="F85" s="1782" t="s">
        <v>16</v>
      </c>
      <c r="G85" s="1780"/>
      <c r="H85" s="1780"/>
      <c r="I85" s="1780" t="s">
        <v>5253</v>
      </c>
      <c r="J85" s="1493" t="s">
        <v>1612</v>
      </c>
      <c r="K85" s="1921" t="s">
        <v>1138</v>
      </c>
      <c r="L85" s="1496" t="s">
        <v>8085</v>
      </c>
      <c r="M85" s="3080">
        <v>2097</v>
      </c>
      <c r="N85" s="2915" t="s">
        <v>7947</v>
      </c>
      <c r="O85" s="2667">
        <v>36</v>
      </c>
      <c r="P85" s="2667"/>
      <c r="Q85" s="2660"/>
      <c r="R85" s="3119">
        <v>2</v>
      </c>
      <c r="S85" s="2667"/>
      <c r="T85" s="2667">
        <v>2200002179</v>
      </c>
      <c r="U85" s="1493">
        <f>VLOOKUP(T85,'PKH UPDATE'!A:D,2,0)</f>
        <v>2097</v>
      </c>
      <c r="V85" s="1493">
        <f>VLOOKUP(T85,'PKH UPDATE'!A:D,3,0)</f>
        <v>138</v>
      </c>
      <c r="W85" s="1493">
        <f>VLOOKUP(T85,'PKH UPDATE'!A:D,4,0)</f>
        <v>1959</v>
      </c>
      <c r="X85" s="2660"/>
      <c r="Y85" s="2660"/>
      <c r="Z85" s="2660"/>
      <c r="AA85" s="2660"/>
      <c r="AB85" s="2660"/>
      <c r="AC85" s="2660"/>
    </row>
    <row r="86" spans="1:30" s="2676" customFormat="1" ht="50.25" customHeight="1">
      <c r="A86" s="3829"/>
      <c r="B86" s="3106" t="str">
        <f t="shared" si="1"/>
        <v>2200002180</v>
      </c>
      <c r="C86" s="1780" t="s">
        <v>5635</v>
      </c>
      <c r="D86" s="3107"/>
      <c r="E86" s="2180"/>
      <c r="F86" s="1782" t="s">
        <v>16</v>
      </c>
      <c r="G86" s="1780"/>
      <c r="H86" s="1780"/>
      <c r="I86" s="1780" t="s">
        <v>5253</v>
      </c>
      <c r="J86" s="1493" t="s">
        <v>1612</v>
      </c>
      <c r="K86" s="1921" t="s">
        <v>1138</v>
      </c>
      <c r="L86" s="1496" t="s">
        <v>8086</v>
      </c>
      <c r="M86" s="3080">
        <v>1164</v>
      </c>
      <c r="N86" s="2915" t="s">
        <v>7947</v>
      </c>
      <c r="O86" s="2667">
        <v>36</v>
      </c>
      <c r="P86" s="2667"/>
      <c r="Q86" s="2660"/>
      <c r="R86" s="3119">
        <v>2</v>
      </c>
      <c r="S86" s="2667"/>
      <c r="T86" s="2667">
        <v>2200002180</v>
      </c>
      <c r="U86" s="1493">
        <f>VLOOKUP(T86,'PKH UPDATE'!A:D,2,0)</f>
        <v>1164</v>
      </c>
      <c r="V86" s="1493">
        <f>VLOOKUP(T86,'PKH UPDATE'!A:D,3,0)</f>
        <v>21</v>
      </c>
      <c r="W86" s="1493">
        <f>VLOOKUP(T86,'PKH UPDATE'!A:D,4,0)</f>
        <v>1143</v>
      </c>
      <c r="X86" s="2660"/>
      <c r="Y86" s="2660"/>
      <c r="Z86" s="2660"/>
      <c r="AA86" s="2660"/>
      <c r="AB86" s="2660"/>
      <c r="AC86" s="2660"/>
    </row>
    <row r="87" spans="1:30" s="2676" customFormat="1" ht="50.25" customHeight="1">
      <c r="A87" s="3829"/>
      <c r="B87" s="3106" t="str">
        <f t="shared" si="1"/>
        <v>2200002141</v>
      </c>
      <c r="C87" s="1780" t="s">
        <v>5635</v>
      </c>
      <c r="D87" s="3107"/>
      <c r="E87" s="2180"/>
      <c r="F87" s="1782" t="s">
        <v>16</v>
      </c>
      <c r="G87" s="1780"/>
      <c r="H87" s="1780"/>
      <c r="I87" s="1780" t="s">
        <v>5253</v>
      </c>
      <c r="J87" s="1493" t="s">
        <v>1612</v>
      </c>
      <c r="K87" s="1921" t="s">
        <v>1138</v>
      </c>
      <c r="L87" s="2880" t="s">
        <v>8087</v>
      </c>
      <c r="M87" s="3050">
        <v>135</v>
      </c>
      <c r="N87" s="2584" t="s">
        <v>5257</v>
      </c>
      <c r="O87" s="2667">
        <v>36</v>
      </c>
      <c r="P87" s="2667"/>
      <c r="Q87" s="2660"/>
      <c r="R87" s="3119">
        <v>2</v>
      </c>
      <c r="S87" s="2667"/>
      <c r="T87" s="2667"/>
      <c r="U87" s="2660"/>
      <c r="V87" s="2660"/>
      <c r="W87" s="2660"/>
      <c r="X87" s="2660"/>
      <c r="Y87" s="2660"/>
      <c r="Z87" s="2660"/>
      <c r="AA87" s="2660"/>
      <c r="AB87" s="2660"/>
      <c r="AC87" s="2660"/>
    </row>
    <row r="88" spans="1:30" s="2676" customFormat="1" ht="50.25" customHeight="1">
      <c r="A88" s="3829"/>
      <c r="B88" s="3106" t="str">
        <f t="shared" si="1"/>
        <v>2200002135</v>
      </c>
      <c r="C88" s="1780" t="s">
        <v>5635</v>
      </c>
      <c r="D88" s="3107"/>
      <c r="E88" s="2180"/>
      <c r="F88" s="1782" t="s">
        <v>16</v>
      </c>
      <c r="G88" s="1780"/>
      <c r="H88" s="1780"/>
      <c r="I88" s="1780" t="s">
        <v>5253</v>
      </c>
      <c r="J88" s="1493" t="s">
        <v>1612</v>
      </c>
      <c r="K88" s="1921" t="s">
        <v>1138</v>
      </c>
      <c r="L88" s="2880" t="s">
        <v>8088</v>
      </c>
      <c r="M88" s="3054">
        <v>109</v>
      </c>
      <c r="N88" s="2915" t="s">
        <v>5454</v>
      </c>
      <c r="O88" s="2667">
        <v>36</v>
      </c>
      <c r="P88" s="2667"/>
      <c r="Q88" s="2660"/>
      <c r="R88" s="3119">
        <v>2</v>
      </c>
      <c r="S88" s="2667"/>
      <c r="T88" s="2667">
        <v>2200002135</v>
      </c>
      <c r="U88" s="1493">
        <f>VLOOKUP(T88,'PKH UPDATE'!A:D,2,0)</f>
        <v>2111</v>
      </c>
      <c r="V88" s="1493">
        <f>VLOOKUP(T88,'PKH UPDATE'!A:D,3,0)</f>
        <v>2068</v>
      </c>
      <c r="W88" s="1493">
        <f>VLOOKUP(T88,'PKH UPDATE'!A:D,4,0)</f>
        <v>44</v>
      </c>
      <c r="X88" s="2660"/>
      <c r="Y88" s="2660"/>
      <c r="Z88" s="2660"/>
      <c r="AA88" s="2660"/>
      <c r="AB88" s="2660"/>
      <c r="AC88" s="2660"/>
    </row>
    <row r="89" spans="1:30" s="2676" customFormat="1" ht="50.25" customHeight="1">
      <c r="A89" s="3829"/>
      <c r="B89" s="3105" t="str">
        <f t="shared" si="1"/>
        <v>2200002176</v>
      </c>
      <c r="C89" s="1780" t="s">
        <v>5635</v>
      </c>
      <c r="D89" s="3107"/>
      <c r="E89" s="2180"/>
      <c r="F89" s="1782" t="s">
        <v>16</v>
      </c>
      <c r="G89" s="1780"/>
      <c r="H89" s="1780"/>
      <c r="I89" s="1780" t="s">
        <v>5253</v>
      </c>
      <c r="J89" s="1493" t="s">
        <v>1612</v>
      </c>
      <c r="K89" s="1921" t="s">
        <v>1138</v>
      </c>
      <c r="L89" s="1496" t="s">
        <v>8089</v>
      </c>
      <c r="M89" s="3080">
        <v>2712</v>
      </c>
      <c r="N89" s="2584" t="s">
        <v>8090</v>
      </c>
      <c r="O89" s="2667">
        <v>36</v>
      </c>
      <c r="P89" s="2667"/>
      <c r="Q89" s="2660"/>
      <c r="R89" s="3119">
        <v>2</v>
      </c>
      <c r="S89" s="2667"/>
      <c r="T89" s="2667"/>
      <c r="U89" s="2660"/>
      <c r="V89" s="2660"/>
      <c r="W89" s="2660"/>
      <c r="X89" s="2660"/>
      <c r="Y89" s="2660"/>
      <c r="Z89" s="2660"/>
      <c r="AA89" s="2660"/>
      <c r="AB89" s="2660"/>
      <c r="AC89" s="2660"/>
    </row>
    <row r="90" spans="1:30" s="2676" customFormat="1" ht="50.25" customHeight="1">
      <c r="A90" s="3830"/>
      <c r="B90" s="3105" t="str">
        <f t="shared" si="1"/>
        <v>2200002177</v>
      </c>
      <c r="C90" s="1780" t="s">
        <v>5635</v>
      </c>
      <c r="D90" s="3107"/>
      <c r="E90" s="2180"/>
      <c r="F90" s="1782" t="s">
        <v>16</v>
      </c>
      <c r="G90" s="1780"/>
      <c r="H90" s="1780"/>
      <c r="I90" s="1780" t="s">
        <v>5253</v>
      </c>
      <c r="J90" s="1493" t="s">
        <v>1612</v>
      </c>
      <c r="K90" s="1921" t="s">
        <v>1138</v>
      </c>
      <c r="L90" s="1496" t="s">
        <v>8091</v>
      </c>
      <c r="M90" s="3080">
        <v>1156</v>
      </c>
      <c r="N90" s="2915" t="s">
        <v>8092</v>
      </c>
      <c r="O90" s="2667">
        <v>36</v>
      </c>
      <c r="P90" s="2667"/>
      <c r="Q90" s="2660"/>
      <c r="R90" s="3119">
        <v>2</v>
      </c>
      <c r="S90" s="2667"/>
      <c r="T90" s="2667">
        <v>2200002177</v>
      </c>
      <c r="U90" s="1493">
        <f>VLOOKUP(T90,'PKH UPDATE'!A:D,2,0)</f>
        <v>1072</v>
      </c>
      <c r="V90" s="1493">
        <f>VLOOKUP(T90,'PKH UPDATE'!A:D,3,0)</f>
        <v>0</v>
      </c>
      <c r="W90" s="1493">
        <f>VLOOKUP(T90,'PKH UPDATE'!A:D,4,0)</f>
        <v>1072</v>
      </c>
      <c r="X90" s="2660"/>
      <c r="Y90" s="2660"/>
      <c r="Z90" s="2660"/>
      <c r="AA90" s="2660"/>
      <c r="AB90" s="2660"/>
      <c r="AC90" s="2660"/>
    </row>
    <row r="91" spans="1:30" s="2643" customFormat="1" ht="51.75" customHeight="1">
      <c r="A91" s="3749">
        <v>21</v>
      </c>
      <c r="B91" s="3018" t="str">
        <f t="shared" si="1"/>
        <v>2000003283</v>
      </c>
      <c r="C91" s="1902" t="s">
        <v>3399</v>
      </c>
      <c r="D91" s="2607">
        <v>8850</v>
      </c>
      <c r="E91" s="1921" t="s">
        <v>8048</v>
      </c>
      <c r="F91" s="1902" t="s">
        <v>3401</v>
      </c>
      <c r="G91" s="1921" t="s">
        <v>8093</v>
      </c>
      <c r="H91" s="1921"/>
      <c r="I91" s="1495" t="s">
        <v>5253</v>
      </c>
      <c r="J91" s="1902" t="s">
        <v>19</v>
      </c>
      <c r="K91" s="1921" t="s">
        <v>253</v>
      </c>
      <c r="L91" s="3095" t="s">
        <v>8094</v>
      </c>
      <c r="M91" s="3096">
        <v>1600</v>
      </c>
      <c r="N91" s="2915" t="s">
        <v>5257</v>
      </c>
      <c r="O91" s="2429"/>
      <c r="P91" s="2429"/>
      <c r="Q91" s="2590" t="s">
        <v>8095</v>
      </c>
      <c r="R91" s="1748">
        <v>2</v>
      </c>
      <c r="S91" s="2150"/>
      <c r="T91" s="2150"/>
      <c r="U91" s="2150"/>
      <c r="V91" s="2150"/>
      <c r="W91" s="2150"/>
      <c r="X91" s="2150"/>
      <c r="Y91" s="2150"/>
      <c r="Z91" s="2150"/>
      <c r="AA91" s="2150"/>
      <c r="AB91" s="2150"/>
      <c r="AC91" s="2150"/>
    </row>
    <row r="92" spans="1:30" s="2643" customFormat="1" ht="58.5" customHeight="1">
      <c r="A92" s="3751"/>
      <c r="B92" s="3038" t="str">
        <f t="shared" si="1"/>
        <v>2000003292</v>
      </c>
      <c r="C92" s="1493" t="s">
        <v>3399</v>
      </c>
      <c r="D92" s="2607"/>
      <c r="E92" s="1921"/>
      <c r="F92" s="1902" t="s">
        <v>3401</v>
      </c>
      <c r="G92" s="1921"/>
      <c r="H92" s="1921"/>
      <c r="I92" s="1495" t="s">
        <v>5253</v>
      </c>
      <c r="J92" s="1902" t="s">
        <v>19</v>
      </c>
      <c r="K92" s="1921" t="s">
        <v>253</v>
      </c>
      <c r="L92" s="3097" t="s">
        <v>8096</v>
      </c>
      <c r="M92" s="3096">
        <v>5500</v>
      </c>
      <c r="N92" s="2915" t="s">
        <v>5279</v>
      </c>
      <c r="O92" s="2429"/>
      <c r="P92" s="2429"/>
      <c r="Q92" s="2590" t="s">
        <v>8097</v>
      </c>
      <c r="R92" s="1748">
        <v>2</v>
      </c>
      <c r="S92" s="2150"/>
      <c r="T92" s="2150"/>
      <c r="U92" s="2150"/>
      <c r="V92" s="2150"/>
      <c r="W92" s="2150"/>
      <c r="X92" s="2150"/>
      <c r="Y92" s="2150"/>
      <c r="Z92" s="2150"/>
      <c r="AA92" s="2150"/>
      <c r="AB92" s="2150"/>
      <c r="AC92" s="2150"/>
    </row>
    <row r="93" spans="1:30" s="1548" customFormat="1" ht="58.5" customHeight="1">
      <c r="A93" s="3750"/>
      <c r="B93" s="3018" t="str">
        <f t="shared" si="1"/>
        <v>2200002097</v>
      </c>
      <c r="C93" s="1493" t="s">
        <v>3399</v>
      </c>
      <c r="D93" s="3051"/>
      <c r="E93" s="1921"/>
      <c r="F93" s="1902" t="s">
        <v>3401</v>
      </c>
      <c r="G93" s="1495"/>
      <c r="H93" s="1495"/>
      <c r="I93" s="1495" t="s">
        <v>5253</v>
      </c>
      <c r="J93" s="1493" t="s">
        <v>19</v>
      </c>
      <c r="K93" s="1495" t="s">
        <v>1230</v>
      </c>
      <c r="L93" s="2880" t="s">
        <v>8098</v>
      </c>
      <c r="M93" s="3051">
        <v>1700</v>
      </c>
      <c r="N93" s="2915" t="s">
        <v>5279</v>
      </c>
      <c r="O93" s="1493"/>
      <c r="P93" s="1493"/>
      <c r="Q93" s="2590" t="s">
        <v>8097</v>
      </c>
      <c r="R93" s="1748">
        <v>2</v>
      </c>
      <c r="S93" s="1790"/>
      <c r="T93" s="1790"/>
    </row>
    <row r="94" spans="1:30" s="2643" customFormat="1" ht="58.5" customHeight="1">
      <c r="A94" s="3732">
        <v>22</v>
      </c>
      <c r="B94" s="3038" t="str">
        <f t="shared" si="1"/>
        <v>2000003306</v>
      </c>
      <c r="C94" s="3033" t="s">
        <v>3908</v>
      </c>
      <c r="D94" s="3034">
        <v>4300</v>
      </c>
      <c r="E94" s="3081" t="s">
        <v>8079</v>
      </c>
      <c r="F94" s="3033" t="s">
        <v>84</v>
      </c>
      <c r="G94" s="3035" t="s">
        <v>8099</v>
      </c>
      <c r="H94" s="3035"/>
      <c r="I94" s="3082" t="s">
        <v>5253</v>
      </c>
      <c r="J94" s="1921" t="s">
        <v>19</v>
      </c>
      <c r="K94" s="3035" t="s">
        <v>74</v>
      </c>
      <c r="L94" s="2908" t="s">
        <v>8100</v>
      </c>
      <c r="M94" s="3050">
        <f>D94-M95</f>
        <v>3541</v>
      </c>
      <c r="N94" s="2915" t="s">
        <v>5279</v>
      </c>
      <c r="O94" s="3033"/>
      <c r="P94" s="3033"/>
      <c r="Q94" s="1745" t="s">
        <v>8101</v>
      </c>
      <c r="R94" s="3040">
        <v>2</v>
      </c>
      <c r="S94" s="2150"/>
      <c r="T94" s="2150"/>
      <c r="U94" s="2150"/>
      <c r="V94" s="2150"/>
      <c r="W94" s="2150"/>
      <c r="X94" s="2150"/>
      <c r="Y94" s="2150"/>
      <c r="Z94" s="2150"/>
      <c r="AA94" s="2150"/>
      <c r="AB94" s="2150"/>
      <c r="AC94" s="2150"/>
      <c r="AD94" s="2150"/>
    </row>
    <row r="95" spans="1:30" s="1467" customFormat="1" ht="58.5" customHeight="1">
      <c r="A95" s="3733"/>
      <c r="B95" s="3018" t="str">
        <f t="shared" si="1"/>
        <v>2200002181</v>
      </c>
      <c r="C95" s="3023" t="s">
        <v>3908</v>
      </c>
      <c r="D95" s="3020"/>
      <c r="E95" s="3081"/>
      <c r="F95" s="3023" t="s">
        <v>84</v>
      </c>
      <c r="G95" s="3021"/>
      <c r="H95" s="3021"/>
      <c r="I95" s="3082" t="s">
        <v>5253</v>
      </c>
      <c r="J95" s="1921" t="s">
        <v>19</v>
      </c>
      <c r="K95" s="3021" t="s">
        <v>101</v>
      </c>
      <c r="L95" s="3216" t="s">
        <v>8102</v>
      </c>
      <c r="M95" s="3103">
        <f>3709-2950</f>
        <v>759</v>
      </c>
      <c r="N95" s="2915" t="s">
        <v>8103</v>
      </c>
      <c r="O95" s="3023"/>
      <c r="P95" s="3023"/>
      <c r="Q95" s="2590"/>
      <c r="R95" s="3059">
        <v>2</v>
      </c>
      <c r="S95" s="1548"/>
      <c r="T95" s="1548"/>
      <c r="U95" s="1548"/>
      <c r="V95" s="1548"/>
      <c r="W95" s="1548"/>
      <c r="X95" s="1548"/>
      <c r="Y95" s="1548"/>
      <c r="Z95" s="1548"/>
      <c r="AA95" s="1548"/>
      <c r="AB95" s="1548"/>
      <c r="AC95" s="1548"/>
      <c r="AD95" s="1548"/>
    </row>
    <row r="96" spans="1:30" s="2643" customFormat="1" ht="58.5" customHeight="1">
      <c r="A96" s="3734"/>
      <c r="B96" s="3018" t="str">
        <f t="shared" si="1"/>
        <v>2200002189</v>
      </c>
      <c r="C96" s="3023" t="s">
        <v>3908</v>
      </c>
      <c r="D96" s="3083"/>
      <c r="E96" s="1909"/>
      <c r="F96" s="3023" t="s">
        <v>84</v>
      </c>
      <c r="G96" s="1909"/>
      <c r="H96" s="1909"/>
      <c r="I96" s="3082" t="s">
        <v>5253</v>
      </c>
      <c r="J96" s="1909" t="s">
        <v>19</v>
      </c>
      <c r="K96" s="2429" t="s">
        <v>101</v>
      </c>
      <c r="L96" s="1862" t="s">
        <v>8104</v>
      </c>
      <c r="M96" s="3104">
        <v>46</v>
      </c>
      <c r="N96" s="2915" t="s">
        <v>8103</v>
      </c>
      <c r="O96" s="2429"/>
      <c r="P96" s="2429"/>
      <c r="Q96" s="2290"/>
      <c r="R96" s="3059">
        <v>2</v>
      </c>
      <c r="S96" s="2150"/>
      <c r="T96" s="2150"/>
      <c r="U96" s="2150"/>
      <c r="V96" s="2150"/>
      <c r="W96" s="2150"/>
      <c r="X96" s="2150"/>
      <c r="Y96" s="2150"/>
      <c r="Z96" s="2150"/>
      <c r="AA96" s="2150"/>
      <c r="AB96" s="2150"/>
      <c r="AC96" s="2150"/>
    </row>
    <row r="97" spans="1:29" s="2150" customFormat="1" ht="58.5" customHeight="1">
      <c r="A97" s="3735">
        <v>23</v>
      </c>
      <c r="B97" s="3018" t="str">
        <f t="shared" si="1"/>
        <v>2000003220</v>
      </c>
      <c r="C97" s="3033" t="s">
        <v>219</v>
      </c>
      <c r="D97" s="3083">
        <v>3750</v>
      </c>
      <c r="E97" s="1921" t="s">
        <v>8105</v>
      </c>
      <c r="F97" s="3023" t="s">
        <v>61</v>
      </c>
      <c r="G97" s="3035" t="s">
        <v>8106</v>
      </c>
      <c r="H97" s="3035"/>
      <c r="I97" s="3082" t="s">
        <v>5253</v>
      </c>
      <c r="J97" s="1909" t="s">
        <v>19</v>
      </c>
      <c r="K97" s="2429" t="s">
        <v>74</v>
      </c>
      <c r="L97" s="1843" t="s">
        <v>8107</v>
      </c>
      <c r="M97" s="3084">
        <f>D97-M98</f>
        <v>1143</v>
      </c>
      <c r="N97" s="2196" t="s">
        <v>5454</v>
      </c>
      <c r="O97" s="2429"/>
      <c r="P97" s="2429"/>
      <c r="Q97" s="2290"/>
      <c r="R97" s="3059">
        <v>3</v>
      </c>
    </row>
    <row r="98" spans="1:29" s="1548" customFormat="1" ht="58.5" customHeight="1">
      <c r="A98" s="3737"/>
      <c r="B98" s="3018" t="str">
        <f t="shared" si="1"/>
        <v>2000003306</v>
      </c>
      <c r="C98" s="3033" t="s">
        <v>219</v>
      </c>
      <c r="D98" s="2183"/>
      <c r="E98" s="1921"/>
      <c r="F98" s="3023" t="s">
        <v>61</v>
      </c>
      <c r="G98" s="3021"/>
      <c r="H98" s="3021"/>
      <c r="I98" s="3075" t="s">
        <v>5253</v>
      </c>
      <c r="J98" s="3022" t="s">
        <v>19</v>
      </c>
      <c r="K98" s="3021" t="s">
        <v>74</v>
      </c>
      <c r="L98" s="2880" t="s">
        <v>8108</v>
      </c>
      <c r="M98" s="3054">
        <f>10000-3852-M94</f>
        <v>2607</v>
      </c>
      <c r="N98" s="2196" t="s">
        <v>5454</v>
      </c>
      <c r="O98" s="3023"/>
      <c r="P98" s="3023"/>
      <c r="Q98" s="2590" t="s">
        <v>8101</v>
      </c>
      <c r="R98" s="3059">
        <v>2</v>
      </c>
    </row>
    <row r="99" spans="1:29" s="1467" customFormat="1" ht="58.5" customHeight="1">
      <c r="A99" s="3735">
        <v>24</v>
      </c>
      <c r="B99" s="3018" t="str">
        <f t="shared" si="1"/>
        <v>2000003298</v>
      </c>
      <c r="C99" s="1902" t="s">
        <v>5628</v>
      </c>
      <c r="D99" s="1494">
        <v>12270</v>
      </c>
      <c r="E99" s="1921" t="s">
        <v>8109</v>
      </c>
      <c r="F99" s="1493" t="s">
        <v>3401</v>
      </c>
      <c r="G99" s="1495" t="s">
        <v>8110</v>
      </c>
      <c r="H99" s="1495"/>
      <c r="I99" s="1495" t="s">
        <v>5253</v>
      </c>
      <c r="J99" s="1493" t="s">
        <v>19</v>
      </c>
      <c r="K99" s="1495" t="s">
        <v>1230</v>
      </c>
      <c r="L99" s="2880" t="s">
        <v>8111</v>
      </c>
      <c r="M99" s="3051">
        <v>5000</v>
      </c>
      <c r="N99" s="2196" t="s">
        <v>5257</v>
      </c>
      <c r="O99" s="1493"/>
      <c r="P99" s="1493"/>
      <c r="Q99" s="2590"/>
      <c r="R99" s="1748">
        <v>2</v>
      </c>
      <c r="S99" s="1548">
        <f>900+80+800+260+140</f>
        <v>2180</v>
      </c>
      <c r="T99" s="1548"/>
      <c r="U99" s="1548">
        <v>5000</v>
      </c>
      <c r="V99" s="1548"/>
      <c r="W99" s="1548"/>
      <c r="X99" s="1548"/>
      <c r="Y99" s="1548"/>
      <c r="Z99" s="1548"/>
      <c r="AA99" s="1548"/>
      <c r="AB99" s="1548"/>
      <c r="AC99" s="1548"/>
    </row>
    <row r="100" spans="1:29" s="1467" customFormat="1" ht="58.5" customHeight="1">
      <c r="A100" s="3736"/>
      <c r="B100" s="3018" t="str">
        <f t="shared" si="1"/>
        <v>2000003284</v>
      </c>
      <c r="C100" s="1493" t="s">
        <v>5628</v>
      </c>
      <c r="D100" s="1494"/>
      <c r="E100" s="1921"/>
      <c r="F100" s="1493" t="s">
        <v>3401</v>
      </c>
      <c r="G100" s="1495"/>
      <c r="H100" s="1495"/>
      <c r="I100" s="1495" t="s">
        <v>5253</v>
      </c>
      <c r="J100" s="1493" t="s">
        <v>19</v>
      </c>
      <c r="K100" s="1495" t="s">
        <v>123</v>
      </c>
      <c r="L100" s="1600" t="s">
        <v>8112</v>
      </c>
      <c r="M100" s="3051">
        <v>1100</v>
      </c>
      <c r="N100" s="2915" t="s">
        <v>5522</v>
      </c>
      <c r="O100" s="1493"/>
      <c r="P100" s="1493"/>
      <c r="Q100" s="2590" t="s">
        <v>8101</v>
      </c>
      <c r="R100" s="1748">
        <v>2</v>
      </c>
      <c r="S100" s="1548"/>
      <c r="T100" s="1548"/>
      <c r="U100" s="1548">
        <v>180</v>
      </c>
      <c r="V100" s="1548"/>
      <c r="W100" s="1548"/>
      <c r="X100" s="1548"/>
      <c r="Y100" s="1548"/>
      <c r="Z100" s="1548"/>
      <c r="AA100" s="1548"/>
      <c r="AB100" s="1548"/>
      <c r="AC100" s="1548"/>
    </row>
    <row r="101" spans="1:29" s="2150" customFormat="1" ht="58.5" customHeight="1">
      <c r="A101" s="3736"/>
      <c r="B101" s="3038" t="str">
        <f t="shared" si="1"/>
        <v>2000003232</v>
      </c>
      <c r="C101" s="1493" t="s">
        <v>5628</v>
      </c>
      <c r="D101" s="3055"/>
      <c r="E101" s="1921"/>
      <c r="F101" s="1902" t="s">
        <v>3401</v>
      </c>
      <c r="G101" s="1921"/>
      <c r="H101" s="1921"/>
      <c r="I101" s="1495" t="s">
        <v>5253</v>
      </c>
      <c r="J101" s="1902" t="s">
        <v>19</v>
      </c>
      <c r="K101" s="1921" t="s">
        <v>4348</v>
      </c>
      <c r="L101" s="1600" t="s">
        <v>8113</v>
      </c>
      <c r="M101" s="3055">
        <v>1000</v>
      </c>
      <c r="N101" s="2915" t="s">
        <v>5522</v>
      </c>
      <c r="O101" s="1902"/>
      <c r="P101" s="1902"/>
      <c r="Q101" s="2590" t="s">
        <v>8101</v>
      </c>
      <c r="R101" s="3059">
        <v>2</v>
      </c>
      <c r="S101" s="2429"/>
      <c r="T101" s="2429"/>
      <c r="U101" s="1548">
        <v>926</v>
      </c>
      <c r="V101" s="1548"/>
      <c r="W101" s="1548"/>
      <c r="X101" s="1548"/>
      <c r="Y101" s="1548"/>
      <c r="Z101" s="1548"/>
      <c r="AA101" s="1548"/>
      <c r="AB101" s="1548"/>
      <c r="AC101" s="2643"/>
    </row>
    <row r="102" spans="1:29" s="1548" customFormat="1" ht="58.5" customHeight="1">
      <c r="A102" s="3736"/>
      <c r="B102" s="3018" t="str">
        <f t="shared" si="1"/>
        <v>2000003235</v>
      </c>
      <c r="C102" s="1493" t="s">
        <v>5628</v>
      </c>
      <c r="D102" s="3051"/>
      <c r="E102" s="1921"/>
      <c r="F102" s="1493" t="s">
        <v>3401</v>
      </c>
      <c r="G102" s="1495"/>
      <c r="H102" s="1495"/>
      <c r="I102" s="1495" t="s">
        <v>5253</v>
      </c>
      <c r="J102" s="1493" t="s">
        <v>19</v>
      </c>
      <c r="K102" s="1495" t="s">
        <v>4348</v>
      </c>
      <c r="L102" s="1600" t="s">
        <v>8114</v>
      </c>
      <c r="M102" s="3051">
        <v>2000</v>
      </c>
      <c r="N102" s="2915" t="s">
        <v>5522</v>
      </c>
      <c r="O102" s="1493"/>
      <c r="P102" s="1493"/>
      <c r="Q102" s="2590" t="s">
        <v>8101</v>
      </c>
      <c r="R102" s="3059">
        <v>2</v>
      </c>
      <c r="S102" s="1790"/>
      <c r="T102" s="1790"/>
      <c r="U102" s="1548">
        <v>1200</v>
      </c>
      <c r="AC102" s="1467"/>
    </row>
    <row r="103" spans="1:29" s="1467" customFormat="1" ht="58.5" customHeight="1">
      <c r="A103" s="3736"/>
      <c r="B103" s="3018" t="str">
        <f t="shared" si="1"/>
        <v>2000003240</v>
      </c>
      <c r="C103" s="1493" t="s">
        <v>5628</v>
      </c>
      <c r="D103" s="1494"/>
      <c r="E103" s="1921"/>
      <c r="F103" s="1493" t="s">
        <v>3401</v>
      </c>
      <c r="G103" s="1495"/>
      <c r="H103" s="1495"/>
      <c r="I103" s="1495" t="s">
        <v>5253</v>
      </c>
      <c r="J103" s="1493" t="s">
        <v>19</v>
      </c>
      <c r="K103" s="1495" t="s">
        <v>4348</v>
      </c>
      <c r="L103" s="1600" t="s">
        <v>8115</v>
      </c>
      <c r="M103" s="3051">
        <v>1000</v>
      </c>
      <c r="N103" s="2196" t="s">
        <v>5279</v>
      </c>
      <c r="O103" s="1493"/>
      <c r="P103" s="1493"/>
      <c r="Q103" s="2590" t="s">
        <v>8101</v>
      </c>
      <c r="R103" s="1748">
        <v>2</v>
      </c>
      <c r="S103" s="1548"/>
      <c r="T103" s="1548"/>
      <c r="U103" s="1548">
        <v>1000</v>
      </c>
      <c r="V103" s="1548"/>
      <c r="W103" s="1548"/>
      <c r="X103" s="1548"/>
      <c r="Y103" s="1548"/>
      <c r="Z103" s="1548"/>
      <c r="AA103" s="1548"/>
      <c r="AB103" s="1548"/>
      <c r="AC103" s="1548"/>
    </row>
    <row r="104" spans="1:29" s="1548" customFormat="1" ht="58.5" customHeight="1">
      <c r="A104" s="3736"/>
      <c r="B104" s="3018" t="str">
        <f t="shared" si="1"/>
        <v>2000003233</v>
      </c>
      <c r="C104" s="1493" t="s">
        <v>5628</v>
      </c>
      <c r="D104" s="3055"/>
      <c r="E104" s="1921"/>
      <c r="F104" s="1493" t="s">
        <v>3401</v>
      </c>
      <c r="G104" s="1921"/>
      <c r="H104" s="1921"/>
      <c r="I104" s="1495" t="s">
        <v>5253</v>
      </c>
      <c r="J104" s="1493" t="s">
        <v>19</v>
      </c>
      <c r="K104" s="1495" t="s">
        <v>4348</v>
      </c>
      <c r="L104" s="1600" t="s">
        <v>8116</v>
      </c>
      <c r="M104" s="3051">
        <v>1000</v>
      </c>
      <c r="N104" s="2196" t="s">
        <v>5279</v>
      </c>
      <c r="O104" s="1493"/>
      <c r="P104" s="1493"/>
      <c r="Q104" s="2590" t="s">
        <v>8101</v>
      </c>
      <c r="R104" s="3059">
        <v>2</v>
      </c>
      <c r="S104" s="1790"/>
      <c r="T104" s="1790"/>
      <c r="U104" s="1548">
        <v>740</v>
      </c>
      <c r="AC104" s="1467"/>
    </row>
    <row r="105" spans="1:29" s="1548" customFormat="1" ht="58.5" customHeight="1">
      <c r="A105" s="3737"/>
      <c r="B105" s="3018" t="str">
        <f t="shared" si="1"/>
        <v>2000003234</v>
      </c>
      <c r="C105" s="1493" t="s">
        <v>5628</v>
      </c>
      <c r="D105" s="3051"/>
      <c r="E105" s="1921"/>
      <c r="F105" s="1493" t="s">
        <v>3401</v>
      </c>
      <c r="G105" s="1495"/>
      <c r="H105" s="1495"/>
      <c r="I105" s="1495" t="s">
        <v>5253</v>
      </c>
      <c r="J105" s="1493" t="s">
        <v>19</v>
      </c>
      <c r="K105" s="1495" t="s">
        <v>4348</v>
      </c>
      <c r="L105" s="1600" t="s">
        <v>8117</v>
      </c>
      <c r="M105" s="3051">
        <v>1000</v>
      </c>
      <c r="N105" s="2196" t="s">
        <v>5279</v>
      </c>
      <c r="O105" s="1493"/>
      <c r="P105" s="1493"/>
      <c r="Q105" s="2590" t="s">
        <v>8101</v>
      </c>
      <c r="R105" s="3059">
        <v>2</v>
      </c>
      <c r="S105" s="1790"/>
      <c r="T105" s="1790"/>
      <c r="U105" s="1548">
        <v>900</v>
      </c>
      <c r="AC105" s="1467"/>
    </row>
    <row r="106" spans="1:29" s="2952" customFormat="1" ht="58.5" customHeight="1">
      <c r="A106" s="2942"/>
      <c r="B106" s="2943" t="str">
        <f t="shared" si="1"/>
        <v>2000003262</v>
      </c>
      <c r="C106" s="2944" t="s">
        <v>2468</v>
      </c>
      <c r="D106" s="2945">
        <v>650</v>
      </c>
      <c r="E106" s="2946" t="s">
        <v>8118</v>
      </c>
      <c r="F106" s="2944"/>
      <c r="G106" s="2946"/>
      <c r="H106" s="2946"/>
      <c r="I106" s="2946" t="s">
        <v>5253</v>
      </c>
      <c r="J106" s="2944" t="s">
        <v>19</v>
      </c>
      <c r="K106" s="2946" t="s">
        <v>234</v>
      </c>
      <c r="L106" s="2947" t="s">
        <v>8119</v>
      </c>
      <c r="M106" s="3056">
        <v>830</v>
      </c>
      <c r="N106" s="3123" t="s">
        <v>5454</v>
      </c>
      <c r="O106" s="2949"/>
      <c r="P106" s="2949"/>
      <c r="Q106" s="2950"/>
      <c r="R106" s="3133">
        <v>1</v>
      </c>
      <c r="S106" s="2948"/>
      <c r="T106" s="2948">
        <v>2000003262</v>
      </c>
      <c r="U106" s="2944">
        <f>VLOOKUP(T106,'PKH UPDATE'!A:D,2,0)</f>
        <v>643</v>
      </c>
      <c r="V106" s="2944">
        <f>VLOOKUP(T106,'PKH UPDATE'!A:D,3,0)</f>
        <v>0</v>
      </c>
      <c r="W106" s="2944">
        <f>VLOOKUP(T106,'PKH UPDATE'!A:D,4,0)</f>
        <v>643</v>
      </c>
      <c r="X106" s="2951"/>
      <c r="Y106" s="2951"/>
      <c r="Z106" s="2951"/>
      <c r="AA106" s="2951"/>
      <c r="AB106" s="2951"/>
      <c r="AC106" s="2951"/>
    </row>
    <row r="107" spans="1:29" s="2952" customFormat="1" ht="58.5" customHeight="1">
      <c r="A107" s="2942"/>
      <c r="B107" s="2943" t="str">
        <f t="shared" si="1"/>
        <v>2000003185</v>
      </c>
      <c r="C107" s="2944" t="s">
        <v>2468</v>
      </c>
      <c r="D107" s="2953">
        <v>597</v>
      </c>
      <c r="E107" s="2946" t="s">
        <v>8120</v>
      </c>
      <c r="F107" s="2944"/>
      <c r="G107" s="2954"/>
      <c r="H107" s="2954"/>
      <c r="I107" s="2954" t="s">
        <v>5253</v>
      </c>
      <c r="J107" s="2944" t="s">
        <v>19</v>
      </c>
      <c r="K107" s="2954" t="s">
        <v>234</v>
      </c>
      <c r="L107" s="2955" t="s">
        <v>8121</v>
      </c>
      <c r="M107" s="2953">
        <v>720</v>
      </c>
      <c r="N107" s="3123" t="s">
        <v>5454</v>
      </c>
      <c r="O107" s="2944"/>
      <c r="P107" s="2944"/>
      <c r="Q107" s="2950"/>
      <c r="R107" s="3133">
        <v>1</v>
      </c>
      <c r="S107" s="2948"/>
      <c r="T107" s="2948">
        <v>2000003185</v>
      </c>
      <c r="U107" s="2944">
        <f>VLOOKUP(T107,'PKH UPDATE'!A:D,2,0)</f>
        <v>578</v>
      </c>
      <c r="V107" s="2944">
        <f>VLOOKUP(T107,'PKH UPDATE'!A:D,3,0)</f>
        <v>535</v>
      </c>
      <c r="W107" s="2944">
        <f>VLOOKUP(T107,'PKH UPDATE'!A:D,4,0)</f>
        <v>43</v>
      </c>
      <c r="X107" s="2957"/>
      <c r="Y107" s="2957"/>
      <c r="Z107" s="2957"/>
      <c r="AA107" s="2957"/>
      <c r="AB107" s="2957"/>
      <c r="AC107" s="2957"/>
    </row>
    <row r="108" spans="1:29" s="2952" customFormat="1" ht="58.5" customHeight="1">
      <c r="A108" s="2958"/>
      <c r="B108" s="2943" t="str">
        <f t="shared" si="1"/>
        <v>2000003237</v>
      </c>
      <c r="C108" s="2944" t="s">
        <v>2468</v>
      </c>
      <c r="D108" s="2959">
        <v>375</v>
      </c>
      <c r="E108" s="3128" t="s">
        <v>8122</v>
      </c>
      <c r="F108" s="2944"/>
      <c r="G108" s="2960"/>
      <c r="H108" s="2960"/>
      <c r="I108" s="2954" t="s">
        <v>5253</v>
      </c>
      <c r="J108" s="2954" t="s">
        <v>19</v>
      </c>
      <c r="K108" s="2944" t="s">
        <v>1612</v>
      </c>
      <c r="L108" s="3217" t="s">
        <v>8123</v>
      </c>
      <c r="M108" s="2953">
        <v>575</v>
      </c>
      <c r="N108" s="3123" t="s">
        <v>5454</v>
      </c>
      <c r="O108" s="2944"/>
      <c r="P108" s="2944"/>
      <c r="Q108" s="2961"/>
      <c r="R108" s="3133">
        <v>1</v>
      </c>
      <c r="S108" s="2948"/>
      <c r="T108" s="3071">
        <v>2000003237</v>
      </c>
      <c r="U108" s="2944">
        <f>VLOOKUP(T108,'PKH UPDATE'!A:D,2,0)</f>
        <v>574</v>
      </c>
      <c r="V108" s="2944">
        <f>VLOOKUP(T108,'PKH UPDATE'!A:D,3,0)</f>
        <v>186</v>
      </c>
      <c r="W108" s="2944">
        <f>VLOOKUP(T108,'PKH UPDATE'!A:D,4,0)</f>
        <v>388</v>
      </c>
    </row>
    <row r="109" spans="1:29" s="2952" customFormat="1" ht="58.5" customHeight="1">
      <c r="A109" s="2958"/>
      <c r="B109" s="2943" t="str">
        <f t="shared" si="1"/>
        <v>2000003238</v>
      </c>
      <c r="C109" s="2944" t="s">
        <v>2468</v>
      </c>
      <c r="D109" s="2959">
        <v>75</v>
      </c>
      <c r="E109" s="3128">
        <v>45909</v>
      </c>
      <c r="F109" s="2944"/>
      <c r="G109" s="2960"/>
      <c r="H109" s="2960"/>
      <c r="I109" s="2954" t="s">
        <v>5253</v>
      </c>
      <c r="J109" s="2954" t="s">
        <v>19</v>
      </c>
      <c r="K109" s="2944" t="s">
        <v>1612</v>
      </c>
      <c r="L109" s="3217" t="s">
        <v>8124</v>
      </c>
      <c r="M109" s="2953">
        <v>75</v>
      </c>
      <c r="N109" s="3123" t="s">
        <v>5454</v>
      </c>
      <c r="O109" s="2944"/>
      <c r="P109" s="2944"/>
      <c r="Q109" s="2961"/>
      <c r="R109" s="3133">
        <v>1</v>
      </c>
      <c r="S109" s="2948"/>
      <c r="T109" s="3071">
        <v>2000003238</v>
      </c>
      <c r="U109" s="2944" t="e">
        <f>VLOOKUP(T109,'PKH UPDATE'!A:D,2,0)</f>
        <v>#N/A</v>
      </c>
      <c r="V109" s="2944" t="e">
        <f>VLOOKUP(T109,'PKH UPDATE'!A:D,3,0)</f>
        <v>#N/A</v>
      </c>
      <c r="W109" s="2944" t="e">
        <f>VLOOKUP(T109,'PKH UPDATE'!A:D,4,0)</f>
        <v>#N/A</v>
      </c>
    </row>
    <row r="110" spans="1:29" s="2951" customFormat="1" ht="58.5" customHeight="1">
      <c r="A110" s="2958"/>
      <c r="B110" s="2943" t="str">
        <f t="shared" si="1"/>
        <v>2000003263</v>
      </c>
      <c r="C110" s="2944" t="s">
        <v>2468</v>
      </c>
      <c r="D110" s="2959">
        <v>650</v>
      </c>
      <c r="E110" s="3129">
        <v>46000</v>
      </c>
      <c r="F110" s="2944"/>
      <c r="G110" s="2963"/>
      <c r="H110" s="2963"/>
      <c r="I110" s="2954" t="s">
        <v>5253</v>
      </c>
      <c r="J110" s="2954" t="s">
        <v>19</v>
      </c>
      <c r="K110" s="2944" t="s">
        <v>1612</v>
      </c>
      <c r="L110" s="3217" t="s">
        <v>8125</v>
      </c>
      <c r="M110" s="2953">
        <v>650</v>
      </c>
      <c r="N110" s="2962" t="s">
        <v>8126</v>
      </c>
      <c r="O110" s="2944"/>
      <c r="P110" s="2944"/>
      <c r="Q110" s="2961"/>
      <c r="R110" s="3133">
        <v>1</v>
      </c>
      <c r="S110" s="2948"/>
      <c r="T110" s="3071">
        <v>2000003263</v>
      </c>
      <c r="U110" s="2944">
        <f>VLOOKUP(T110,'PKH UPDATE'!A:D,2,0)</f>
        <v>69</v>
      </c>
      <c r="V110" s="2944">
        <f>VLOOKUP(T110,'PKH UPDATE'!A:D,3,0)</f>
        <v>0</v>
      </c>
      <c r="W110" s="2944">
        <f>VLOOKUP(T110,'PKH UPDATE'!A:D,4,0)</f>
        <v>69</v>
      </c>
      <c r="X110" s="2952"/>
      <c r="Y110" s="2952"/>
      <c r="Z110" s="2952"/>
      <c r="AA110" s="2952"/>
      <c r="AB110" s="2952"/>
      <c r="AC110" s="2952"/>
    </row>
    <row r="111" spans="1:29" s="2952" customFormat="1" ht="58.5" customHeight="1">
      <c r="A111" s="2958"/>
      <c r="B111" s="2964" t="str">
        <f t="shared" si="1"/>
        <v>2000003248</v>
      </c>
      <c r="C111" s="2944" t="s">
        <v>2468</v>
      </c>
      <c r="D111" s="2956">
        <v>174</v>
      </c>
      <c r="E111" s="2946" t="s">
        <v>8127</v>
      </c>
      <c r="F111" s="2944"/>
      <c r="G111" s="2954"/>
      <c r="H111" s="2954"/>
      <c r="I111" s="2954" t="s">
        <v>5253</v>
      </c>
      <c r="J111" s="2954" t="s">
        <v>19</v>
      </c>
      <c r="K111" s="2944" t="s">
        <v>234</v>
      </c>
      <c r="L111" s="3217" t="s">
        <v>8128</v>
      </c>
      <c r="M111" s="2953">
        <v>174</v>
      </c>
      <c r="N111" s="3124" t="s">
        <v>5454</v>
      </c>
      <c r="O111" s="2944"/>
      <c r="P111" s="2944"/>
      <c r="Q111" s="2955"/>
      <c r="R111" s="2962">
        <v>3</v>
      </c>
      <c r="S111" s="2948"/>
      <c r="T111" s="3071">
        <v>2000003248</v>
      </c>
      <c r="U111" s="2944" t="e">
        <f>VLOOKUP(T111,'PKH UPDATE'!A:D,2,0)</f>
        <v>#N/A</v>
      </c>
      <c r="V111" s="2944" t="e">
        <f>VLOOKUP(T111,'PKH UPDATE'!A:D,3,0)</f>
        <v>#N/A</v>
      </c>
      <c r="W111" s="2944" t="e">
        <f>VLOOKUP(T111,'PKH UPDATE'!A:D,4,0)</f>
        <v>#N/A</v>
      </c>
    </row>
    <row r="112" spans="1:29" s="2972" customFormat="1" ht="58.5" customHeight="1">
      <c r="A112" s="2965"/>
      <c r="B112" s="2966" t="str">
        <f t="shared" si="1"/>
        <v>2000003236</v>
      </c>
      <c r="C112" s="2967" t="s">
        <v>2468</v>
      </c>
      <c r="D112" s="2968">
        <v>600</v>
      </c>
      <c r="E112" s="3130" t="s">
        <v>8129</v>
      </c>
      <c r="F112" s="2967"/>
      <c r="G112" s="2969"/>
      <c r="H112" s="2969"/>
      <c r="I112" s="2954" t="s">
        <v>5253</v>
      </c>
      <c r="J112" s="2969" t="s">
        <v>19</v>
      </c>
      <c r="K112" s="2967" t="s">
        <v>234</v>
      </c>
      <c r="L112" s="3218" t="s">
        <v>8130</v>
      </c>
      <c r="M112" s="3057">
        <v>600</v>
      </c>
      <c r="N112" s="3125" t="s">
        <v>5454</v>
      </c>
      <c r="O112" s="2967"/>
      <c r="P112" s="2967"/>
      <c r="Q112" s="2970"/>
      <c r="R112" s="3134">
        <v>3</v>
      </c>
      <c r="S112" s="2971"/>
      <c r="T112" s="3072">
        <v>2000003236</v>
      </c>
      <c r="U112" s="2944" t="e">
        <f>VLOOKUP(T112,'PKH UPDATE'!A:D,2,0)</f>
        <v>#N/A</v>
      </c>
      <c r="V112" s="2944" t="e">
        <f>VLOOKUP(T112,'PKH UPDATE'!A:D,3,0)</f>
        <v>#N/A</v>
      </c>
      <c r="W112" s="2944" t="e">
        <f>VLOOKUP(T112,'PKH UPDATE'!A:D,4,0)</f>
        <v>#N/A</v>
      </c>
    </row>
    <row r="113" spans="1:29" s="2951" customFormat="1" ht="58.5" customHeight="1">
      <c r="A113" s="2958"/>
      <c r="B113" s="2943" t="str">
        <f t="shared" si="1"/>
        <v>2000003239</v>
      </c>
      <c r="C113" s="2944" t="s">
        <v>2468</v>
      </c>
      <c r="D113" s="2959">
        <v>1000</v>
      </c>
      <c r="E113" s="3130" t="s">
        <v>8129</v>
      </c>
      <c r="F113" s="2944"/>
      <c r="G113" s="2960"/>
      <c r="H113" s="2960"/>
      <c r="I113" s="2954" t="s">
        <v>5253</v>
      </c>
      <c r="J113" s="2954" t="s">
        <v>19</v>
      </c>
      <c r="K113" s="2944" t="s">
        <v>234</v>
      </c>
      <c r="L113" s="3217" t="s">
        <v>8131</v>
      </c>
      <c r="M113" s="2953">
        <v>1000</v>
      </c>
      <c r="N113" s="3124" t="s">
        <v>5454</v>
      </c>
      <c r="O113" s="2944"/>
      <c r="P113" s="2944"/>
      <c r="Q113" s="2961"/>
      <c r="R113" s="3133">
        <v>1</v>
      </c>
      <c r="S113" s="2948"/>
      <c r="T113" s="3071">
        <v>2000003239</v>
      </c>
      <c r="U113" s="2944">
        <f>VLOOKUP(T113,'PKH UPDATE'!A:D,2,0)</f>
        <v>990</v>
      </c>
      <c r="V113" s="2944">
        <f>VLOOKUP(T113,'PKH UPDATE'!A:D,3,0)</f>
        <v>776</v>
      </c>
      <c r="W113" s="2944">
        <f>VLOOKUP(T113,'PKH UPDATE'!A:D,4,0)</f>
        <v>214</v>
      </c>
      <c r="X113" s="2952"/>
      <c r="Y113" s="2952"/>
      <c r="Z113" s="2952"/>
      <c r="AA113" s="2952"/>
      <c r="AB113" s="2952"/>
      <c r="AC113" s="2952"/>
    </row>
    <row r="114" spans="1:29" s="2951" customFormat="1" ht="58.5" customHeight="1">
      <c r="A114" s="2958"/>
      <c r="B114" s="2943" t="str">
        <f t="shared" si="1"/>
        <v>2200002158</v>
      </c>
      <c r="C114" s="2944" t="s">
        <v>2468</v>
      </c>
      <c r="D114" s="2959">
        <v>333</v>
      </c>
      <c r="E114" s="3128" t="s">
        <v>8132</v>
      </c>
      <c r="F114" s="2944"/>
      <c r="G114" s="2960"/>
      <c r="H114" s="2960"/>
      <c r="I114" s="2954" t="s">
        <v>5253</v>
      </c>
      <c r="J114" s="2954" t="s">
        <v>19</v>
      </c>
      <c r="K114" s="2944" t="s">
        <v>234</v>
      </c>
      <c r="L114" s="3217" t="s">
        <v>8133</v>
      </c>
      <c r="M114" s="2953">
        <v>333</v>
      </c>
      <c r="N114" s="3124" t="s">
        <v>5454</v>
      </c>
      <c r="O114" s="2944"/>
      <c r="P114" s="2944"/>
      <c r="Q114" s="2961"/>
      <c r="R114" s="3133">
        <v>1</v>
      </c>
      <c r="S114" s="2948"/>
      <c r="T114" s="3071">
        <v>2200002158</v>
      </c>
      <c r="U114" s="2944" t="e">
        <f>VLOOKUP(T114,'PKH UPDATE'!A:D,2,0)</f>
        <v>#N/A</v>
      </c>
      <c r="V114" s="2944" t="e">
        <f>VLOOKUP(T114,'PKH UPDATE'!A:D,3,0)</f>
        <v>#N/A</v>
      </c>
      <c r="W114" s="2944" t="e">
        <f>VLOOKUP(T114,'PKH UPDATE'!A:D,4,0)</f>
        <v>#N/A</v>
      </c>
      <c r="X114" s="2952"/>
      <c r="Y114" s="2952"/>
      <c r="Z114" s="2952"/>
      <c r="AA114" s="2952"/>
      <c r="AB114" s="2952"/>
      <c r="AC114" s="2952"/>
    </row>
    <row r="115" spans="1:29" s="2951" customFormat="1" ht="58.5" customHeight="1">
      <c r="A115" s="3063"/>
      <c r="B115" s="2943" t="str">
        <f t="shared" si="1"/>
        <v>2000003319</v>
      </c>
      <c r="C115" s="2944" t="s">
        <v>2468</v>
      </c>
      <c r="D115" s="2959"/>
      <c r="E115" s="3128"/>
      <c r="F115" s="2944"/>
      <c r="G115" s="2960"/>
      <c r="H115" s="2960"/>
      <c r="I115" s="2954" t="s">
        <v>5253</v>
      </c>
      <c r="J115" s="2954" t="s">
        <v>19</v>
      </c>
      <c r="K115" s="2944" t="s">
        <v>234</v>
      </c>
      <c r="L115" s="3217" t="s">
        <v>8134</v>
      </c>
      <c r="M115" s="2953">
        <v>350</v>
      </c>
      <c r="N115" s="3124" t="s">
        <v>5454</v>
      </c>
      <c r="O115" s="2944"/>
      <c r="P115" s="2944"/>
      <c r="Q115" s="2961"/>
      <c r="R115" s="3133">
        <v>3</v>
      </c>
      <c r="S115" s="2948"/>
      <c r="T115" s="3071">
        <v>2000003319</v>
      </c>
      <c r="U115" s="2944">
        <f>VLOOKUP(T115,'PKH UPDATE'!A:D,2,0)</f>
        <v>188</v>
      </c>
      <c r="V115" s="2944">
        <f>VLOOKUP(T115,'PKH UPDATE'!A:D,3,0)</f>
        <v>0</v>
      </c>
      <c r="W115" s="2944">
        <f>VLOOKUP(T115,'PKH UPDATE'!A:D,4,0)</f>
        <v>188</v>
      </c>
      <c r="X115" s="2952"/>
      <c r="Y115" s="2952"/>
      <c r="Z115" s="2952"/>
      <c r="AA115" s="2952"/>
      <c r="AB115" s="2952"/>
      <c r="AC115" s="2952"/>
    </row>
    <row r="116" spans="1:29" s="2951" customFormat="1" ht="58.5" customHeight="1">
      <c r="A116" s="3063"/>
      <c r="B116" s="2943" t="str">
        <f t="shared" si="1"/>
        <v>2200002174</v>
      </c>
      <c r="C116" s="2944" t="s">
        <v>2468</v>
      </c>
      <c r="D116" s="2959">
        <v>104</v>
      </c>
      <c r="E116" s="3128"/>
      <c r="F116" s="2944"/>
      <c r="G116" s="2960"/>
      <c r="H116" s="2960"/>
      <c r="I116" s="2954" t="s">
        <v>5253</v>
      </c>
      <c r="J116" s="2954" t="s">
        <v>19</v>
      </c>
      <c r="K116" s="2944" t="s">
        <v>234</v>
      </c>
      <c r="L116" s="3217" t="s">
        <v>8135</v>
      </c>
      <c r="M116" s="2953">
        <v>104</v>
      </c>
      <c r="N116" s="3124" t="s">
        <v>5454</v>
      </c>
      <c r="O116" s="2944"/>
      <c r="P116" s="2944"/>
      <c r="Q116" s="2961"/>
      <c r="R116" s="3133">
        <v>2</v>
      </c>
      <c r="S116" s="2948"/>
      <c r="T116" s="3071">
        <v>2200002174</v>
      </c>
      <c r="U116" s="2944">
        <f>VLOOKUP(T116,'PKH UPDATE'!A:D,2,0)</f>
        <v>104</v>
      </c>
      <c r="V116" s="2944">
        <f>VLOOKUP(T116,'PKH UPDATE'!A:D,3,0)</f>
        <v>0</v>
      </c>
      <c r="W116" s="2944">
        <f>VLOOKUP(T116,'PKH UPDATE'!A:D,4,0)</f>
        <v>104</v>
      </c>
      <c r="X116" s="2952"/>
      <c r="Y116" s="2952"/>
      <c r="Z116" s="2952"/>
      <c r="AA116" s="2952"/>
      <c r="AB116" s="2952"/>
      <c r="AC116" s="2952"/>
    </row>
    <row r="117" spans="1:29" s="2951" customFormat="1" ht="58.5" customHeight="1">
      <c r="A117" s="3063"/>
      <c r="B117" s="2943" t="str">
        <f t="shared" si="1"/>
        <v>2200002203</v>
      </c>
      <c r="C117" s="2944" t="s">
        <v>2468</v>
      </c>
      <c r="D117" s="2959">
        <v>5612</v>
      </c>
      <c r="E117" s="3128"/>
      <c r="F117" s="2944"/>
      <c r="G117" s="2960"/>
      <c r="H117" s="2960"/>
      <c r="I117" s="2954" t="s">
        <v>5253</v>
      </c>
      <c r="J117" s="2954" t="s">
        <v>19</v>
      </c>
      <c r="K117" s="2944" t="s">
        <v>234</v>
      </c>
      <c r="L117" s="3217" t="s">
        <v>8136</v>
      </c>
      <c r="M117" s="2953">
        <v>5612</v>
      </c>
      <c r="N117" s="3124" t="s">
        <v>5454</v>
      </c>
      <c r="O117" s="2944"/>
      <c r="P117" s="2944"/>
      <c r="Q117" s="2961"/>
      <c r="R117" s="3133"/>
      <c r="S117" s="2948"/>
      <c r="T117" s="3071"/>
      <c r="U117" s="2944"/>
      <c r="V117" s="2944"/>
      <c r="W117" s="2944"/>
      <c r="X117" s="2952"/>
      <c r="Y117" s="2952"/>
      <c r="Z117" s="2952"/>
      <c r="AA117" s="2952"/>
      <c r="AB117" s="2952"/>
      <c r="AC117" s="2952"/>
    </row>
    <row r="118" spans="1:29" s="1548" customFormat="1" ht="58.5" customHeight="1">
      <c r="A118" s="3732">
        <v>25</v>
      </c>
      <c r="B118" s="3018" t="str">
        <f t="shared" si="1"/>
        <v>2400001278</v>
      </c>
      <c r="C118" s="3023" t="s">
        <v>7334</v>
      </c>
      <c r="D118" s="3020">
        <v>23900</v>
      </c>
      <c r="E118" s="3035" t="s">
        <v>8105</v>
      </c>
      <c r="F118" s="3023" t="s">
        <v>25</v>
      </c>
      <c r="G118" s="3021" t="s">
        <v>8137</v>
      </c>
      <c r="H118" s="3021"/>
      <c r="I118" s="3021" t="s">
        <v>5253</v>
      </c>
      <c r="J118" s="3023" t="s">
        <v>19</v>
      </c>
      <c r="K118" s="3021" t="s">
        <v>3513</v>
      </c>
      <c r="L118" s="2880" t="s">
        <v>8138</v>
      </c>
      <c r="M118" s="3054">
        <v>50</v>
      </c>
      <c r="N118" s="2915" t="s">
        <v>5279</v>
      </c>
      <c r="O118" s="3023"/>
      <c r="P118" s="3023"/>
      <c r="Q118" s="3024" t="s">
        <v>8139</v>
      </c>
      <c r="R118" s="3059">
        <v>2</v>
      </c>
      <c r="T118" s="1548">
        <v>2400001278</v>
      </c>
      <c r="U118" s="1493" t="e">
        <f>VLOOKUP(T118,'PKH UPDATE'!A:D,2,0)</f>
        <v>#N/A</v>
      </c>
      <c r="V118" s="1493" t="e">
        <f>VLOOKUP(T118,'PKH UPDATE'!A:D,3,0)</f>
        <v>#N/A</v>
      </c>
      <c r="W118" s="1493" t="e">
        <f>VLOOKUP(T118,'PKH UPDATE'!A:D,4,0)</f>
        <v>#N/A</v>
      </c>
    </row>
    <row r="119" spans="1:29" s="2150" customFormat="1" ht="58.5" customHeight="1">
      <c r="A119" s="3733"/>
      <c r="B119" s="3018" t="str">
        <f t="shared" si="1"/>
        <v>2400001279</v>
      </c>
      <c r="C119" s="3023" t="s">
        <v>7334</v>
      </c>
      <c r="D119" s="3020"/>
      <c r="E119" s="3035"/>
      <c r="F119" s="3023" t="s">
        <v>25</v>
      </c>
      <c r="G119" s="3021"/>
      <c r="H119" s="3021"/>
      <c r="I119" s="3021" t="s">
        <v>5253</v>
      </c>
      <c r="J119" s="3023" t="s">
        <v>19</v>
      </c>
      <c r="K119" s="3021" t="s">
        <v>3513</v>
      </c>
      <c r="L119" s="2880" t="s">
        <v>8140</v>
      </c>
      <c r="M119" s="3054">
        <v>2000</v>
      </c>
      <c r="N119" s="2915" t="s">
        <v>8141</v>
      </c>
      <c r="O119" s="3033"/>
      <c r="P119" s="3033"/>
      <c r="Q119" s="3024" t="s">
        <v>8139</v>
      </c>
      <c r="R119" s="3059">
        <v>2</v>
      </c>
      <c r="T119" s="2150">
        <v>2400001279</v>
      </c>
      <c r="U119" s="1493" t="e">
        <f>VLOOKUP(T119,'PKH UPDATE'!A:D,2,0)</f>
        <v>#N/A</v>
      </c>
      <c r="V119" s="1493" t="e">
        <f>VLOOKUP(T119,'PKH UPDATE'!A:D,3,0)</f>
        <v>#N/A</v>
      </c>
      <c r="W119" s="1493" t="e">
        <f>VLOOKUP(T119,'PKH UPDATE'!A:D,4,0)</f>
        <v>#N/A</v>
      </c>
    </row>
    <row r="120" spans="1:29" s="2150" customFormat="1" ht="58.5" customHeight="1">
      <c r="A120" s="3733"/>
      <c r="B120" s="3018" t="str">
        <f t="shared" si="1"/>
        <v>2400001280</v>
      </c>
      <c r="C120" s="3023" t="s">
        <v>7334</v>
      </c>
      <c r="D120" s="3020"/>
      <c r="E120" s="3035"/>
      <c r="F120" s="3023" t="s">
        <v>25</v>
      </c>
      <c r="G120" s="3021"/>
      <c r="H120" s="3021"/>
      <c r="I120" s="3021" t="s">
        <v>5253</v>
      </c>
      <c r="J120" s="3023" t="s">
        <v>19</v>
      </c>
      <c r="K120" s="3021" t="s">
        <v>3513</v>
      </c>
      <c r="L120" s="2880" t="s">
        <v>8142</v>
      </c>
      <c r="M120" s="3054">
        <v>9400</v>
      </c>
      <c r="N120" s="2915" t="s">
        <v>5279</v>
      </c>
      <c r="O120" s="3033"/>
      <c r="P120" s="3033"/>
      <c r="Q120" s="3024" t="s">
        <v>8139</v>
      </c>
      <c r="R120" s="3059">
        <v>2</v>
      </c>
      <c r="T120" s="2150">
        <v>2400001280</v>
      </c>
      <c r="U120" s="1493">
        <f>VLOOKUP(T120,'PKH UPDATE'!A:D,2,0)</f>
        <v>7603</v>
      </c>
      <c r="V120" s="1493">
        <f>VLOOKUP(T120,'PKH UPDATE'!A:D,3,0)</f>
        <v>0</v>
      </c>
      <c r="W120" s="1493">
        <f>VLOOKUP(T120,'PKH UPDATE'!A:D,4,0)</f>
        <v>7603</v>
      </c>
    </row>
    <row r="121" spans="1:29" s="2150" customFormat="1" ht="58.5" customHeight="1">
      <c r="A121" s="3733"/>
      <c r="B121" s="3018" t="str">
        <f t="shared" si="1"/>
        <v>2400001281</v>
      </c>
      <c r="C121" s="3023" t="s">
        <v>7334</v>
      </c>
      <c r="D121" s="3020"/>
      <c r="E121" s="3035"/>
      <c r="F121" s="3023" t="s">
        <v>25</v>
      </c>
      <c r="G121" s="3021"/>
      <c r="H121" s="3021"/>
      <c r="I121" s="3021" t="s">
        <v>5253</v>
      </c>
      <c r="J121" s="3023" t="s">
        <v>19</v>
      </c>
      <c r="K121" s="3021" t="s">
        <v>3513</v>
      </c>
      <c r="L121" s="2880" t="s">
        <v>8143</v>
      </c>
      <c r="M121" s="3054">
        <v>750</v>
      </c>
      <c r="N121" s="2915" t="s">
        <v>5279</v>
      </c>
      <c r="O121" s="3033"/>
      <c r="P121" s="3033"/>
      <c r="Q121" s="3024" t="s">
        <v>8139</v>
      </c>
      <c r="R121" s="3059">
        <v>2</v>
      </c>
      <c r="T121" s="2150">
        <v>2400001281</v>
      </c>
      <c r="U121" s="1493">
        <f>VLOOKUP(T121,'PKH UPDATE'!A:D,2,0)</f>
        <v>754</v>
      </c>
      <c r="V121" s="1493">
        <f>VLOOKUP(T121,'PKH UPDATE'!A:D,3,0)</f>
        <v>0</v>
      </c>
      <c r="W121" s="1493">
        <f>VLOOKUP(T121,'PKH UPDATE'!A:D,4,0)</f>
        <v>754</v>
      </c>
    </row>
    <row r="122" spans="1:29" s="2150" customFormat="1" ht="58.5" customHeight="1">
      <c r="A122" s="3733"/>
      <c r="B122" s="3018" t="str">
        <f t="shared" si="1"/>
        <v>2400001290</v>
      </c>
      <c r="C122" s="3023" t="s">
        <v>7334</v>
      </c>
      <c r="D122" s="3020"/>
      <c r="E122" s="3035"/>
      <c r="F122" s="3023" t="s">
        <v>25</v>
      </c>
      <c r="G122" s="3021"/>
      <c r="H122" s="3021"/>
      <c r="I122" s="3021" t="s">
        <v>5253</v>
      </c>
      <c r="J122" s="3023" t="s">
        <v>19</v>
      </c>
      <c r="K122" s="3021" t="s">
        <v>3513</v>
      </c>
      <c r="L122" s="3098" t="s">
        <v>8144</v>
      </c>
      <c r="M122" s="3143">
        <v>100</v>
      </c>
      <c r="N122" s="2915" t="s">
        <v>5279</v>
      </c>
      <c r="O122" s="3033"/>
      <c r="P122" s="3033"/>
      <c r="Q122" s="3024" t="s">
        <v>8139</v>
      </c>
      <c r="R122" s="3059">
        <v>2</v>
      </c>
      <c r="T122" s="2150">
        <v>2400001290</v>
      </c>
      <c r="U122" s="1493" t="e">
        <f>VLOOKUP(T122,'PKH UPDATE'!A:D,2,0)</f>
        <v>#N/A</v>
      </c>
      <c r="V122" s="1493" t="e">
        <f>VLOOKUP(T122,'PKH UPDATE'!A:D,3,0)</f>
        <v>#N/A</v>
      </c>
      <c r="W122" s="1493" t="e">
        <f>VLOOKUP(T122,'PKH UPDATE'!A:D,4,0)</f>
        <v>#N/A</v>
      </c>
    </row>
    <row r="123" spans="1:29" s="2150" customFormat="1" ht="58.5" customHeight="1">
      <c r="A123" s="3733"/>
      <c r="B123" s="3018" t="str">
        <f t="shared" si="1"/>
        <v>2400001288</v>
      </c>
      <c r="C123" s="3023" t="s">
        <v>7334</v>
      </c>
      <c r="D123" s="3020"/>
      <c r="E123" s="3035"/>
      <c r="F123" s="3023" t="s">
        <v>25</v>
      </c>
      <c r="G123" s="3021"/>
      <c r="H123" s="3021"/>
      <c r="I123" s="3021" t="s">
        <v>5253</v>
      </c>
      <c r="J123" s="3023" t="s">
        <v>19</v>
      </c>
      <c r="K123" s="3021" t="s">
        <v>3513</v>
      </c>
      <c r="L123" s="2880" t="s">
        <v>8145</v>
      </c>
      <c r="M123" s="3054">
        <v>1050</v>
      </c>
      <c r="N123" s="2915" t="s">
        <v>5279</v>
      </c>
      <c r="O123" s="3033"/>
      <c r="P123" s="3033"/>
      <c r="Q123" s="3024" t="s">
        <v>8139</v>
      </c>
      <c r="R123" s="3059">
        <v>2</v>
      </c>
      <c r="T123" s="2150">
        <v>2400001288</v>
      </c>
      <c r="U123" s="1493" t="e">
        <f>VLOOKUP(T123,'PKH UPDATE'!A:D,2,0)</f>
        <v>#N/A</v>
      </c>
      <c r="V123" s="1493" t="e">
        <f>VLOOKUP(T123,'PKH UPDATE'!A:D,3,0)</f>
        <v>#N/A</v>
      </c>
      <c r="W123" s="1493" t="e">
        <f>VLOOKUP(T123,'PKH UPDATE'!A:D,4,0)</f>
        <v>#N/A</v>
      </c>
    </row>
    <row r="124" spans="1:29" s="2150" customFormat="1" ht="58.5" customHeight="1">
      <c r="A124" s="3733"/>
      <c r="B124" s="3018" t="str">
        <f t="shared" si="1"/>
        <v>2400001289</v>
      </c>
      <c r="C124" s="3023" t="s">
        <v>7334</v>
      </c>
      <c r="D124" s="3020"/>
      <c r="E124" s="3035"/>
      <c r="F124" s="3023" t="s">
        <v>25</v>
      </c>
      <c r="G124" s="3021"/>
      <c r="H124" s="3021"/>
      <c r="I124" s="3021" t="s">
        <v>5253</v>
      </c>
      <c r="J124" s="3023" t="s">
        <v>19</v>
      </c>
      <c r="K124" s="3021" t="s">
        <v>3513</v>
      </c>
      <c r="L124" s="3098" t="s">
        <v>8146</v>
      </c>
      <c r="M124" s="3143">
        <v>4350</v>
      </c>
      <c r="N124" s="2915" t="s">
        <v>5279</v>
      </c>
      <c r="O124" s="3033"/>
      <c r="P124" s="3033"/>
      <c r="Q124" s="3024" t="s">
        <v>8139</v>
      </c>
      <c r="R124" s="3059">
        <v>2</v>
      </c>
      <c r="T124" s="2150">
        <v>2400001289</v>
      </c>
      <c r="U124" s="1493">
        <f>VLOOKUP(T124,'PKH UPDATE'!A:D,2,0)</f>
        <v>2363</v>
      </c>
      <c r="V124" s="1493">
        <f>VLOOKUP(T124,'PKH UPDATE'!A:D,3,0)</f>
        <v>0</v>
      </c>
      <c r="W124" s="1493">
        <f>VLOOKUP(T124,'PKH UPDATE'!A:D,4,0)</f>
        <v>2363</v>
      </c>
    </row>
    <row r="125" spans="1:29" s="2150" customFormat="1" ht="58.5" customHeight="1">
      <c r="A125" s="3733"/>
      <c r="B125" s="3018" t="str">
        <f t="shared" si="1"/>
        <v>2400001297</v>
      </c>
      <c r="C125" s="3023" t="s">
        <v>7334</v>
      </c>
      <c r="D125" s="3020"/>
      <c r="E125" s="3035"/>
      <c r="F125" s="3023" t="s">
        <v>25</v>
      </c>
      <c r="G125" s="3021"/>
      <c r="H125" s="3021"/>
      <c r="I125" s="3021" t="s">
        <v>5253</v>
      </c>
      <c r="J125" s="3023" t="s">
        <v>19</v>
      </c>
      <c r="K125" s="3021" t="s">
        <v>3513</v>
      </c>
      <c r="L125" s="3098" t="s">
        <v>8147</v>
      </c>
      <c r="M125" s="3143">
        <v>350</v>
      </c>
      <c r="N125" s="2915" t="s">
        <v>8148</v>
      </c>
      <c r="O125" s="3033"/>
      <c r="P125" s="3033"/>
      <c r="Q125" s="3024" t="s">
        <v>8139</v>
      </c>
      <c r="R125" s="3059">
        <v>2</v>
      </c>
      <c r="T125" s="2150">
        <v>2400001297</v>
      </c>
      <c r="U125" s="1493" t="e">
        <f>VLOOKUP(T125,'PKH UPDATE'!A:D,2,0)</f>
        <v>#N/A</v>
      </c>
      <c r="V125" s="1493" t="e">
        <f>VLOOKUP(T125,'PKH UPDATE'!A:D,3,0)</f>
        <v>#N/A</v>
      </c>
      <c r="W125" s="1493" t="e">
        <f>VLOOKUP(T125,'PKH UPDATE'!A:D,4,0)</f>
        <v>#N/A</v>
      </c>
    </row>
    <row r="126" spans="1:29" s="2150" customFormat="1" ht="58.5" customHeight="1">
      <c r="A126" s="3733"/>
      <c r="B126" s="3018" t="str">
        <f t="shared" si="1"/>
        <v>2400001298</v>
      </c>
      <c r="C126" s="3023" t="s">
        <v>7334</v>
      </c>
      <c r="D126" s="3020"/>
      <c r="E126" s="3035"/>
      <c r="F126" s="3023" t="s">
        <v>25</v>
      </c>
      <c r="G126" s="3021"/>
      <c r="H126" s="3021"/>
      <c r="I126" s="3021" t="s">
        <v>5253</v>
      </c>
      <c r="J126" s="3023" t="s">
        <v>19</v>
      </c>
      <c r="K126" s="3021" t="s">
        <v>3513</v>
      </c>
      <c r="L126" s="2880" t="s">
        <v>8149</v>
      </c>
      <c r="M126" s="3054">
        <v>325</v>
      </c>
      <c r="N126" s="2915" t="s">
        <v>5279</v>
      </c>
      <c r="O126" s="3033"/>
      <c r="P126" s="3033"/>
      <c r="Q126" s="3024" t="s">
        <v>8139</v>
      </c>
      <c r="R126" s="3059">
        <v>2</v>
      </c>
      <c r="T126" s="2150">
        <v>2400001298</v>
      </c>
      <c r="U126" s="1493">
        <f>VLOOKUP(T126,'PKH UPDATE'!A:D,2,0)</f>
        <v>230</v>
      </c>
      <c r="V126" s="1493">
        <f>VLOOKUP(T126,'PKH UPDATE'!A:D,3,0)</f>
        <v>0</v>
      </c>
      <c r="W126" s="1493">
        <f>VLOOKUP(T126,'PKH UPDATE'!A:D,4,0)</f>
        <v>230</v>
      </c>
    </row>
    <row r="127" spans="1:29" s="2150" customFormat="1" ht="58.5" customHeight="1">
      <c r="A127" s="3733"/>
      <c r="B127" s="3018" t="str">
        <f t="shared" si="1"/>
        <v>2400001296</v>
      </c>
      <c r="C127" s="3023" t="s">
        <v>7334</v>
      </c>
      <c r="D127" s="3020"/>
      <c r="E127" s="3035"/>
      <c r="F127" s="3023" t="s">
        <v>25</v>
      </c>
      <c r="G127" s="3021"/>
      <c r="H127" s="3021"/>
      <c r="I127" s="3021" t="s">
        <v>5253</v>
      </c>
      <c r="J127" s="3023" t="s">
        <v>19</v>
      </c>
      <c r="K127" s="3021" t="s">
        <v>3513</v>
      </c>
      <c r="L127" s="2880" t="s">
        <v>8150</v>
      </c>
      <c r="M127" s="3054">
        <v>175</v>
      </c>
      <c r="N127" s="2915" t="s">
        <v>5279</v>
      </c>
      <c r="O127" s="3033"/>
      <c r="P127" s="3033"/>
      <c r="Q127" s="3024" t="s">
        <v>8139</v>
      </c>
      <c r="R127" s="3059">
        <v>2</v>
      </c>
      <c r="T127" s="2150">
        <v>2400001296</v>
      </c>
      <c r="U127" s="1493" t="e">
        <f>VLOOKUP(T127,'PKH UPDATE'!A:D,2,0)</f>
        <v>#N/A</v>
      </c>
      <c r="V127" s="1493" t="e">
        <f>VLOOKUP(T127,'PKH UPDATE'!A:D,3,0)</f>
        <v>#N/A</v>
      </c>
      <c r="W127" s="1493" t="e">
        <f>VLOOKUP(T127,'PKH UPDATE'!A:D,4,0)</f>
        <v>#N/A</v>
      </c>
    </row>
    <row r="128" spans="1:29" s="2150" customFormat="1" ht="58.5" customHeight="1">
      <c r="A128" s="3733"/>
      <c r="B128" s="3018" t="str">
        <f t="shared" si="1"/>
        <v>2400001291</v>
      </c>
      <c r="C128" s="3023" t="s">
        <v>7334</v>
      </c>
      <c r="D128" s="3020"/>
      <c r="E128" s="3035"/>
      <c r="F128" s="3023" t="s">
        <v>25</v>
      </c>
      <c r="G128" s="3021"/>
      <c r="H128" s="3021"/>
      <c r="I128" s="3021" t="s">
        <v>5253</v>
      </c>
      <c r="J128" s="3023" t="s">
        <v>19</v>
      </c>
      <c r="K128" s="3021" t="s">
        <v>3513</v>
      </c>
      <c r="L128" s="2880" t="s">
        <v>8151</v>
      </c>
      <c r="M128" s="3054">
        <v>425</v>
      </c>
      <c r="N128" s="2915" t="s">
        <v>5279</v>
      </c>
      <c r="O128" s="3033"/>
      <c r="P128" s="3033"/>
      <c r="Q128" s="3024" t="s">
        <v>8139</v>
      </c>
      <c r="R128" s="3059">
        <v>2</v>
      </c>
      <c r="T128" s="2150">
        <v>2400001291</v>
      </c>
      <c r="U128" s="1493">
        <f>VLOOKUP(T128,'PKH UPDATE'!A:D,2,0)</f>
        <v>385</v>
      </c>
      <c r="V128" s="1493">
        <f>VLOOKUP(T128,'PKH UPDATE'!A:D,3,0)</f>
        <v>0</v>
      </c>
      <c r="W128" s="1493">
        <f>VLOOKUP(T128,'PKH UPDATE'!A:D,4,0)</f>
        <v>385</v>
      </c>
    </row>
    <row r="129" spans="1:30" s="2150" customFormat="1" ht="58.5" customHeight="1">
      <c r="A129" s="3733"/>
      <c r="B129" s="3018" t="str">
        <f t="shared" si="1"/>
        <v>2400001299</v>
      </c>
      <c r="C129" s="3023" t="s">
        <v>7334</v>
      </c>
      <c r="D129" s="3020"/>
      <c r="E129" s="3035"/>
      <c r="F129" s="3023" t="s">
        <v>25</v>
      </c>
      <c r="G129" s="3021"/>
      <c r="H129" s="3021"/>
      <c r="I129" s="3021" t="s">
        <v>5253</v>
      </c>
      <c r="J129" s="3023" t="s">
        <v>19</v>
      </c>
      <c r="K129" s="3021" t="s">
        <v>3513</v>
      </c>
      <c r="L129" s="2880" t="s">
        <v>8152</v>
      </c>
      <c r="M129" s="3054">
        <v>2025</v>
      </c>
      <c r="N129" s="2915" t="s">
        <v>5279</v>
      </c>
      <c r="O129" s="3033"/>
      <c r="P129" s="3033"/>
      <c r="Q129" s="3024" t="s">
        <v>8139</v>
      </c>
      <c r="R129" s="3059">
        <v>2</v>
      </c>
      <c r="T129" s="2150">
        <v>2400001299</v>
      </c>
      <c r="U129" s="1493">
        <f>VLOOKUP(T129,'PKH UPDATE'!A:D,2,0)</f>
        <v>1337</v>
      </c>
      <c r="V129" s="1493">
        <f>VLOOKUP(T129,'PKH UPDATE'!A:D,3,0)</f>
        <v>0</v>
      </c>
      <c r="W129" s="1493">
        <f>VLOOKUP(T129,'PKH UPDATE'!A:D,4,0)</f>
        <v>1337</v>
      </c>
    </row>
    <row r="130" spans="1:30" s="2150" customFormat="1" ht="58.5" customHeight="1">
      <c r="A130" s="3733"/>
      <c r="B130" s="3018" t="str">
        <f t="shared" si="1"/>
        <v>2400001300</v>
      </c>
      <c r="C130" s="3023" t="s">
        <v>7334</v>
      </c>
      <c r="D130" s="3020"/>
      <c r="E130" s="3035"/>
      <c r="F130" s="3023" t="s">
        <v>25</v>
      </c>
      <c r="G130" s="3021"/>
      <c r="H130" s="3021"/>
      <c r="I130" s="3021" t="s">
        <v>5253</v>
      </c>
      <c r="J130" s="3023" t="s">
        <v>19</v>
      </c>
      <c r="K130" s="3021" t="s">
        <v>3513</v>
      </c>
      <c r="L130" s="2880" t="s">
        <v>8153</v>
      </c>
      <c r="M130" s="3054"/>
      <c r="N130" s="2915" t="s">
        <v>5279</v>
      </c>
      <c r="O130" s="3033"/>
      <c r="P130" s="3033"/>
      <c r="Q130" s="3024" t="s">
        <v>8139</v>
      </c>
      <c r="R130" s="3059">
        <v>2</v>
      </c>
      <c r="T130" s="2150">
        <v>2400001300</v>
      </c>
      <c r="U130" s="1493" t="e">
        <f>VLOOKUP(T130,'PKH UPDATE'!A:D,2,0)</f>
        <v>#N/A</v>
      </c>
      <c r="V130" s="1493" t="e">
        <f>VLOOKUP(T130,'PKH UPDATE'!A:D,3,0)</f>
        <v>#N/A</v>
      </c>
      <c r="W130" s="1493" t="e">
        <f>VLOOKUP(T130,'PKH UPDATE'!A:D,4,0)</f>
        <v>#N/A</v>
      </c>
    </row>
    <row r="131" spans="1:30" s="2150" customFormat="1" ht="58.5" customHeight="1">
      <c r="A131" s="3733"/>
      <c r="B131" s="3018" t="str">
        <f t="shared" si="1"/>
        <v>2400001295</v>
      </c>
      <c r="C131" s="3023" t="s">
        <v>7334</v>
      </c>
      <c r="D131" s="3020"/>
      <c r="E131" s="3035"/>
      <c r="F131" s="3023" t="s">
        <v>25</v>
      </c>
      <c r="G131" s="3021"/>
      <c r="H131" s="3021"/>
      <c r="I131" s="3021" t="s">
        <v>5253</v>
      </c>
      <c r="J131" s="3023" t="s">
        <v>19</v>
      </c>
      <c r="K131" s="3021" t="s">
        <v>3513</v>
      </c>
      <c r="L131" s="2880" t="s">
        <v>8154</v>
      </c>
      <c r="M131" s="3054">
        <v>600</v>
      </c>
      <c r="N131" s="2915" t="s">
        <v>5279</v>
      </c>
      <c r="O131" s="3033"/>
      <c r="P131" s="3033"/>
      <c r="Q131" s="3024" t="s">
        <v>8139</v>
      </c>
      <c r="R131" s="3059">
        <v>2</v>
      </c>
      <c r="T131" s="2150">
        <v>2400001295</v>
      </c>
      <c r="U131" s="1493">
        <f>VLOOKUP(T131,'PKH UPDATE'!A:D,2,0)</f>
        <v>400</v>
      </c>
      <c r="V131" s="1493">
        <f>VLOOKUP(T131,'PKH UPDATE'!A:D,3,0)</f>
        <v>0</v>
      </c>
      <c r="W131" s="1493">
        <f>VLOOKUP(T131,'PKH UPDATE'!A:D,4,0)</f>
        <v>400</v>
      </c>
    </row>
    <row r="132" spans="1:30" s="2150" customFormat="1" ht="58.5" customHeight="1">
      <c r="A132" s="3733"/>
      <c r="B132" s="1900" t="str">
        <f t="shared" ref="B132:B195" si="2">TEXT(LEFT(L132,10),"0000000000")</f>
        <v>2400001294</v>
      </c>
      <c r="C132" s="3023" t="s">
        <v>7334</v>
      </c>
      <c r="D132" s="3020"/>
      <c r="E132" s="3035"/>
      <c r="F132" s="3023" t="s">
        <v>25</v>
      </c>
      <c r="G132" s="3021"/>
      <c r="H132" s="3021"/>
      <c r="I132" s="3021" t="s">
        <v>5253</v>
      </c>
      <c r="J132" s="3023" t="s">
        <v>19</v>
      </c>
      <c r="K132" s="3021" t="s">
        <v>3513</v>
      </c>
      <c r="L132" s="2880" t="s">
        <v>8155</v>
      </c>
      <c r="M132" s="3054">
        <v>400</v>
      </c>
      <c r="N132" s="2915" t="s">
        <v>5279</v>
      </c>
      <c r="O132" s="3033"/>
      <c r="P132" s="3033"/>
      <c r="Q132" s="3024" t="s">
        <v>8139</v>
      </c>
      <c r="R132" s="3059">
        <v>2</v>
      </c>
      <c r="T132" s="2150">
        <v>2400001294</v>
      </c>
      <c r="U132" s="1493">
        <f>VLOOKUP(T132,'PKH UPDATE'!A:D,2,0)</f>
        <v>283</v>
      </c>
      <c r="V132" s="1493">
        <f>VLOOKUP(T132,'PKH UPDATE'!A:D,3,0)</f>
        <v>0</v>
      </c>
      <c r="W132" s="1493">
        <f>VLOOKUP(T132,'PKH UPDATE'!A:D,4,0)</f>
        <v>283</v>
      </c>
    </row>
    <row r="133" spans="1:30" s="2150" customFormat="1" ht="58.5" customHeight="1">
      <c r="A133" s="3733"/>
      <c r="B133" s="3018" t="str">
        <f t="shared" si="2"/>
        <v>2400001293</v>
      </c>
      <c r="C133" s="3023" t="s">
        <v>7334</v>
      </c>
      <c r="D133" s="3020"/>
      <c r="E133" s="3035"/>
      <c r="F133" s="3023" t="s">
        <v>25</v>
      </c>
      <c r="G133" s="3021"/>
      <c r="H133" s="3021"/>
      <c r="I133" s="3021" t="s">
        <v>5253</v>
      </c>
      <c r="J133" s="3023" t="s">
        <v>19</v>
      </c>
      <c r="K133" s="3021" t="s">
        <v>3513</v>
      </c>
      <c r="L133" s="2880" t="s">
        <v>8156</v>
      </c>
      <c r="M133" s="3054">
        <v>1000</v>
      </c>
      <c r="N133" s="2915" t="s">
        <v>5279</v>
      </c>
      <c r="O133" s="3033"/>
      <c r="P133" s="3033"/>
      <c r="Q133" s="3024" t="s">
        <v>8139</v>
      </c>
      <c r="R133" s="3059">
        <v>2</v>
      </c>
      <c r="T133" s="2150">
        <v>2400001293</v>
      </c>
      <c r="U133" s="1493">
        <f>VLOOKUP(T133,'PKH UPDATE'!A:D,2,0)</f>
        <v>914</v>
      </c>
      <c r="V133" s="1493">
        <f>VLOOKUP(T133,'PKH UPDATE'!A:D,3,0)</f>
        <v>0</v>
      </c>
      <c r="W133" s="1493">
        <f>VLOOKUP(T133,'PKH UPDATE'!A:D,4,0)</f>
        <v>914</v>
      </c>
    </row>
    <row r="134" spans="1:30" s="2150" customFormat="1" ht="58.5" customHeight="1">
      <c r="A134" s="3733"/>
      <c r="B134" s="3018" t="str">
        <f t="shared" si="2"/>
        <v>2400001282</v>
      </c>
      <c r="C134" s="3023" t="s">
        <v>7334</v>
      </c>
      <c r="D134" s="3020"/>
      <c r="E134" s="3035"/>
      <c r="F134" s="3023" t="s">
        <v>25</v>
      </c>
      <c r="G134" s="3021"/>
      <c r="H134" s="3021"/>
      <c r="I134" s="3021" t="s">
        <v>5253</v>
      </c>
      <c r="J134" s="3023" t="s">
        <v>19</v>
      </c>
      <c r="K134" s="3021" t="s">
        <v>3513</v>
      </c>
      <c r="L134" s="2880" t="s">
        <v>8157</v>
      </c>
      <c r="M134" s="3054">
        <v>500</v>
      </c>
      <c r="N134" s="2915" t="s">
        <v>5279</v>
      </c>
      <c r="O134" s="3033"/>
      <c r="P134" s="3033"/>
      <c r="Q134" s="3024" t="s">
        <v>8139</v>
      </c>
      <c r="R134" s="3059">
        <v>2</v>
      </c>
      <c r="T134" s="2150">
        <v>2400001282</v>
      </c>
      <c r="U134" s="1493">
        <f>VLOOKUP(T134,'PKH UPDATE'!A:D,2,0)</f>
        <v>425</v>
      </c>
      <c r="V134" s="1493">
        <f>VLOOKUP(T134,'PKH UPDATE'!A:D,3,0)</f>
        <v>0</v>
      </c>
      <c r="W134" s="1493">
        <f>VLOOKUP(T134,'PKH UPDATE'!A:D,4,0)</f>
        <v>425</v>
      </c>
    </row>
    <row r="135" spans="1:30" s="2150" customFormat="1" ht="58.5" customHeight="1">
      <c r="A135" s="3734"/>
      <c r="B135" s="3018" t="str">
        <f t="shared" si="2"/>
        <v>2400001292</v>
      </c>
      <c r="C135" s="3023" t="s">
        <v>7334</v>
      </c>
      <c r="D135" s="3020"/>
      <c r="E135" s="3035"/>
      <c r="F135" s="3023" t="s">
        <v>25</v>
      </c>
      <c r="G135" s="3021"/>
      <c r="H135" s="3021"/>
      <c r="I135" s="3021" t="s">
        <v>5253</v>
      </c>
      <c r="J135" s="3023" t="s">
        <v>19</v>
      </c>
      <c r="K135" s="3021" t="s">
        <v>3513</v>
      </c>
      <c r="L135" s="2880" t="s">
        <v>8158</v>
      </c>
      <c r="M135" s="3054">
        <v>400</v>
      </c>
      <c r="N135" s="2915" t="s">
        <v>5279</v>
      </c>
      <c r="O135" s="3033"/>
      <c r="P135" s="3033"/>
      <c r="Q135" s="3024" t="s">
        <v>8139</v>
      </c>
      <c r="R135" s="3059">
        <v>2</v>
      </c>
      <c r="T135" s="2150">
        <v>2400001292</v>
      </c>
      <c r="U135" s="1493">
        <f>VLOOKUP(T135,'PKH UPDATE'!A:D,2,0)</f>
        <v>401</v>
      </c>
      <c r="V135" s="1493">
        <f>VLOOKUP(T135,'PKH UPDATE'!A:D,3,0)</f>
        <v>0</v>
      </c>
      <c r="W135" s="1493">
        <f>VLOOKUP(T135,'PKH UPDATE'!A:D,4,0)</f>
        <v>401</v>
      </c>
    </row>
    <row r="136" spans="1:30" s="2150" customFormat="1" ht="58.5" customHeight="1">
      <c r="A136" s="2436">
        <v>26</v>
      </c>
      <c r="B136" s="3018" t="str">
        <f t="shared" si="2"/>
        <v>2200002181</v>
      </c>
      <c r="C136" s="3033" t="s">
        <v>93</v>
      </c>
      <c r="D136" s="1494">
        <v>2950</v>
      </c>
      <c r="E136" s="3081" t="s">
        <v>8159</v>
      </c>
      <c r="F136" s="1493" t="s">
        <v>84</v>
      </c>
      <c r="G136" s="1495" t="s">
        <v>8160</v>
      </c>
      <c r="H136" s="1495"/>
      <c r="I136" s="1921" t="s">
        <v>5253</v>
      </c>
      <c r="J136" s="1493" t="s">
        <v>19</v>
      </c>
      <c r="K136" s="1773" t="s">
        <v>101</v>
      </c>
      <c r="L136" s="3216" t="s">
        <v>8102</v>
      </c>
      <c r="M136" s="3061">
        <v>2950</v>
      </c>
      <c r="N136" s="2915" t="s">
        <v>8103</v>
      </c>
      <c r="O136" s="2429"/>
      <c r="P136" s="2429"/>
      <c r="Q136" s="2290"/>
      <c r="R136" s="1748">
        <v>2</v>
      </c>
      <c r="AD136" s="2643"/>
    </row>
    <row r="137" spans="1:30" s="1467" customFormat="1" ht="58.5" customHeight="1">
      <c r="A137" s="3735">
        <v>27</v>
      </c>
      <c r="B137" s="3018" t="str">
        <f t="shared" si="2"/>
        <v>2000003220</v>
      </c>
      <c r="C137" s="3033" t="s">
        <v>5288</v>
      </c>
      <c r="D137" s="1494">
        <v>4350</v>
      </c>
      <c r="E137" s="1921" t="s">
        <v>8105</v>
      </c>
      <c r="F137" s="3023" t="s">
        <v>61</v>
      </c>
      <c r="G137" s="1495" t="s">
        <v>8160</v>
      </c>
      <c r="H137" s="1495"/>
      <c r="I137" s="1909" t="s">
        <v>5253</v>
      </c>
      <c r="J137" s="1909" t="s">
        <v>19</v>
      </c>
      <c r="K137" s="2429" t="s">
        <v>74</v>
      </c>
      <c r="L137" s="1862" t="s">
        <v>8161</v>
      </c>
      <c r="M137" s="3084">
        <v>1314</v>
      </c>
      <c r="N137" s="2196" t="s">
        <v>5454</v>
      </c>
      <c r="O137" s="1493"/>
      <c r="P137" s="1493"/>
      <c r="Q137" s="2590" t="s">
        <v>8162</v>
      </c>
      <c r="R137" s="1748">
        <v>2</v>
      </c>
      <c r="S137" s="1548"/>
      <c r="T137" s="1548"/>
      <c r="U137" s="1548"/>
      <c r="V137" s="1548"/>
      <c r="W137" s="1548"/>
      <c r="X137" s="1548"/>
      <c r="Y137" s="1548"/>
      <c r="Z137" s="1548"/>
      <c r="AA137" s="1548"/>
      <c r="AB137" s="1548"/>
      <c r="AC137" s="1548"/>
    </row>
    <row r="138" spans="1:30" s="2150" customFormat="1" ht="58.5" customHeight="1">
      <c r="A138" s="3736"/>
      <c r="B138" s="3018" t="str">
        <f t="shared" si="2"/>
        <v>2200002165</v>
      </c>
      <c r="C138" s="3023" t="s">
        <v>5288</v>
      </c>
      <c r="D138" s="3083"/>
      <c r="E138" s="1909"/>
      <c r="F138" s="3023" t="s">
        <v>61</v>
      </c>
      <c r="G138" s="1909"/>
      <c r="H138" s="1909"/>
      <c r="I138" s="1921" t="s">
        <v>5253</v>
      </c>
      <c r="J138" s="1493" t="s">
        <v>19</v>
      </c>
      <c r="K138" s="2429" t="s">
        <v>74</v>
      </c>
      <c r="L138" s="1600" t="s">
        <v>8163</v>
      </c>
      <c r="M138" s="3051">
        <f>3140-730</f>
        <v>2410</v>
      </c>
      <c r="N138" s="2196" t="s">
        <v>5454</v>
      </c>
      <c r="O138" s="2429"/>
      <c r="P138" s="2429"/>
      <c r="Q138" s="2290"/>
      <c r="R138" s="3059">
        <v>3</v>
      </c>
    </row>
    <row r="139" spans="1:30" s="2643" customFormat="1" ht="58.5" customHeight="1">
      <c r="A139" s="3736"/>
      <c r="B139" s="3018" t="str">
        <f t="shared" si="2"/>
        <v>2200002182</v>
      </c>
      <c r="C139" s="3023" t="s">
        <v>5288</v>
      </c>
      <c r="D139" s="3083"/>
      <c r="E139" s="1909"/>
      <c r="F139" s="3023" t="s">
        <v>61</v>
      </c>
      <c r="G139" s="1909"/>
      <c r="H139" s="1909"/>
      <c r="I139" s="3075" t="s">
        <v>5253</v>
      </c>
      <c r="J139" s="1495" t="s">
        <v>19</v>
      </c>
      <c r="K139" s="2429" t="s">
        <v>74</v>
      </c>
      <c r="L139" s="3219" t="s">
        <v>8164</v>
      </c>
      <c r="M139" s="3061">
        <v>393</v>
      </c>
      <c r="N139" s="2915" t="s">
        <v>8165</v>
      </c>
      <c r="O139" s="3111"/>
      <c r="P139" s="3111"/>
      <c r="Q139" s="2290"/>
      <c r="R139" s="3059">
        <v>2</v>
      </c>
      <c r="S139" s="2150"/>
      <c r="T139" s="2150"/>
      <c r="U139" s="2150"/>
      <c r="V139" s="2150"/>
      <c r="W139" s="2150"/>
      <c r="X139" s="2150"/>
      <c r="Y139" s="2150"/>
      <c r="Z139" s="2150"/>
      <c r="AA139" s="2150"/>
      <c r="AB139" s="2150"/>
      <c r="AC139" s="2150"/>
      <c r="AD139" s="2150"/>
    </row>
    <row r="140" spans="1:30" s="2643" customFormat="1" ht="58.5" customHeight="1">
      <c r="A140" s="3737"/>
      <c r="B140" s="3018" t="str">
        <f t="shared" si="2"/>
        <v>2200002190</v>
      </c>
      <c r="C140" s="3023" t="s">
        <v>5288</v>
      </c>
      <c r="D140" s="3083"/>
      <c r="E140" s="1909"/>
      <c r="F140" s="3023" t="s">
        <v>61</v>
      </c>
      <c r="G140" s="1909"/>
      <c r="H140" s="1909"/>
      <c r="I140" s="3075" t="s">
        <v>5253</v>
      </c>
      <c r="J140" s="1909" t="s">
        <v>19</v>
      </c>
      <c r="K140" s="2429" t="s">
        <v>74</v>
      </c>
      <c r="L140" s="1862" t="s">
        <v>8166</v>
      </c>
      <c r="M140" s="3084">
        <v>233</v>
      </c>
      <c r="N140" s="2196" t="s">
        <v>8103</v>
      </c>
      <c r="O140" s="3111"/>
      <c r="P140" s="3111"/>
      <c r="Q140" s="2290"/>
      <c r="R140" s="3059">
        <v>2</v>
      </c>
      <c r="S140" s="2150"/>
      <c r="T140" s="2150"/>
      <c r="U140" s="2150"/>
      <c r="V140" s="2150"/>
      <c r="W140" s="2150"/>
      <c r="X140" s="2150"/>
      <c r="Y140" s="2150"/>
      <c r="Z140" s="2150"/>
      <c r="AA140" s="2150"/>
      <c r="AB140" s="2150"/>
      <c r="AC140" s="2150"/>
      <c r="AD140" s="2150"/>
    </row>
    <row r="141" spans="1:30" s="2150" customFormat="1" ht="58.5" customHeight="1">
      <c r="A141" s="3749">
        <v>28</v>
      </c>
      <c r="B141" s="3018" t="str">
        <f t="shared" si="2"/>
        <v>2200002183</v>
      </c>
      <c r="C141" s="1902" t="s">
        <v>3425</v>
      </c>
      <c r="D141" s="2607">
        <v>3750</v>
      </c>
      <c r="E141" s="1921" t="s">
        <v>8105</v>
      </c>
      <c r="F141" s="1902" t="s">
        <v>89</v>
      </c>
      <c r="G141" s="1921" t="s">
        <v>8167</v>
      </c>
      <c r="H141" s="1921"/>
      <c r="I141" s="1921" t="s">
        <v>5253</v>
      </c>
      <c r="J141" s="1493" t="s">
        <v>19</v>
      </c>
      <c r="K141" s="1495" t="s">
        <v>959</v>
      </c>
      <c r="L141" s="1862" t="s">
        <v>8168</v>
      </c>
      <c r="M141" s="3055">
        <v>2750</v>
      </c>
      <c r="N141" s="2915" t="s">
        <v>5279</v>
      </c>
      <c r="O141" s="1902">
        <v>28</v>
      </c>
      <c r="P141" s="1902"/>
      <c r="Q141" s="1745"/>
      <c r="R141" s="3040">
        <v>2</v>
      </c>
      <c r="S141" s="2429"/>
      <c r="T141" s="2429"/>
    </row>
    <row r="142" spans="1:30" s="2150" customFormat="1" ht="58.5" customHeight="1">
      <c r="A142" s="3750"/>
      <c r="B142" s="3018" t="str">
        <f t="shared" si="2"/>
        <v>2200002124</v>
      </c>
      <c r="C142" s="3023" t="s">
        <v>3425</v>
      </c>
      <c r="D142" s="2607"/>
      <c r="E142" s="1921"/>
      <c r="F142" s="1902" t="s">
        <v>89</v>
      </c>
      <c r="G142" s="1921"/>
      <c r="H142" s="1921"/>
      <c r="I142" s="1921" t="s">
        <v>5253</v>
      </c>
      <c r="J142" s="1493" t="s">
        <v>19</v>
      </c>
      <c r="K142" s="1495" t="s">
        <v>959</v>
      </c>
      <c r="L142" s="3108" t="s">
        <v>8169</v>
      </c>
      <c r="M142" s="3078">
        <v>1000</v>
      </c>
      <c r="N142" s="2915" t="s">
        <v>5257</v>
      </c>
      <c r="O142" s="1902">
        <v>28</v>
      </c>
      <c r="P142" s="1902"/>
      <c r="R142" s="1495">
        <v>2</v>
      </c>
      <c r="S142" s="1902"/>
      <c r="T142" s="1902"/>
    </row>
    <row r="143" spans="1:30" s="2150" customFormat="1" ht="58.5" customHeight="1">
      <c r="A143" s="3749">
        <v>29</v>
      </c>
      <c r="B143" s="3018" t="str">
        <f t="shared" si="2"/>
        <v>2000003187</v>
      </c>
      <c r="C143" s="1902" t="s">
        <v>3856</v>
      </c>
      <c r="D143" s="2607">
        <v>3950</v>
      </c>
      <c r="E143" s="1921" t="s">
        <v>8105</v>
      </c>
      <c r="F143" s="1902" t="s">
        <v>89</v>
      </c>
      <c r="G143" s="1921" t="s">
        <v>8170</v>
      </c>
      <c r="H143" s="1921"/>
      <c r="I143" s="1921" t="s">
        <v>5253</v>
      </c>
      <c r="J143" s="1493" t="s">
        <v>19</v>
      </c>
      <c r="K143" s="1495" t="s">
        <v>1138</v>
      </c>
      <c r="L143" s="3098" t="s">
        <v>8171</v>
      </c>
      <c r="M143" s="3055">
        <v>1500</v>
      </c>
      <c r="N143" s="2915" t="s">
        <v>5454</v>
      </c>
      <c r="O143" s="1902">
        <v>36</v>
      </c>
      <c r="P143" s="1902"/>
      <c r="Q143" s="1745"/>
      <c r="R143" s="3040">
        <v>2</v>
      </c>
      <c r="S143" s="2429"/>
      <c r="T143" s="2429"/>
    </row>
    <row r="144" spans="1:30" s="1548" customFormat="1" ht="58.5" customHeight="1">
      <c r="A144" s="3751"/>
      <c r="B144" s="3018" t="str">
        <f t="shared" si="2"/>
        <v>2200002151</v>
      </c>
      <c r="C144" s="1493" t="s">
        <v>3856</v>
      </c>
      <c r="D144" s="1494"/>
      <c r="E144" s="1921"/>
      <c r="F144" s="1493" t="s">
        <v>89</v>
      </c>
      <c r="G144" s="1495"/>
      <c r="H144" s="1495"/>
      <c r="I144" s="1495" t="s">
        <v>5253</v>
      </c>
      <c r="J144" s="1493" t="s">
        <v>19</v>
      </c>
      <c r="K144" s="1495" t="s">
        <v>1138</v>
      </c>
      <c r="L144" s="3219" t="s">
        <v>8172</v>
      </c>
      <c r="M144" s="3099">
        <v>1025</v>
      </c>
      <c r="N144" s="2915" t="s">
        <v>5257</v>
      </c>
      <c r="O144" s="1902">
        <v>36</v>
      </c>
      <c r="P144" s="1902"/>
      <c r="Q144" s="1745"/>
      <c r="R144" s="1748">
        <v>2</v>
      </c>
      <c r="AD144" s="1467"/>
    </row>
    <row r="145" spans="1:30" s="1467" customFormat="1" ht="58.5" customHeight="1">
      <c r="A145" s="3751"/>
      <c r="B145" s="3018" t="str">
        <f t="shared" si="2"/>
        <v>2200002167</v>
      </c>
      <c r="C145" s="1493" t="s">
        <v>3856</v>
      </c>
      <c r="D145" s="1494"/>
      <c r="E145" s="1921"/>
      <c r="F145" s="1493" t="s">
        <v>89</v>
      </c>
      <c r="G145" s="1495"/>
      <c r="H145" s="1495"/>
      <c r="I145" s="1495" t="s">
        <v>5253</v>
      </c>
      <c r="J145" s="1493" t="s">
        <v>19</v>
      </c>
      <c r="K145" s="1495" t="s">
        <v>1138</v>
      </c>
      <c r="L145" s="3219" t="s">
        <v>8173</v>
      </c>
      <c r="M145" s="3099">
        <v>755</v>
      </c>
      <c r="N145" s="2915" t="s">
        <v>5257</v>
      </c>
      <c r="O145" s="1902">
        <v>36</v>
      </c>
      <c r="P145" s="1902"/>
      <c r="Q145" s="1745"/>
      <c r="R145" s="1748">
        <v>2</v>
      </c>
      <c r="S145" s="1548"/>
      <c r="T145" s="1548"/>
      <c r="U145" s="1548"/>
      <c r="V145" s="1548"/>
      <c r="W145" s="1548"/>
      <c r="X145" s="1548"/>
      <c r="Y145" s="1548"/>
      <c r="Z145" s="1548"/>
      <c r="AA145" s="1548"/>
      <c r="AB145" s="1548"/>
      <c r="AC145" s="1548"/>
    </row>
    <row r="146" spans="1:30" s="1467" customFormat="1" ht="58.5" customHeight="1">
      <c r="A146" s="3751"/>
      <c r="B146" s="3018" t="str">
        <f t="shared" si="2"/>
        <v>2200002136</v>
      </c>
      <c r="C146" s="1493" t="s">
        <v>3856</v>
      </c>
      <c r="D146" s="2607"/>
      <c r="E146" s="1921"/>
      <c r="F146" s="1493" t="s">
        <v>89</v>
      </c>
      <c r="G146" s="3035"/>
      <c r="H146" s="3035"/>
      <c r="I146" s="1495" t="s">
        <v>5253</v>
      </c>
      <c r="J146" s="1493" t="s">
        <v>19</v>
      </c>
      <c r="K146" s="1495" t="s">
        <v>1138</v>
      </c>
      <c r="L146" s="2880" t="s">
        <v>8174</v>
      </c>
      <c r="M146" s="3100">
        <v>310</v>
      </c>
      <c r="N146" s="2915" t="s">
        <v>5257</v>
      </c>
      <c r="O146" s="2563">
        <v>36</v>
      </c>
      <c r="P146" s="2563"/>
      <c r="Q146" s="2223"/>
      <c r="R146" s="1748">
        <v>2</v>
      </c>
      <c r="S146" s="1548"/>
      <c r="T146" s="1548"/>
      <c r="U146" s="1548"/>
      <c r="V146" s="1548"/>
      <c r="W146" s="1548"/>
      <c r="X146" s="1548"/>
      <c r="Y146" s="1548"/>
      <c r="Z146" s="1548"/>
      <c r="AA146" s="1548"/>
      <c r="AB146" s="1548"/>
      <c r="AC146" s="1548"/>
      <c r="AD146" s="1548"/>
    </row>
    <row r="147" spans="1:30" s="1467" customFormat="1" ht="58.5" customHeight="1">
      <c r="A147" s="3750"/>
      <c r="B147" s="3018" t="str">
        <f t="shared" si="2"/>
        <v>2000003258</v>
      </c>
      <c r="C147" s="1493" t="s">
        <v>3856</v>
      </c>
      <c r="D147" s="2607"/>
      <c r="E147" s="1921"/>
      <c r="F147" s="1493" t="s">
        <v>89</v>
      </c>
      <c r="G147" s="3035"/>
      <c r="H147" s="3035"/>
      <c r="I147" s="1495" t="s">
        <v>5253</v>
      </c>
      <c r="J147" s="1493" t="s">
        <v>19</v>
      </c>
      <c r="K147" s="1495" t="s">
        <v>1138</v>
      </c>
      <c r="L147" s="2880" t="s">
        <v>8175</v>
      </c>
      <c r="M147" s="3100">
        <v>360</v>
      </c>
      <c r="N147" s="2915" t="s">
        <v>5257</v>
      </c>
      <c r="O147" s="2563">
        <v>36</v>
      </c>
      <c r="P147" s="2563"/>
      <c r="Q147" s="2223"/>
      <c r="R147" s="1495">
        <v>2</v>
      </c>
      <c r="S147" s="1548"/>
      <c r="T147" s="1548"/>
      <c r="U147" s="1548"/>
      <c r="V147" s="1548"/>
      <c r="W147" s="1548"/>
      <c r="X147" s="1548"/>
      <c r="Y147" s="1548"/>
      <c r="Z147" s="1548"/>
      <c r="AA147" s="1548"/>
      <c r="AB147" s="1548"/>
      <c r="AC147" s="1548"/>
    </row>
    <row r="148" spans="1:30" s="2643" customFormat="1" ht="58.5" customHeight="1">
      <c r="A148" s="3749">
        <v>30</v>
      </c>
      <c r="B148" s="3018" t="str">
        <f t="shared" si="2"/>
        <v>2000003283</v>
      </c>
      <c r="C148" s="1902" t="s">
        <v>193</v>
      </c>
      <c r="D148" s="2607">
        <v>11700</v>
      </c>
      <c r="E148" s="1921" t="s">
        <v>8176</v>
      </c>
      <c r="F148" s="1902" t="s">
        <v>3401</v>
      </c>
      <c r="G148" s="1921" t="s">
        <v>8177</v>
      </c>
      <c r="H148" s="1921"/>
      <c r="I148" s="1495" t="s">
        <v>5253</v>
      </c>
      <c r="J148" s="1902" t="s">
        <v>19</v>
      </c>
      <c r="K148" s="1921" t="s">
        <v>253</v>
      </c>
      <c r="L148" s="3097" t="s">
        <v>8178</v>
      </c>
      <c r="M148" s="3096">
        <v>3200</v>
      </c>
      <c r="N148" s="2915" t="s">
        <v>5257</v>
      </c>
      <c r="O148" s="2429"/>
      <c r="P148" s="2429"/>
      <c r="Q148" s="2590" t="s">
        <v>8179</v>
      </c>
      <c r="R148" s="1748">
        <v>2</v>
      </c>
      <c r="S148" s="2150"/>
      <c r="T148" s="2150"/>
      <c r="U148" s="2150"/>
      <c r="V148" s="2150"/>
      <c r="W148" s="2150"/>
      <c r="X148" s="2150"/>
      <c r="Y148" s="2150"/>
      <c r="Z148" s="2150"/>
      <c r="AA148" s="2150"/>
      <c r="AB148" s="2150"/>
      <c r="AC148" s="2150"/>
    </row>
    <row r="149" spans="1:30" s="1467" customFormat="1" ht="58.5" customHeight="1">
      <c r="A149" s="3751"/>
      <c r="B149" s="3018" t="str">
        <f t="shared" si="2"/>
        <v>2000003289</v>
      </c>
      <c r="C149" s="1493" t="s">
        <v>193</v>
      </c>
      <c r="D149" s="1494"/>
      <c r="E149" s="1921"/>
      <c r="F149" s="1493" t="s">
        <v>3401</v>
      </c>
      <c r="G149" s="1495"/>
      <c r="H149" s="1495"/>
      <c r="I149" s="1624" t="s">
        <v>5253</v>
      </c>
      <c r="J149" s="1493" t="s">
        <v>19</v>
      </c>
      <c r="K149" s="1495" t="s">
        <v>63</v>
      </c>
      <c r="L149" s="3108" t="s">
        <v>8180</v>
      </c>
      <c r="M149" s="3051">
        <v>2500</v>
      </c>
      <c r="N149" s="2915" t="s">
        <v>5257</v>
      </c>
      <c r="O149" s="1493"/>
      <c r="P149" s="1493"/>
      <c r="Q149" s="2223" t="s">
        <v>8181</v>
      </c>
      <c r="R149" s="1748">
        <v>2</v>
      </c>
      <c r="S149" s="1548"/>
      <c r="T149" s="1548"/>
      <c r="U149" s="1548"/>
      <c r="V149" s="1548"/>
      <c r="W149" s="1548"/>
      <c r="X149" s="1548"/>
      <c r="Y149" s="1548"/>
      <c r="Z149" s="1548"/>
      <c r="AA149" s="1548"/>
      <c r="AB149" s="1548"/>
      <c r="AC149" s="1548"/>
    </row>
    <row r="150" spans="1:30" s="1467" customFormat="1" ht="78.75" customHeight="1">
      <c r="A150" s="3751"/>
      <c r="B150" s="3018" t="str">
        <f t="shared" si="2"/>
        <v>2000003290</v>
      </c>
      <c r="C150" s="1493" t="s">
        <v>193</v>
      </c>
      <c r="D150" s="1494"/>
      <c r="E150" s="1921"/>
      <c r="F150" s="1493" t="s">
        <v>3401</v>
      </c>
      <c r="G150" s="1495"/>
      <c r="H150" s="1495"/>
      <c r="I150" s="1624" t="s">
        <v>5253</v>
      </c>
      <c r="J150" s="1493" t="s">
        <v>19</v>
      </c>
      <c r="K150" s="1495" t="s">
        <v>421</v>
      </c>
      <c r="L150" s="2880" t="s">
        <v>8182</v>
      </c>
      <c r="M150" s="3051">
        <v>715</v>
      </c>
      <c r="N150" s="2915" t="s">
        <v>5454</v>
      </c>
      <c r="O150" s="1493"/>
      <c r="P150" s="1493"/>
      <c r="Q150" s="2223" t="s">
        <v>8183</v>
      </c>
      <c r="R150" s="1748">
        <v>2</v>
      </c>
      <c r="S150" s="1548"/>
      <c r="T150" s="1548"/>
      <c r="U150" s="1548"/>
      <c r="V150" s="1548"/>
      <c r="W150" s="1548"/>
      <c r="X150" s="1548"/>
      <c r="Y150" s="1548"/>
      <c r="Z150" s="1548"/>
      <c r="AA150" s="1548"/>
      <c r="AB150" s="1548"/>
      <c r="AC150" s="1548"/>
    </row>
    <row r="151" spans="1:30" s="1548" customFormat="1" ht="58.5" customHeight="1">
      <c r="A151" s="3751"/>
      <c r="B151" s="3018" t="str">
        <f t="shared" si="2"/>
        <v>2000003303</v>
      </c>
      <c r="C151" s="1493" t="s">
        <v>193</v>
      </c>
      <c r="D151" s="3020"/>
      <c r="E151" s="3035"/>
      <c r="F151" s="1493" t="s">
        <v>3401</v>
      </c>
      <c r="G151" s="3021"/>
      <c r="H151" s="3021"/>
      <c r="I151" s="1624" t="s">
        <v>5253</v>
      </c>
      <c r="J151" s="3023" t="s">
        <v>19</v>
      </c>
      <c r="K151" s="3021" t="s">
        <v>63</v>
      </c>
      <c r="L151" s="2880" t="s">
        <v>8184</v>
      </c>
      <c r="M151" s="3054">
        <v>4000</v>
      </c>
      <c r="N151" s="2915" t="s">
        <v>5454</v>
      </c>
      <c r="O151" s="3023"/>
      <c r="P151" s="3023"/>
      <c r="Q151" s="2590" t="s">
        <v>8179</v>
      </c>
      <c r="R151" s="3059">
        <v>2</v>
      </c>
      <c r="AC151" s="1467"/>
    </row>
    <row r="152" spans="1:30" s="1548" customFormat="1" ht="58.5" customHeight="1">
      <c r="A152" s="3751"/>
      <c r="B152" s="3018" t="str">
        <f t="shared" si="2"/>
        <v>2000003200</v>
      </c>
      <c r="C152" s="1493" t="s">
        <v>193</v>
      </c>
      <c r="D152" s="3020"/>
      <c r="E152" s="3035"/>
      <c r="F152" s="1493" t="s">
        <v>3401</v>
      </c>
      <c r="G152" s="3021"/>
      <c r="H152" s="3021"/>
      <c r="I152" s="1624" t="s">
        <v>5253</v>
      </c>
      <c r="J152" s="3023" t="s">
        <v>19</v>
      </c>
      <c r="K152" s="3021" t="s">
        <v>63</v>
      </c>
      <c r="L152" s="2880" t="s">
        <v>8185</v>
      </c>
      <c r="M152" s="3054">
        <v>1000</v>
      </c>
      <c r="N152" s="2915" t="s">
        <v>8186</v>
      </c>
      <c r="O152" s="3023"/>
      <c r="P152" s="3023"/>
      <c r="Q152" s="2590" t="s">
        <v>8179</v>
      </c>
      <c r="R152" s="3059">
        <v>2</v>
      </c>
    </row>
    <row r="153" spans="1:30" s="1467" customFormat="1" ht="58.5" customHeight="1">
      <c r="A153" s="3750"/>
      <c r="B153" s="3018" t="str">
        <f t="shared" si="2"/>
        <v>2000003335</v>
      </c>
      <c r="C153" s="1493" t="s">
        <v>193</v>
      </c>
      <c r="D153" s="3020"/>
      <c r="E153" s="3035"/>
      <c r="F153" s="1493" t="s">
        <v>3401</v>
      </c>
      <c r="G153" s="3021"/>
      <c r="H153" s="3021"/>
      <c r="I153" s="1624" t="s">
        <v>5253</v>
      </c>
      <c r="J153" s="3023" t="s">
        <v>19</v>
      </c>
      <c r="K153" s="3021" t="s">
        <v>63</v>
      </c>
      <c r="L153" s="2880" t="s">
        <v>8187</v>
      </c>
      <c r="M153" s="3054">
        <v>260</v>
      </c>
      <c r="N153" s="2915" t="s">
        <v>5454</v>
      </c>
      <c r="O153" s="3023"/>
      <c r="P153" s="3023"/>
      <c r="Q153" s="2590"/>
      <c r="R153" s="3059">
        <v>2</v>
      </c>
      <c r="S153" s="1548"/>
      <c r="T153" s="1548"/>
      <c r="U153" s="1548"/>
      <c r="V153" s="1548"/>
      <c r="W153" s="1548"/>
      <c r="X153" s="1548"/>
      <c r="Y153" s="1548"/>
      <c r="Z153" s="1548"/>
      <c r="AA153" s="1548"/>
      <c r="AB153" s="1548"/>
      <c r="AC153" s="1548"/>
    </row>
    <row r="154" spans="1:30" s="2643" customFormat="1" ht="58.5" customHeight="1">
      <c r="A154" s="3749">
        <v>31</v>
      </c>
      <c r="B154" s="3018" t="str">
        <f t="shared" si="2"/>
        <v>2000003318</v>
      </c>
      <c r="C154" s="1902" t="s">
        <v>8188</v>
      </c>
      <c r="D154" s="2607">
        <v>13400</v>
      </c>
      <c r="E154" s="1921" t="s">
        <v>8105</v>
      </c>
      <c r="F154" s="1902" t="s">
        <v>3416</v>
      </c>
      <c r="G154" s="1921" t="s">
        <v>8189</v>
      </c>
      <c r="H154" s="1921"/>
      <c r="I154" s="3112" t="s">
        <v>5253</v>
      </c>
      <c r="J154" s="1493" t="s">
        <v>19</v>
      </c>
      <c r="K154" s="1921" t="s">
        <v>123</v>
      </c>
      <c r="L154" s="1845" t="s">
        <v>8190</v>
      </c>
      <c r="M154" s="3055">
        <v>4500</v>
      </c>
      <c r="N154" s="2915" t="s">
        <v>5257</v>
      </c>
      <c r="O154" s="1902"/>
      <c r="P154" s="1902"/>
      <c r="Q154" s="1745" t="s">
        <v>8179</v>
      </c>
      <c r="R154" s="1748">
        <v>2</v>
      </c>
      <c r="S154" s="2150"/>
      <c r="T154" s="2150"/>
      <c r="U154" s="2150"/>
      <c r="V154" s="2150"/>
      <c r="W154" s="2150"/>
      <c r="X154" s="2150"/>
      <c r="Y154" s="2150"/>
      <c r="Z154" s="2150"/>
      <c r="AA154" s="2150"/>
      <c r="AB154" s="2150"/>
      <c r="AC154" s="2150"/>
    </row>
    <row r="155" spans="1:30" s="1467" customFormat="1" ht="58.5" customHeight="1">
      <c r="A155" s="3750"/>
      <c r="B155" s="3018" t="str">
        <f t="shared" si="2"/>
        <v>2000003317</v>
      </c>
      <c r="C155" s="1493" t="s">
        <v>8188</v>
      </c>
      <c r="D155" s="1494"/>
      <c r="E155" s="1921"/>
      <c r="F155" s="1493" t="s">
        <v>3416</v>
      </c>
      <c r="G155" s="1495"/>
      <c r="H155" s="1495"/>
      <c r="I155" s="1624" t="s">
        <v>5253</v>
      </c>
      <c r="J155" s="1493" t="s">
        <v>19</v>
      </c>
      <c r="K155" s="1495" t="s">
        <v>123</v>
      </c>
      <c r="L155" s="1600" t="s">
        <v>8191</v>
      </c>
      <c r="M155" s="3051">
        <v>9000</v>
      </c>
      <c r="N155" s="2915" t="s">
        <v>5257</v>
      </c>
      <c r="O155" s="1493"/>
      <c r="P155" s="1493"/>
      <c r="Q155" s="2590" t="s">
        <v>8179</v>
      </c>
      <c r="R155" s="1748">
        <v>2</v>
      </c>
      <c r="S155" s="1548"/>
      <c r="T155" s="1548"/>
      <c r="U155" s="1548"/>
      <c r="V155" s="1548"/>
      <c r="W155" s="1548"/>
      <c r="X155" s="1548"/>
      <c r="Y155" s="1548"/>
      <c r="Z155" s="1548"/>
      <c r="AA155" s="1548"/>
      <c r="AB155" s="1548"/>
      <c r="AC155" s="1548"/>
    </row>
    <row r="156" spans="1:30" s="2150" customFormat="1" ht="58.5" customHeight="1">
      <c r="A156" s="3831">
        <v>32</v>
      </c>
      <c r="B156" s="3018" t="str">
        <f t="shared" si="2"/>
        <v>2400001301</v>
      </c>
      <c r="C156" s="3033" t="s">
        <v>8192</v>
      </c>
      <c r="D156" s="3034">
        <f>SUM(M156:M161)</f>
        <v>7275</v>
      </c>
      <c r="E156" s="3035" t="s">
        <v>8079</v>
      </c>
      <c r="F156" s="3033" t="s">
        <v>2260</v>
      </c>
      <c r="G156" s="3035" t="s">
        <v>8193</v>
      </c>
      <c r="H156" s="3035"/>
      <c r="I156" s="1624" t="s">
        <v>5253</v>
      </c>
      <c r="J156" s="3033" t="s">
        <v>19</v>
      </c>
      <c r="K156" s="3035" t="s">
        <v>7813</v>
      </c>
      <c r="L156" s="2912" t="s">
        <v>8194</v>
      </c>
      <c r="M156" s="3050">
        <v>1175</v>
      </c>
      <c r="N156" s="2915" t="s">
        <v>5214</v>
      </c>
      <c r="O156" s="3033">
        <v>25</v>
      </c>
      <c r="P156" s="3033"/>
      <c r="Q156" s="3037" t="s">
        <v>8195</v>
      </c>
      <c r="R156" s="3040">
        <v>2</v>
      </c>
      <c r="T156" s="2150">
        <v>2400001301</v>
      </c>
      <c r="U156" s="1902">
        <f>VLOOKUP(T156,'PKH UPDATE'!A:D,2,0)</f>
        <v>1016</v>
      </c>
      <c r="V156" s="1902">
        <f>VLOOKUP(T156,'PKH UPDATE'!A:D,3,0)</f>
        <v>0</v>
      </c>
      <c r="W156" s="1902">
        <f>VLOOKUP(T156,'PKH UPDATE'!A:D,4,0)</f>
        <v>1016</v>
      </c>
    </row>
    <row r="157" spans="1:30" s="1548" customFormat="1" ht="58.5" customHeight="1">
      <c r="A157" s="3832"/>
      <c r="B157" s="3018" t="str">
        <f t="shared" si="2"/>
        <v>2400001302</v>
      </c>
      <c r="C157" s="3023" t="s">
        <v>8192</v>
      </c>
      <c r="D157" s="3020"/>
      <c r="E157" s="3035"/>
      <c r="F157" s="3023" t="s">
        <v>2260</v>
      </c>
      <c r="G157" s="3021"/>
      <c r="H157" s="3021"/>
      <c r="I157" s="1624" t="s">
        <v>5253</v>
      </c>
      <c r="J157" s="3023" t="s">
        <v>19</v>
      </c>
      <c r="K157" s="3021" t="s">
        <v>7813</v>
      </c>
      <c r="L157" s="2880" t="s">
        <v>8196</v>
      </c>
      <c r="M157" s="3054">
        <v>700</v>
      </c>
      <c r="N157" s="2915" t="s">
        <v>5214</v>
      </c>
      <c r="O157" s="3023"/>
      <c r="P157" s="3023"/>
      <c r="Q157" s="3024" t="s">
        <v>8195</v>
      </c>
      <c r="R157" s="3059">
        <v>2</v>
      </c>
      <c r="T157" s="1548">
        <v>2400001302</v>
      </c>
      <c r="U157" s="1493">
        <f>VLOOKUP(T157,'PKH UPDATE'!A:D,2,0)</f>
        <v>326</v>
      </c>
      <c r="V157" s="1493">
        <f>VLOOKUP(T157,'PKH UPDATE'!A:D,3,0)</f>
        <v>0</v>
      </c>
      <c r="W157" s="1493">
        <f>VLOOKUP(T157,'PKH UPDATE'!A:D,4,0)</f>
        <v>326</v>
      </c>
    </row>
    <row r="158" spans="1:30" s="1548" customFormat="1" ht="58.5" customHeight="1">
      <c r="A158" s="3832"/>
      <c r="B158" s="3018" t="str">
        <f t="shared" si="2"/>
        <v>2400001303</v>
      </c>
      <c r="C158" s="3023" t="s">
        <v>8192</v>
      </c>
      <c r="D158" s="3020"/>
      <c r="E158" s="3035"/>
      <c r="F158" s="3023" t="s">
        <v>2260</v>
      </c>
      <c r="G158" s="3021"/>
      <c r="H158" s="3021"/>
      <c r="I158" s="1624" t="s">
        <v>5253</v>
      </c>
      <c r="J158" s="3023" t="s">
        <v>19</v>
      </c>
      <c r="K158" s="3021" t="s">
        <v>7813</v>
      </c>
      <c r="L158" s="2880" t="s">
        <v>8197</v>
      </c>
      <c r="M158" s="3054">
        <v>475</v>
      </c>
      <c r="N158" s="2915" t="s">
        <v>5214</v>
      </c>
      <c r="O158" s="3023"/>
      <c r="P158" s="3023"/>
      <c r="Q158" s="3024" t="s">
        <v>8195</v>
      </c>
      <c r="R158" s="3059">
        <v>2</v>
      </c>
      <c r="T158" s="1548">
        <v>2400001303</v>
      </c>
      <c r="U158" s="1493">
        <f>VLOOKUP(T158,'PKH UPDATE'!A:D,2,0)</f>
        <v>258</v>
      </c>
      <c r="V158" s="1493">
        <f>VLOOKUP(T158,'PKH UPDATE'!A:D,3,0)</f>
        <v>0</v>
      </c>
      <c r="W158" s="1493">
        <f>VLOOKUP(T158,'PKH UPDATE'!A:D,4,0)</f>
        <v>258</v>
      </c>
    </row>
    <row r="159" spans="1:30" s="1548" customFormat="1" ht="58.5" customHeight="1">
      <c r="A159" s="3832"/>
      <c r="B159" s="3018" t="str">
        <f t="shared" si="2"/>
        <v>2400001304</v>
      </c>
      <c r="C159" s="3023" t="s">
        <v>8192</v>
      </c>
      <c r="D159" s="3020"/>
      <c r="E159" s="3035"/>
      <c r="F159" s="3023" t="s">
        <v>2260</v>
      </c>
      <c r="G159" s="3021"/>
      <c r="H159" s="3021"/>
      <c r="I159" s="1624" t="s">
        <v>5253</v>
      </c>
      <c r="J159" s="3023" t="s">
        <v>19</v>
      </c>
      <c r="K159" s="3021" t="s">
        <v>7813</v>
      </c>
      <c r="L159" s="2880" t="s">
        <v>8198</v>
      </c>
      <c r="M159" s="3054">
        <v>1825</v>
      </c>
      <c r="N159" s="2915" t="s">
        <v>5214</v>
      </c>
      <c r="O159" s="3023"/>
      <c r="P159" s="3023"/>
      <c r="Q159" s="3024" t="s">
        <v>8195</v>
      </c>
      <c r="R159" s="3059">
        <v>2</v>
      </c>
      <c r="T159" s="1548">
        <v>2400001304</v>
      </c>
      <c r="U159" s="1493">
        <f>VLOOKUP(T159,'PKH UPDATE'!A:D,2,0)</f>
        <v>888</v>
      </c>
      <c r="V159" s="1493">
        <f>VLOOKUP(T159,'PKH UPDATE'!A:D,3,0)</f>
        <v>0</v>
      </c>
      <c r="W159" s="1493">
        <f>VLOOKUP(T159,'PKH UPDATE'!A:D,4,0)</f>
        <v>888</v>
      </c>
    </row>
    <row r="160" spans="1:30" s="3018" customFormat="1" ht="58.5" customHeight="1">
      <c r="A160" s="3832"/>
      <c r="B160" s="3018" t="str">
        <f t="shared" si="2"/>
        <v>2400001308</v>
      </c>
      <c r="C160" s="3023" t="s">
        <v>8192</v>
      </c>
      <c r="D160" s="3020"/>
      <c r="E160" s="3035"/>
      <c r="F160" s="3023" t="s">
        <v>2260</v>
      </c>
      <c r="G160" s="3021"/>
      <c r="H160" s="3021"/>
      <c r="I160" s="1624" t="s">
        <v>5253</v>
      </c>
      <c r="J160" s="3023" t="s">
        <v>19</v>
      </c>
      <c r="K160" s="3021" t="s">
        <v>7813</v>
      </c>
      <c r="L160" s="3116" t="s">
        <v>8199</v>
      </c>
      <c r="M160" s="3117">
        <v>2100</v>
      </c>
      <c r="N160" s="2915" t="s">
        <v>5214</v>
      </c>
      <c r="Q160" s="3024" t="s">
        <v>8195</v>
      </c>
      <c r="R160" s="3059">
        <v>2</v>
      </c>
      <c r="T160" s="3018">
        <v>2400001308</v>
      </c>
      <c r="U160" s="1493">
        <f>VLOOKUP(T160,'PKH UPDATE'!A:D,2,0)</f>
        <v>400</v>
      </c>
      <c r="V160" s="1493">
        <f>VLOOKUP(T160,'PKH UPDATE'!A:D,3,0)</f>
        <v>0</v>
      </c>
      <c r="W160" s="1493">
        <f>VLOOKUP(T160,'PKH UPDATE'!A:D,4,0)</f>
        <v>400</v>
      </c>
    </row>
    <row r="161" spans="1:30" s="3018" customFormat="1" ht="58.5" customHeight="1">
      <c r="A161" s="3833"/>
      <c r="B161" s="3018" t="str">
        <f t="shared" si="2"/>
        <v>2400001307</v>
      </c>
      <c r="C161" s="3023" t="s">
        <v>8192</v>
      </c>
      <c r="D161" s="3020"/>
      <c r="E161" s="3035"/>
      <c r="F161" s="3023" t="s">
        <v>2260</v>
      </c>
      <c r="G161" s="3021"/>
      <c r="H161" s="3021"/>
      <c r="I161" s="1624" t="s">
        <v>5253</v>
      </c>
      <c r="J161" s="3023" t="s">
        <v>19</v>
      </c>
      <c r="K161" s="3085" t="s">
        <v>7813</v>
      </c>
      <c r="L161" s="2880" t="s">
        <v>8200</v>
      </c>
      <c r="M161" s="3117">
        <v>1000</v>
      </c>
      <c r="N161" s="2915" t="s">
        <v>5214</v>
      </c>
      <c r="Q161" s="3024" t="s">
        <v>8195</v>
      </c>
      <c r="R161" s="3059">
        <v>2</v>
      </c>
      <c r="T161" s="3018">
        <v>2400001307</v>
      </c>
      <c r="U161" s="1493">
        <f>VLOOKUP(T161,'PKH UPDATE'!A:D,2,0)</f>
        <v>137</v>
      </c>
      <c r="V161" s="1493">
        <f>VLOOKUP(T161,'PKH UPDATE'!A:D,3,0)</f>
        <v>0</v>
      </c>
      <c r="W161" s="1493">
        <f>VLOOKUP(T161,'PKH UPDATE'!A:D,4,0)</f>
        <v>137</v>
      </c>
    </row>
    <row r="162" spans="1:30" s="1467" customFormat="1" ht="58.5" customHeight="1">
      <c r="A162" s="3735">
        <v>33</v>
      </c>
      <c r="B162" s="3018" t="str">
        <f t="shared" si="2"/>
        <v>2000003305</v>
      </c>
      <c r="C162" s="3033" t="s">
        <v>2912</v>
      </c>
      <c r="D162" s="1494">
        <v>4000</v>
      </c>
      <c r="E162" s="1921" t="s">
        <v>8201</v>
      </c>
      <c r="F162" s="1493" t="s">
        <v>84</v>
      </c>
      <c r="G162" s="1495" t="s">
        <v>8202</v>
      </c>
      <c r="H162" s="1495" t="s">
        <v>8203</v>
      </c>
      <c r="I162" s="1624" t="s">
        <v>5253</v>
      </c>
      <c r="J162" s="1493" t="s">
        <v>19</v>
      </c>
      <c r="K162" s="1773" t="s">
        <v>199</v>
      </c>
      <c r="L162" s="2877" t="s">
        <v>8204</v>
      </c>
      <c r="M162" s="3115">
        <v>2000</v>
      </c>
      <c r="N162" s="2915" t="s">
        <v>5454</v>
      </c>
      <c r="O162" s="1493"/>
      <c r="P162" s="1493"/>
      <c r="Q162" s="2590"/>
      <c r="R162" s="1748">
        <v>2</v>
      </c>
      <c r="S162" s="1548"/>
      <c r="T162" s="1548"/>
      <c r="U162" s="1548"/>
      <c r="V162" s="1548"/>
      <c r="W162" s="1548"/>
      <c r="X162" s="1548"/>
      <c r="Y162" s="1548"/>
      <c r="Z162" s="1548"/>
      <c r="AA162" s="1548"/>
      <c r="AB162" s="1548"/>
      <c r="AC162" s="1548"/>
    </row>
    <row r="163" spans="1:30" s="1467" customFormat="1" ht="58.5" customHeight="1">
      <c r="A163" s="3736"/>
      <c r="B163" s="3018" t="str">
        <f t="shared" si="2"/>
        <v>2000003316</v>
      </c>
      <c r="C163" s="3023" t="s">
        <v>2912</v>
      </c>
      <c r="D163" s="1494"/>
      <c r="E163" s="1921"/>
      <c r="F163" s="1493" t="s">
        <v>84</v>
      </c>
      <c r="G163" s="1495"/>
      <c r="H163" s="1495"/>
      <c r="I163" s="1624" t="s">
        <v>5253</v>
      </c>
      <c r="J163" s="1493" t="s">
        <v>19</v>
      </c>
      <c r="K163" s="1495" t="s">
        <v>74</v>
      </c>
      <c r="L163" s="1600" t="s">
        <v>8205</v>
      </c>
      <c r="M163" s="3051">
        <v>700</v>
      </c>
      <c r="N163" s="2196" t="s">
        <v>5279</v>
      </c>
      <c r="O163" s="1493"/>
      <c r="P163" s="1493"/>
      <c r="Q163" s="2590" t="s">
        <v>8206</v>
      </c>
      <c r="R163" s="1748">
        <v>2</v>
      </c>
      <c r="S163" s="1548"/>
      <c r="T163" s="1548"/>
      <c r="U163" s="1548"/>
      <c r="V163" s="1548"/>
      <c r="W163" s="1548"/>
      <c r="X163" s="1548"/>
      <c r="Y163" s="1548"/>
      <c r="Z163" s="1548"/>
      <c r="AA163" s="1548"/>
      <c r="AB163" s="1548"/>
      <c r="AC163" s="1548"/>
    </row>
    <row r="164" spans="1:30" s="1467" customFormat="1" ht="58.5" customHeight="1">
      <c r="A164" s="3737"/>
      <c r="B164" s="3018" t="str">
        <f t="shared" si="2"/>
        <v>2000003220</v>
      </c>
      <c r="C164" s="3023" t="s">
        <v>2912</v>
      </c>
      <c r="D164" s="1494"/>
      <c r="E164" s="1921"/>
      <c r="F164" s="1493" t="s">
        <v>84</v>
      </c>
      <c r="G164" s="1495"/>
      <c r="H164" s="1495"/>
      <c r="I164" s="1921" t="s">
        <v>5253</v>
      </c>
      <c r="J164" s="1921" t="s">
        <v>19</v>
      </c>
      <c r="K164" s="1902" t="s">
        <v>74</v>
      </c>
      <c r="L164" s="1497" t="s">
        <v>8207</v>
      </c>
      <c r="M164" s="3055">
        <v>1300</v>
      </c>
      <c r="N164" s="2196" t="s">
        <v>5454</v>
      </c>
      <c r="O164" s="1493"/>
      <c r="P164" s="1493"/>
      <c r="Q164" s="2590"/>
      <c r="R164" s="1748">
        <v>2</v>
      </c>
      <c r="S164" s="1548"/>
      <c r="T164" s="1548"/>
      <c r="U164" s="1548"/>
      <c r="V164" s="1548"/>
      <c r="W164" s="1548"/>
      <c r="X164" s="1548"/>
      <c r="Y164" s="1548"/>
      <c r="Z164" s="1548"/>
      <c r="AA164" s="1548"/>
      <c r="AB164" s="1548"/>
      <c r="AC164" s="1548"/>
    </row>
    <row r="165" spans="1:30" s="2643" customFormat="1" ht="58.5" customHeight="1">
      <c r="A165" s="3834">
        <v>34</v>
      </c>
      <c r="B165" s="3018" t="str">
        <f t="shared" si="2"/>
        <v>2200002186</v>
      </c>
      <c r="C165" s="2180" t="s">
        <v>4786</v>
      </c>
      <c r="D165" s="3118">
        <v>5820</v>
      </c>
      <c r="E165" s="3119" t="s">
        <v>8208</v>
      </c>
      <c r="F165" s="2667" t="s">
        <v>16</v>
      </c>
      <c r="G165" s="3119" t="s">
        <v>8209</v>
      </c>
      <c r="H165" s="1495" t="s">
        <v>8203</v>
      </c>
      <c r="I165" s="1921" t="s">
        <v>5253</v>
      </c>
      <c r="J165" s="1493" t="s">
        <v>19</v>
      </c>
      <c r="K165" s="3035" t="s">
        <v>1138</v>
      </c>
      <c r="L165" s="3220" t="s">
        <v>8210</v>
      </c>
      <c r="M165" s="3120">
        <v>4834</v>
      </c>
      <c r="N165" s="2196" t="s">
        <v>8211</v>
      </c>
      <c r="O165" s="3111"/>
      <c r="P165" s="3111"/>
      <c r="Q165" s="2290"/>
      <c r="R165" s="3040">
        <v>2</v>
      </c>
      <c r="S165" s="1745"/>
      <c r="T165" s="1745"/>
      <c r="U165" s="1745"/>
      <c r="V165" s="1745"/>
      <c r="W165" s="1745"/>
      <c r="X165" s="1745"/>
      <c r="Y165" s="1745"/>
      <c r="Z165" s="1745"/>
      <c r="AA165" s="1745"/>
      <c r="AB165" s="1745"/>
      <c r="AC165" s="1745"/>
      <c r="AD165" s="1745"/>
    </row>
    <row r="166" spans="1:30" s="1467" customFormat="1" ht="58.5" customHeight="1">
      <c r="A166" s="3835"/>
      <c r="B166" s="3018" t="str">
        <f t="shared" si="2"/>
        <v>2200002185</v>
      </c>
      <c r="C166" s="1780" t="s">
        <v>4786</v>
      </c>
      <c r="D166" s="3118"/>
      <c r="E166" s="3119"/>
      <c r="F166" s="1782" t="s">
        <v>16</v>
      </c>
      <c r="G166" s="3040"/>
      <c r="H166" s="1495"/>
      <c r="I166" s="1921" t="s">
        <v>5253</v>
      </c>
      <c r="J166" s="1493" t="s">
        <v>19</v>
      </c>
      <c r="K166" s="1921" t="s">
        <v>1138</v>
      </c>
      <c r="L166" s="2880" t="s">
        <v>8212</v>
      </c>
      <c r="M166" s="3100">
        <v>986</v>
      </c>
      <c r="N166" s="2915" t="s">
        <v>8213</v>
      </c>
      <c r="O166" s="3111"/>
      <c r="P166" s="3111"/>
      <c r="Q166" s="2290"/>
      <c r="R166" s="1495">
        <v>2</v>
      </c>
      <c r="S166" s="1745"/>
      <c r="T166" s="1745"/>
      <c r="U166" s="1745"/>
      <c r="V166" s="1745"/>
      <c r="W166" s="1745"/>
      <c r="X166" s="1745"/>
      <c r="Y166" s="1745"/>
      <c r="Z166" s="1745"/>
      <c r="AA166" s="1745"/>
      <c r="AB166" s="1745"/>
      <c r="AC166" s="1745"/>
      <c r="AD166" s="3121"/>
    </row>
    <row r="167" spans="1:30" s="2643" customFormat="1" ht="58.5" customHeight="1">
      <c r="A167" s="3122">
        <v>35</v>
      </c>
      <c r="B167" s="3018" t="str">
        <f t="shared" si="2"/>
        <v>2000003293</v>
      </c>
      <c r="C167" s="2180" t="s">
        <v>4831</v>
      </c>
      <c r="D167" s="3118">
        <v>4350</v>
      </c>
      <c r="E167" s="3040"/>
      <c r="F167" s="2667" t="s">
        <v>16</v>
      </c>
      <c r="G167" s="3119" t="s">
        <v>8202</v>
      </c>
      <c r="H167" s="3119"/>
      <c r="I167" s="3112" t="s">
        <v>5253</v>
      </c>
      <c r="J167" s="1902" t="s">
        <v>19</v>
      </c>
      <c r="K167" s="3035" t="s">
        <v>20</v>
      </c>
      <c r="L167" s="2912" t="s">
        <v>8214</v>
      </c>
      <c r="M167" s="3120">
        <v>4350</v>
      </c>
      <c r="N167" s="2196" t="s">
        <v>5279</v>
      </c>
      <c r="O167" s="3111"/>
      <c r="P167" s="3111"/>
      <c r="Q167" s="2290"/>
      <c r="R167" s="3059">
        <v>2</v>
      </c>
      <c r="S167" s="1745"/>
      <c r="T167" s="1745"/>
      <c r="U167" s="1745"/>
      <c r="V167" s="1745"/>
      <c r="W167" s="1745"/>
      <c r="X167" s="1745"/>
      <c r="Y167" s="1745"/>
      <c r="Z167" s="1745"/>
      <c r="AA167" s="1745"/>
      <c r="AB167" s="1745"/>
      <c r="AC167" s="1745"/>
      <c r="AD167" s="3121"/>
    </row>
    <row r="168" spans="1:30" s="2643" customFormat="1" ht="58.5" customHeight="1">
      <c r="A168" s="3749">
        <v>36</v>
      </c>
      <c r="B168" s="3018" t="str">
        <f t="shared" si="2"/>
        <v>2000003217</v>
      </c>
      <c r="C168" s="3033" t="s">
        <v>3275</v>
      </c>
      <c r="D168" s="2638">
        <v>10500</v>
      </c>
      <c r="E168" s="1921" t="s">
        <v>8201</v>
      </c>
      <c r="F168" s="1902" t="s">
        <v>3401</v>
      </c>
      <c r="G168" s="1921" t="s">
        <v>8215</v>
      </c>
      <c r="H168" s="1495" t="s">
        <v>8203</v>
      </c>
      <c r="I168" s="1495" t="s">
        <v>5253</v>
      </c>
      <c r="J168" s="1902" t="s">
        <v>19</v>
      </c>
      <c r="K168" s="1921" t="s">
        <v>123</v>
      </c>
      <c r="L168" s="1600" t="s">
        <v>8216</v>
      </c>
      <c r="M168" s="3055">
        <v>3400</v>
      </c>
      <c r="N168" s="2915" t="s">
        <v>5257</v>
      </c>
      <c r="O168" s="1902"/>
      <c r="P168" s="1902"/>
      <c r="Q168" s="1745"/>
      <c r="R168" s="1909">
        <v>2</v>
      </c>
      <c r="S168" s="2150"/>
      <c r="T168" s="2150"/>
      <c r="U168" s="2150"/>
      <c r="V168" s="2150"/>
      <c r="W168" s="2150"/>
      <c r="X168" s="2150"/>
      <c r="Y168" s="2150"/>
      <c r="Z168" s="2150"/>
      <c r="AA168" s="2150"/>
      <c r="AB168" s="2150"/>
      <c r="AC168" s="2150"/>
    </row>
    <row r="169" spans="1:30" s="1467" customFormat="1" ht="58.5" customHeight="1">
      <c r="A169" s="3751"/>
      <c r="B169" s="3018" t="str">
        <f t="shared" si="2"/>
        <v>2000003274</v>
      </c>
      <c r="C169" s="3023" t="s">
        <v>3275</v>
      </c>
      <c r="D169" s="1808"/>
      <c r="E169" s="1921"/>
      <c r="F169" s="1493" t="s">
        <v>3401</v>
      </c>
      <c r="G169" s="1495"/>
      <c r="H169" s="1495"/>
      <c r="I169" s="1495" t="s">
        <v>5253</v>
      </c>
      <c r="J169" s="1493" t="s">
        <v>19</v>
      </c>
      <c r="K169" s="1495" t="s">
        <v>123</v>
      </c>
      <c r="L169" s="1600" t="s">
        <v>8217</v>
      </c>
      <c r="M169" s="3051">
        <v>2000</v>
      </c>
      <c r="N169" s="2915" t="s">
        <v>5279</v>
      </c>
      <c r="O169" s="1493"/>
      <c r="P169" s="1493"/>
      <c r="Q169" s="2590"/>
      <c r="R169" s="3059">
        <v>2</v>
      </c>
      <c r="S169" s="1548"/>
      <c r="T169" s="1548"/>
      <c r="U169" s="1548"/>
      <c r="V169" s="1548"/>
      <c r="W169" s="1548"/>
      <c r="X169" s="1548"/>
      <c r="Y169" s="1548"/>
      <c r="Z169" s="1548"/>
      <c r="AA169" s="1548"/>
      <c r="AB169" s="1548"/>
      <c r="AC169" s="1548"/>
    </row>
    <row r="170" spans="1:30" s="1467" customFormat="1" ht="58.5" customHeight="1">
      <c r="A170" s="3751"/>
      <c r="B170" s="3018" t="str">
        <f t="shared" si="2"/>
        <v>2000003299</v>
      </c>
      <c r="C170" s="3023" t="s">
        <v>3275</v>
      </c>
      <c r="D170" s="1494"/>
      <c r="E170" s="1921"/>
      <c r="F170" s="1493" t="s">
        <v>3401</v>
      </c>
      <c r="G170" s="1495"/>
      <c r="H170" s="1495"/>
      <c r="I170" s="1495" t="s">
        <v>5253</v>
      </c>
      <c r="J170" s="1493" t="s">
        <v>19</v>
      </c>
      <c r="K170" s="1495" t="s">
        <v>1230</v>
      </c>
      <c r="L170" s="2880" t="s">
        <v>8218</v>
      </c>
      <c r="M170" s="3051">
        <v>1500</v>
      </c>
      <c r="N170" s="2915" t="s">
        <v>5257</v>
      </c>
      <c r="O170" s="1493"/>
      <c r="P170" s="1493"/>
      <c r="Q170" s="2590"/>
      <c r="R170" s="1748">
        <v>2</v>
      </c>
      <c r="S170" s="1548"/>
      <c r="T170" s="1548"/>
      <c r="U170" s="1548"/>
      <c r="V170" s="1548"/>
      <c r="W170" s="1548"/>
      <c r="X170" s="1548"/>
      <c r="Y170" s="1548"/>
      <c r="Z170" s="1548"/>
      <c r="AA170" s="1548"/>
      <c r="AB170" s="1548"/>
      <c r="AC170" s="1548"/>
    </row>
    <row r="171" spans="1:30" s="1467" customFormat="1" ht="58.5" customHeight="1">
      <c r="A171" s="3751"/>
      <c r="B171" s="3018" t="str">
        <f t="shared" si="2"/>
        <v>2000003297</v>
      </c>
      <c r="C171" s="3023" t="s">
        <v>3275</v>
      </c>
      <c r="D171" s="1494"/>
      <c r="E171" s="1921"/>
      <c r="F171" s="1493" t="s">
        <v>3401</v>
      </c>
      <c r="G171" s="1495"/>
      <c r="H171" s="1495"/>
      <c r="I171" s="1495" t="s">
        <v>5253</v>
      </c>
      <c r="J171" s="1493" t="s">
        <v>19</v>
      </c>
      <c r="K171" s="1495" t="s">
        <v>1230</v>
      </c>
      <c r="L171" s="2880" t="s">
        <v>8219</v>
      </c>
      <c r="M171" s="3051">
        <v>1500</v>
      </c>
      <c r="N171" s="2915" t="s">
        <v>5454</v>
      </c>
      <c r="O171" s="1493"/>
      <c r="P171" s="1493"/>
      <c r="Q171" s="2590"/>
      <c r="R171" s="1748">
        <v>2</v>
      </c>
      <c r="S171" s="1548"/>
      <c r="T171" s="1548"/>
      <c r="U171" s="1548"/>
      <c r="V171" s="1548"/>
      <c r="W171" s="1548"/>
      <c r="X171" s="1548"/>
      <c r="Y171" s="1548"/>
      <c r="Z171" s="1548"/>
      <c r="AA171" s="1548"/>
      <c r="AB171" s="1548"/>
      <c r="AC171" s="1548"/>
    </row>
    <row r="172" spans="1:30" s="1467" customFormat="1" ht="58.5" customHeight="1">
      <c r="A172" s="3750"/>
      <c r="B172" s="3018" t="str">
        <f t="shared" si="2"/>
        <v>2000003292</v>
      </c>
      <c r="C172" s="3023" t="s">
        <v>3275</v>
      </c>
      <c r="D172" s="2638"/>
      <c r="E172" s="1921"/>
      <c r="F172" s="1493" t="s">
        <v>3401</v>
      </c>
      <c r="G172" s="1495"/>
      <c r="H172" s="1495"/>
      <c r="I172" s="1495" t="s">
        <v>5253</v>
      </c>
      <c r="J172" s="1493" t="s">
        <v>19</v>
      </c>
      <c r="K172" s="1495" t="s">
        <v>253</v>
      </c>
      <c r="L172" s="3219" t="s">
        <v>8220</v>
      </c>
      <c r="M172" s="3150">
        <v>2200</v>
      </c>
      <c r="N172" s="2915" t="s">
        <v>5279</v>
      </c>
      <c r="O172" s="2429"/>
      <c r="P172" s="2429"/>
      <c r="Q172" s="2590"/>
      <c r="R172" s="1748">
        <v>2</v>
      </c>
      <c r="S172" s="1548"/>
      <c r="T172" s="1548"/>
      <c r="U172" s="1548"/>
      <c r="V172" s="1548"/>
      <c r="W172" s="1548"/>
      <c r="X172" s="1548"/>
      <c r="Y172" s="1548"/>
      <c r="Z172" s="1548"/>
      <c r="AA172" s="1548"/>
      <c r="AB172" s="1548"/>
      <c r="AC172" s="1548"/>
    </row>
    <row r="173" spans="1:30" s="1467" customFormat="1" ht="58.5" customHeight="1">
      <c r="A173" s="3732">
        <v>37</v>
      </c>
      <c r="B173" s="3018" t="str">
        <f t="shared" si="2"/>
        <v>2000003320</v>
      </c>
      <c r="C173" s="3033" t="s">
        <v>5544</v>
      </c>
      <c r="D173" s="3020">
        <v>10500</v>
      </c>
      <c r="E173" s="3035" t="s">
        <v>8201</v>
      </c>
      <c r="F173" s="1493" t="s">
        <v>3401</v>
      </c>
      <c r="G173" s="3021" t="s">
        <v>8221</v>
      </c>
      <c r="H173" s="1495" t="s">
        <v>8203</v>
      </c>
      <c r="I173" s="3021" t="s">
        <v>5253</v>
      </c>
      <c r="J173" s="3023" t="s">
        <v>19</v>
      </c>
      <c r="K173" s="3021" t="s">
        <v>123</v>
      </c>
      <c r="L173" s="2880" t="s">
        <v>8222</v>
      </c>
      <c r="M173" s="3054">
        <v>1000</v>
      </c>
      <c r="N173" s="2196" t="s">
        <v>8223</v>
      </c>
      <c r="O173" s="3023"/>
      <c r="P173" s="3023"/>
      <c r="Q173" s="3024"/>
      <c r="R173" s="3059">
        <v>2</v>
      </c>
    </row>
    <row r="174" spans="1:30" s="1467" customFormat="1" ht="58.5" customHeight="1">
      <c r="A174" s="3733"/>
      <c r="B174" s="3018" t="str">
        <f t="shared" si="2"/>
        <v>2000003307</v>
      </c>
      <c r="C174" s="3023" t="s">
        <v>5544</v>
      </c>
      <c r="D174" s="3020"/>
      <c r="E174" s="3035"/>
      <c r="F174" s="1493" t="s">
        <v>3401</v>
      </c>
      <c r="G174" s="3021"/>
      <c r="H174" s="1495"/>
      <c r="I174" s="3021" t="s">
        <v>5253</v>
      </c>
      <c r="J174" s="3023" t="s">
        <v>19</v>
      </c>
      <c r="K174" s="3021" t="s">
        <v>123</v>
      </c>
      <c r="L174" s="2880" t="s">
        <v>8224</v>
      </c>
      <c r="M174" s="3054">
        <v>1000</v>
      </c>
      <c r="N174" s="2915" t="s">
        <v>5279</v>
      </c>
      <c r="O174" s="3023"/>
      <c r="P174" s="3023"/>
      <c r="Q174" s="3138" t="s">
        <v>8225</v>
      </c>
      <c r="R174" s="3059">
        <v>2</v>
      </c>
    </row>
    <row r="175" spans="1:30" s="1467" customFormat="1" ht="58.5" customHeight="1">
      <c r="A175" s="3733"/>
      <c r="B175" s="3018" t="str">
        <f t="shared" si="2"/>
        <v>2000003348</v>
      </c>
      <c r="C175" s="3023" t="s">
        <v>5544</v>
      </c>
      <c r="D175" s="3020"/>
      <c r="E175" s="3035"/>
      <c r="F175" s="1493" t="s">
        <v>3401</v>
      </c>
      <c r="G175" s="3021"/>
      <c r="H175" s="1495"/>
      <c r="I175" s="3021" t="s">
        <v>5253</v>
      </c>
      <c r="J175" s="3023" t="s">
        <v>19</v>
      </c>
      <c r="K175" s="3021" t="s">
        <v>123</v>
      </c>
      <c r="L175" s="2880" t="s">
        <v>8226</v>
      </c>
      <c r="M175" s="3054">
        <v>100</v>
      </c>
      <c r="N175" s="2915" t="s">
        <v>5257</v>
      </c>
      <c r="O175" s="3023"/>
      <c r="P175" s="3023"/>
      <c r="Q175" s="3024"/>
      <c r="R175" s="3059">
        <v>2</v>
      </c>
    </row>
    <row r="176" spans="1:30" s="1467" customFormat="1" ht="58.5" customHeight="1">
      <c r="A176" s="3733"/>
      <c r="B176" s="3018" t="str">
        <f t="shared" si="2"/>
        <v>2000003363</v>
      </c>
      <c r="C176" s="3023" t="s">
        <v>5544</v>
      </c>
      <c r="D176" s="1494"/>
      <c r="E176" s="1921"/>
      <c r="F176" s="1493" t="s">
        <v>3401</v>
      </c>
      <c r="G176" s="1495"/>
      <c r="H176" s="1495"/>
      <c r="I176" s="3021" t="s">
        <v>5253</v>
      </c>
      <c r="J176" s="3023" t="s">
        <v>19</v>
      </c>
      <c r="K176" s="1495" t="s">
        <v>123</v>
      </c>
      <c r="L176" s="1600" t="s">
        <v>8227</v>
      </c>
      <c r="M176" s="3051">
        <v>2000</v>
      </c>
      <c r="N176" s="2915" t="s">
        <v>8228</v>
      </c>
      <c r="O176" s="1548"/>
      <c r="P176" s="1548"/>
      <c r="Q176" s="2590"/>
      <c r="R176" s="1748">
        <v>2</v>
      </c>
    </row>
    <row r="177" spans="1:30" s="1548" customFormat="1" ht="58.5" customHeight="1">
      <c r="A177" s="3734"/>
      <c r="B177" s="3018" t="str">
        <f t="shared" si="2"/>
        <v>2000003188</v>
      </c>
      <c r="C177" s="3023" t="s">
        <v>5544</v>
      </c>
      <c r="D177" s="2325"/>
      <c r="E177" s="1921"/>
      <c r="F177" s="1493" t="s">
        <v>3401</v>
      </c>
      <c r="G177" s="1495"/>
      <c r="H177" s="1495"/>
      <c r="I177" s="1495" t="s">
        <v>5253</v>
      </c>
      <c r="J177" s="1493" t="s">
        <v>19</v>
      </c>
      <c r="K177" s="1495" t="s">
        <v>5325</v>
      </c>
      <c r="L177" s="1843" t="s">
        <v>8229</v>
      </c>
      <c r="M177" s="3051">
        <v>6200</v>
      </c>
      <c r="N177" s="3139" t="s">
        <v>8230</v>
      </c>
      <c r="O177" s="1493"/>
      <c r="P177" s="1493"/>
      <c r="Q177" s="2590"/>
      <c r="R177" s="3059">
        <v>2</v>
      </c>
      <c r="S177" s="1790"/>
      <c r="T177" s="1790"/>
    </row>
    <row r="178" spans="1:30" s="2643" customFormat="1" ht="58.5" customHeight="1">
      <c r="A178" s="3819">
        <v>38</v>
      </c>
      <c r="B178" s="3038" t="str">
        <f t="shared" si="2"/>
        <v>2200002196</v>
      </c>
      <c r="C178" s="1902" t="s">
        <v>3469</v>
      </c>
      <c r="D178" s="3034">
        <v>4300</v>
      </c>
      <c r="E178" s="3035" t="s">
        <v>8231</v>
      </c>
      <c r="F178" s="2824" t="s">
        <v>16</v>
      </c>
      <c r="G178" s="1902" t="s">
        <v>8232</v>
      </c>
      <c r="H178" s="2279" t="s">
        <v>8233</v>
      </c>
      <c r="I178" s="1921" t="s">
        <v>5253</v>
      </c>
      <c r="J178" s="2824" t="s">
        <v>19</v>
      </c>
      <c r="K178" s="1921" t="s">
        <v>101</v>
      </c>
      <c r="L178" s="1845" t="s">
        <v>8234</v>
      </c>
      <c r="M178" s="3055">
        <v>3054</v>
      </c>
      <c r="N178" s="2160" t="s">
        <v>5580</v>
      </c>
      <c r="O178" s="3142"/>
      <c r="P178" s="3142"/>
      <c r="Q178" s="1745"/>
      <c r="R178" s="3040">
        <v>3</v>
      </c>
      <c r="S178" s="2150"/>
      <c r="T178" s="2150"/>
      <c r="U178" s="2150"/>
      <c r="V178" s="2150"/>
      <c r="W178" s="2150"/>
      <c r="X178" s="2150"/>
      <c r="Y178" s="2150"/>
      <c r="Z178" s="2150"/>
      <c r="AA178" s="2150"/>
      <c r="AB178" s="2150"/>
      <c r="AC178" s="2150"/>
      <c r="AD178" s="2150"/>
    </row>
    <row r="179" spans="1:30" s="1467" customFormat="1" ht="58.5" customHeight="1">
      <c r="A179" s="3821"/>
      <c r="B179" s="3018" t="str">
        <f t="shared" si="2"/>
        <v>2200002197</v>
      </c>
      <c r="C179" s="1493" t="s">
        <v>3469</v>
      </c>
      <c r="D179" s="3020"/>
      <c r="E179" s="3035"/>
      <c r="F179" s="1769" t="s">
        <v>16</v>
      </c>
      <c r="G179" s="1548"/>
      <c r="H179" s="2279"/>
      <c r="I179" s="1495" t="s">
        <v>5253</v>
      </c>
      <c r="J179" s="1769" t="s">
        <v>19</v>
      </c>
      <c r="K179" s="1495" t="s">
        <v>101</v>
      </c>
      <c r="L179" s="1497" t="s">
        <v>8235</v>
      </c>
      <c r="M179" s="3141">
        <v>1300</v>
      </c>
      <c r="N179" s="2160" t="s">
        <v>8236</v>
      </c>
      <c r="O179" s="3140"/>
      <c r="P179" s="3140"/>
      <c r="Q179" s="2590"/>
      <c r="R179" s="3059">
        <v>3</v>
      </c>
      <c r="S179" s="1548"/>
      <c r="T179" s="1548"/>
      <c r="U179" s="1548"/>
      <c r="V179" s="1548"/>
      <c r="W179" s="1548"/>
      <c r="X179" s="1548"/>
      <c r="Y179" s="1548"/>
      <c r="Z179" s="1548"/>
      <c r="AA179" s="1548"/>
      <c r="AB179" s="1548"/>
      <c r="AC179" s="1548"/>
      <c r="AD179" s="1548"/>
    </row>
    <row r="180" spans="1:30" s="2643" customFormat="1" ht="58.5" customHeight="1">
      <c r="A180" s="3834">
        <v>39</v>
      </c>
      <c r="B180" s="3018" t="str">
        <f t="shared" si="2"/>
        <v>2200002188</v>
      </c>
      <c r="C180" s="2180" t="s">
        <v>8237</v>
      </c>
      <c r="D180" s="3118">
        <v>11000</v>
      </c>
      <c r="E180" s="3119" t="s">
        <v>8238</v>
      </c>
      <c r="F180" s="2667" t="s">
        <v>84</v>
      </c>
      <c r="G180" s="3021" t="s">
        <v>8239</v>
      </c>
      <c r="H180" s="3021"/>
      <c r="I180" s="1909"/>
      <c r="J180" s="1493" t="s">
        <v>19</v>
      </c>
      <c r="K180" s="3035" t="s">
        <v>1138</v>
      </c>
      <c r="L180" s="3136" t="s">
        <v>8240</v>
      </c>
      <c r="M180" s="3120">
        <v>7107</v>
      </c>
      <c r="N180" s="2196" t="s">
        <v>5279</v>
      </c>
      <c r="O180" s="3111"/>
      <c r="P180" s="3111"/>
      <c r="Q180" s="2290"/>
      <c r="R180" s="3059">
        <v>2</v>
      </c>
      <c r="S180" s="1745"/>
      <c r="T180" s="1745"/>
      <c r="U180" s="1745"/>
      <c r="V180" s="1745"/>
      <c r="W180" s="1745"/>
      <c r="X180" s="1745"/>
      <c r="Y180" s="1745"/>
      <c r="Z180" s="1745"/>
      <c r="AA180" s="1745"/>
      <c r="AB180" s="1745"/>
      <c r="AC180" s="1745"/>
      <c r="AD180" s="3121"/>
    </row>
    <row r="181" spans="1:30" s="1467" customFormat="1" ht="58.5" customHeight="1">
      <c r="A181" s="3836"/>
      <c r="B181" s="3018" t="str">
        <f t="shared" si="2"/>
        <v>2200002187</v>
      </c>
      <c r="C181" s="1495" t="s">
        <v>8237</v>
      </c>
      <c r="D181" s="3118"/>
      <c r="E181" s="3119"/>
      <c r="F181" s="1493" t="s">
        <v>84</v>
      </c>
      <c r="G181" s="3040"/>
      <c r="H181" s="3040"/>
      <c r="I181" s="1909"/>
      <c r="J181" s="1493" t="s">
        <v>19</v>
      </c>
      <c r="K181" s="1495" t="s">
        <v>1138</v>
      </c>
      <c r="L181" s="2880" t="s">
        <v>8241</v>
      </c>
      <c r="M181" s="3100">
        <v>1303</v>
      </c>
      <c r="N181" s="2915" t="s">
        <v>8213</v>
      </c>
      <c r="O181" s="3111"/>
      <c r="P181" s="3111"/>
      <c r="Q181" s="2290"/>
      <c r="R181" s="1495">
        <v>2</v>
      </c>
      <c r="S181" s="1745"/>
      <c r="T181" s="1745"/>
      <c r="U181" s="1745"/>
      <c r="V181" s="1745"/>
      <c r="W181" s="1745"/>
      <c r="X181" s="1745"/>
      <c r="Y181" s="1745"/>
      <c r="Z181" s="1745"/>
      <c r="AA181" s="1745"/>
      <c r="AB181" s="1745"/>
      <c r="AC181" s="1745"/>
      <c r="AD181" s="3121"/>
    </row>
    <row r="182" spans="1:30" s="1467" customFormat="1" ht="58.5" customHeight="1">
      <c r="A182" s="3835"/>
      <c r="B182" s="3018" t="str">
        <f t="shared" si="2"/>
        <v>2200002191</v>
      </c>
      <c r="C182" s="1495" t="s">
        <v>8237</v>
      </c>
      <c r="D182" s="3020"/>
      <c r="E182" s="3035"/>
      <c r="F182" s="1493" t="s">
        <v>84</v>
      </c>
      <c r="G182" s="3021"/>
      <c r="H182" s="3021"/>
      <c r="I182" s="1495"/>
      <c r="J182" s="1493" t="s">
        <v>19</v>
      </c>
      <c r="K182" s="1495" t="s">
        <v>1138</v>
      </c>
      <c r="L182" s="2880" t="s">
        <v>8242</v>
      </c>
      <c r="M182" s="3100">
        <v>2590</v>
      </c>
      <c r="N182" s="2915" t="s">
        <v>8243</v>
      </c>
      <c r="O182" s="1626"/>
      <c r="P182" s="1626"/>
      <c r="Q182" s="1770"/>
      <c r="R182" s="3059">
        <v>2</v>
      </c>
      <c r="S182" s="1548"/>
      <c r="T182" s="1548"/>
      <c r="U182" s="1548"/>
      <c r="V182" s="1548"/>
      <c r="W182" s="1548"/>
      <c r="X182" s="1548"/>
      <c r="Y182" s="1548"/>
      <c r="Z182" s="1548"/>
      <c r="AA182" s="1548"/>
      <c r="AB182" s="1548"/>
      <c r="AC182" s="1548"/>
    </row>
    <row r="183" spans="1:30" s="2643" customFormat="1" ht="58.5" customHeight="1">
      <c r="A183" s="3732">
        <v>40</v>
      </c>
      <c r="B183" s="3018" t="str">
        <f t="shared" si="2"/>
        <v>2200002186</v>
      </c>
      <c r="C183" s="1921" t="s">
        <v>5657</v>
      </c>
      <c r="D183" s="3034">
        <v>4430</v>
      </c>
      <c r="E183" s="3035" t="s">
        <v>8203</v>
      </c>
      <c r="F183" s="1902" t="s">
        <v>54</v>
      </c>
      <c r="G183" s="3035" t="s">
        <v>8244</v>
      </c>
      <c r="H183" s="3035"/>
      <c r="I183" s="1921"/>
      <c r="J183" s="1493" t="s">
        <v>19</v>
      </c>
      <c r="K183" s="3035" t="s">
        <v>1138</v>
      </c>
      <c r="L183" s="3136" t="s">
        <v>8245</v>
      </c>
      <c r="M183" s="3120">
        <v>2876</v>
      </c>
      <c r="N183" s="2915" t="s">
        <v>8246</v>
      </c>
      <c r="O183" s="2563"/>
      <c r="P183" s="2563"/>
      <c r="Q183" s="1916"/>
      <c r="R183" s="3059">
        <v>3</v>
      </c>
      <c r="S183" s="2150"/>
      <c r="T183" s="2150"/>
      <c r="U183" s="2150"/>
      <c r="V183" s="2150"/>
      <c r="W183" s="2150"/>
      <c r="X183" s="2150"/>
      <c r="Y183" s="2150"/>
      <c r="Z183" s="2150"/>
      <c r="AA183" s="2150"/>
      <c r="AB183" s="2150"/>
      <c r="AC183" s="2150"/>
    </row>
    <row r="184" spans="1:30" s="2643" customFormat="1" ht="58.5" customHeight="1">
      <c r="A184" s="3733"/>
      <c r="B184" s="3018" t="str">
        <f t="shared" si="2"/>
        <v>2200002152</v>
      </c>
      <c r="C184" s="1495" t="s">
        <v>5657</v>
      </c>
      <c r="D184" s="3034"/>
      <c r="E184" s="3035"/>
      <c r="F184" s="1902" t="s">
        <v>54</v>
      </c>
      <c r="G184" s="3035"/>
      <c r="H184" s="3035"/>
      <c r="I184" s="1921"/>
      <c r="J184" s="1493" t="s">
        <v>19</v>
      </c>
      <c r="K184" s="3021" t="s">
        <v>1138</v>
      </c>
      <c r="L184" s="1496" t="s">
        <v>8247</v>
      </c>
      <c r="M184" s="3107">
        <v>100</v>
      </c>
      <c r="N184" s="2196" t="s">
        <v>5440</v>
      </c>
      <c r="O184" s="2563"/>
      <c r="P184" s="2563"/>
      <c r="Q184" s="1916"/>
      <c r="R184" s="3059">
        <v>3</v>
      </c>
      <c r="S184" s="2150"/>
      <c r="T184" s="2150"/>
      <c r="U184" s="2150"/>
      <c r="V184" s="2150"/>
      <c r="W184" s="2150"/>
      <c r="X184" s="2150"/>
      <c r="Y184" s="2150"/>
      <c r="Z184" s="2150"/>
      <c r="AA184" s="2150"/>
      <c r="AB184" s="2150"/>
      <c r="AC184" s="2150"/>
    </row>
    <row r="185" spans="1:30" s="1467" customFormat="1" ht="58.5" customHeight="1">
      <c r="A185" s="3733"/>
      <c r="B185" s="3018" t="str">
        <f t="shared" si="2"/>
        <v>2200002188</v>
      </c>
      <c r="C185" s="1495" t="s">
        <v>5657</v>
      </c>
      <c r="D185" s="3020"/>
      <c r="E185" s="3035"/>
      <c r="F185" s="1493" t="s">
        <v>54</v>
      </c>
      <c r="G185" s="3021"/>
      <c r="H185" s="3021"/>
      <c r="I185" s="1495"/>
      <c r="J185" s="1493" t="s">
        <v>19</v>
      </c>
      <c r="K185" s="1495" t="s">
        <v>1138</v>
      </c>
      <c r="L185" s="2880" t="s">
        <v>8248</v>
      </c>
      <c r="M185" s="3100">
        <v>856</v>
      </c>
      <c r="N185" s="2196" t="s">
        <v>5279</v>
      </c>
      <c r="O185" s="1626"/>
      <c r="P185" s="1626"/>
      <c r="Q185" s="1770"/>
      <c r="R185" s="3059">
        <v>3</v>
      </c>
      <c r="S185" s="1548"/>
      <c r="T185" s="1548"/>
      <c r="U185" s="1548"/>
      <c r="V185" s="1548"/>
      <c r="W185" s="1548"/>
      <c r="X185" s="1548"/>
      <c r="Y185" s="1548"/>
      <c r="Z185" s="1548"/>
      <c r="AA185" s="1548"/>
      <c r="AB185" s="1548"/>
      <c r="AC185" s="1548"/>
    </row>
    <row r="186" spans="1:30" s="1467" customFormat="1" ht="58.5" customHeight="1">
      <c r="A186" s="3734"/>
      <c r="B186" s="3018" t="str">
        <f t="shared" si="2"/>
        <v>2000003302</v>
      </c>
      <c r="C186" s="1495" t="s">
        <v>5657</v>
      </c>
      <c r="D186" s="3137"/>
      <c r="E186" s="3040"/>
      <c r="F186" s="1493" t="s">
        <v>54</v>
      </c>
      <c r="G186" s="3040"/>
      <c r="H186" s="3040"/>
      <c r="I186" s="1909"/>
      <c r="J186" s="1493" t="s">
        <v>19</v>
      </c>
      <c r="K186" s="1495" t="s">
        <v>1138</v>
      </c>
      <c r="L186" s="2880" t="s">
        <v>8249</v>
      </c>
      <c r="M186" s="3054">
        <v>600</v>
      </c>
      <c r="N186" s="2196" t="s">
        <v>5279</v>
      </c>
      <c r="O186" s="3111"/>
      <c r="P186" s="3111"/>
      <c r="Q186" s="2290"/>
      <c r="R186" s="3059">
        <v>3</v>
      </c>
      <c r="S186" s="1745"/>
      <c r="T186" s="1745"/>
      <c r="U186" s="1745"/>
      <c r="V186" s="1745"/>
      <c r="W186" s="1745"/>
      <c r="X186" s="1745"/>
      <c r="Y186" s="1745"/>
      <c r="Z186" s="1745"/>
      <c r="AA186" s="1745"/>
      <c r="AB186" s="1745"/>
      <c r="AC186" s="1745"/>
      <c r="AD186" s="3121"/>
    </row>
    <row r="187" spans="1:30" s="1467" customFormat="1" ht="78.75" customHeight="1">
      <c r="A187" s="3735">
        <v>41</v>
      </c>
      <c r="B187" s="3018" t="str">
        <f t="shared" si="2"/>
        <v>2000003290</v>
      </c>
      <c r="C187" s="3033" t="s">
        <v>5319</v>
      </c>
      <c r="D187" s="1494">
        <v>11900</v>
      </c>
      <c r="E187" s="1921" t="s">
        <v>8231</v>
      </c>
      <c r="F187" s="1493" t="s">
        <v>3416</v>
      </c>
      <c r="G187" s="1495" t="s">
        <v>8250</v>
      </c>
      <c r="H187" s="1495" t="s">
        <v>8233</v>
      </c>
      <c r="I187" s="1624" t="s">
        <v>5253</v>
      </c>
      <c r="J187" s="1493" t="s">
        <v>19</v>
      </c>
      <c r="K187" s="1495" t="s">
        <v>421</v>
      </c>
      <c r="L187" s="1600" t="s">
        <v>8251</v>
      </c>
      <c r="M187" s="3051">
        <v>300</v>
      </c>
      <c r="N187" s="2915" t="s">
        <v>5279</v>
      </c>
      <c r="O187" s="1493"/>
      <c r="P187" s="1493"/>
      <c r="Q187" s="2223" t="s">
        <v>8183</v>
      </c>
      <c r="R187" s="1748">
        <v>2</v>
      </c>
      <c r="S187" s="1548"/>
      <c r="T187" s="1548"/>
      <c r="U187" s="1548"/>
      <c r="V187" s="1548"/>
      <c r="W187" s="1548"/>
      <c r="X187" s="1548"/>
      <c r="Y187" s="1548"/>
      <c r="Z187" s="1548"/>
      <c r="AA187" s="1548"/>
      <c r="AB187" s="1548"/>
      <c r="AC187" s="1548"/>
    </row>
    <row r="188" spans="1:30" s="1467" customFormat="1" ht="58.5" customHeight="1">
      <c r="A188" s="3736"/>
      <c r="B188" s="3018" t="str">
        <f t="shared" si="2"/>
        <v>2000003289</v>
      </c>
      <c r="C188" s="3033" t="s">
        <v>5319</v>
      </c>
      <c r="D188" s="1494"/>
      <c r="E188" s="1921"/>
      <c r="F188" s="1493" t="s">
        <v>3416</v>
      </c>
      <c r="G188" s="1495"/>
      <c r="H188" s="1495"/>
      <c r="I188" s="1624" t="s">
        <v>5253</v>
      </c>
      <c r="J188" s="1493" t="s">
        <v>19</v>
      </c>
      <c r="K188" s="1495" t="s">
        <v>63</v>
      </c>
      <c r="L188" s="3108" t="s">
        <v>8252</v>
      </c>
      <c r="M188" s="3051">
        <v>631</v>
      </c>
      <c r="N188" s="2915" t="s">
        <v>5257</v>
      </c>
      <c r="O188" s="1493"/>
      <c r="P188" s="1493"/>
      <c r="Q188" s="2223" t="s">
        <v>8181</v>
      </c>
      <c r="R188" s="1748">
        <v>2</v>
      </c>
      <c r="S188" s="1548"/>
      <c r="T188" s="1548"/>
      <c r="U188" s="1548"/>
      <c r="V188" s="1548"/>
      <c r="W188" s="1548"/>
      <c r="X188" s="1548"/>
      <c r="Y188" s="1548"/>
      <c r="Z188" s="1548"/>
      <c r="AA188" s="1548"/>
      <c r="AB188" s="1548"/>
      <c r="AC188" s="1548"/>
    </row>
    <row r="189" spans="1:30" s="1467" customFormat="1" ht="58.5" customHeight="1">
      <c r="A189" s="3736"/>
      <c r="B189" s="3018" t="str">
        <f t="shared" si="2"/>
        <v>2000003304</v>
      </c>
      <c r="C189" s="3023" t="s">
        <v>5319</v>
      </c>
      <c r="D189" s="1494"/>
      <c r="E189" s="1921"/>
      <c r="F189" s="1493" t="s">
        <v>3416</v>
      </c>
      <c r="G189" s="1495"/>
      <c r="H189" s="1495"/>
      <c r="I189" s="1495" t="s">
        <v>5253</v>
      </c>
      <c r="J189" s="1493" t="s">
        <v>19</v>
      </c>
      <c r="K189" s="1495" t="s">
        <v>63</v>
      </c>
      <c r="L189" s="3165" t="s">
        <v>8253</v>
      </c>
      <c r="M189" s="3051">
        <v>1610</v>
      </c>
      <c r="N189" s="2915" t="s">
        <v>5279</v>
      </c>
      <c r="O189" s="1493"/>
      <c r="P189" s="1493"/>
      <c r="Q189" s="2590"/>
      <c r="R189" s="1748">
        <v>2</v>
      </c>
      <c r="S189" s="1548"/>
      <c r="T189" s="1548"/>
      <c r="U189" s="1548"/>
      <c r="V189" s="1548"/>
      <c r="W189" s="1548"/>
      <c r="X189" s="1548"/>
      <c r="Y189" s="1548"/>
      <c r="Z189" s="1548"/>
      <c r="AA189" s="1548"/>
      <c r="AB189" s="1548"/>
      <c r="AC189" s="1548"/>
    </row>
    <row r="190" spans="1:30" s="1467" customFormat="1" ht="58.5" customHeight="1">
      <c r="A190" s="3736"/>
      <c r="B190" s="3018" t="str">
        <f t="shared" si="2"/>
        <v>2000003245</v>
      </c>
      <c r="C190" s="3023" t="s">
        <v>5319</v>
      </c>
      <c r="D190" s="1494"/>
      <c r="E190" s="1921"/>
      <c r="F190" s="1493" t="s">
        <v>3416</v>
      </c>
      <c r="G190" s="1495"/>
      <c r="H190" s="1495"/>
      <c r="I190" s="1495" t="s">
        <v>5253</v>
      </c>
      <c r="J190" s="1493" t="s">
        <v>19</v>
      </c>
      <c r="K190" s="1495" t="s">
        <v>63</v>
      </c>
      <c r="L190" s="3219" t="s">
        <v>8254</v>
      </c>
      <c r="M190" s="3096">
        <v>551</v>
      </c>
      <c r="N190" s="2915" t="s">
        <v>5279</v>
      </c>
      <c r="O190" s="2429"/>
      <c r="P190" s="2429"/>
      <c r="Q190" s="2590"/>
      <c r="R190" s="1748">
        <v>2</v>
      </c>
      <c r="S190" s="1548"/>
      <c r="T190" s="1548"/>
      <c r="U190" s="1548"/>
      <c r="V190" s="1548"/>
      <c r="W190" s="1548"/>
      <c r="X190" s="1548"/>
      <c r="Y190" s="1548"/>
      <c r="Z190" s="1548"/>
      <c r="AA190" s="1548"/>
      <c r="AB190" s="1548"/>
      <c r="AC190" s="1548"/>
    </row>
    <row r="191" spans="1:30" s="1548" customFormat="1" ht="58.5" customHeight="1">
      <c r="A191" s="3736"/>
      <c r="B191" s="3018" t="str">
        <f t="shared" si="2"/>
        <v>2000003314</v>
      </c>
      <c r="C191" s="3023" t="s">
        <v>5319</v>
      </c>
      <c r="D191" s="3020"/>
      <c r="E191" s="3035"/>
      <c r="F191" s="1493" t="s">
        <v>3416</v>
      </c>
      <c r="G191" s="3021"/>
      <c r="H191" s="1495"/>
      <c r="I191" s="3021" t="s">
        <v>5253</v>
      </c>
      <c r="J191" s="3022" t="s">
        <v>19</v>
      </c>
      <c r="K191" s="3021" t="s">
        <v>63</v>
      </c>
      <c r="L191" s="2880" t="s">
        <v>8255</v>
      </c>
      <c r="M191" s="3054">
        <v>2321</v>
      </c>
      <c r="N191" s="2915" t="s">
        <v>5279</v>
      </c>
      <c r="O191" s="3023"/>
      <c r="P191" s="3023"/>
      <c r="Q191" s="3024"/>
      <c r="R191" s="3059">
        <v>2</v>
      </c>
    </row>
    <row r="192" spans="1:30" s="1467" customFormat="1" ht="58.5" customHeight="1">
      <c r="A192" s="3736"/>
      <c r="B192" s="3018" t="str">
        <f t="shared" si="2"/>
        <v>2000003328</v>
      </c>
      <c r="C192" s="3023" t="s">
        <v>5319</v>
      </c>
      <c r="D192" s="3020"/>
      <c r="E192" s="3035"/>
      <c r="F192" s="1493" t="s">
        <v>3416</v>
      </c>
      <c r="G192" s="3021"/>
      <c r="H192" s="1495"/>
      <c r="I192" s="3021" t="s">
        <v>8256</v>
      </c>
      <c r="J192" s="3023" t="s">
        <v>19</v>
      </c>
      <c r="K192" s="3021" t="s">
        <v>123</v>
      </c>
      <c r="L192" s="2880" t="s">
        <v>8257</v>
      </c>
      <c r="M192" s="3054">
        <v>1556</v>
      </c>
      <c r="N192" s="2196" t="s">
        <v>8258</v>
      </c>
      <c r="O192" s="3023"/>
      <c r="P192" s="3023"/>
      <c r="Q192" s="3024"/>
      <c r="R192" s="3059">
        <v>2</v>
      </c>
    </row>
    <row r="193" spans="1:29" s="1467" customFormat="1" ht="58.5" customHeight="1">
      <c r="A193" s="3736"/>
      <c r="B193" s="3018" t="str">
        <f t="shared" si="2"/>
        <v>2000003330</v>
      </c>
      <c r="C193" s="3023" t="s">
        <v>5319</v>
      </c>
      <c r="D193" s="3020"/>
      <c r="E193" s="3035"/>
      <c r="F193" s="1493" t="s">
        <v>3416</v>
      </c>
      <c r="G193" s="3021"/>
      <c r="H193" s="1495"/>
      <c r="I193" s="3021" t="s">
        <v>8256</v>
      </c>
      <c r="J193" s="3023" t="s">
        <v>19</v>
      </c>
      <c r="K193" s="3021" t="s">
        <v>123</v>
      </c>
      <c r="L193" s="2880" t="s">
        <v>8259</v>
      </c>
      <c r="M193" s="3054">
        <v>2091</v>
      </c>
      <c r="N193" s="2196" t="s">
        <v>8258</v>
      </c>
      <c r="O193" s="3023"/>
      <c r="P193" s="3023"/>
      <c r="Q193" s="3024"/>
      <c r="R193" s="3059">
        <v>2</v>
      </c>
    </row>
    <row r="194" spans="1:29" s="1467" customFormat="1" ht="58.5" customHeight="1">
      <c r="A194" s="3736"/>
      <c r="B194" s="3018" t="str">
        <f t="shared" si="2"/>
        <v>2000003270</v>
      </c>
      <c r="C194" s="3023" t="s">
        <v>5319</v>
      </c>
      <c r="D194" s="1808"/>
      <c r="E194" s="1921"/>
      <c r="F194" s="1493" t="s">
        <v>3416</v>
      </c>
      <c r="G194" s="1495"/>
      <c r="H194" s="1495"/>
      <c r="I194" s="1495" t="s">
        <v>5253</v>
      </c>
      <c r="J194" s="1493" t="s">
        <v>19</v>
      </c>
      <c r="K194" s="1495" t="s">
        <v>123</v>
      </c>
      <c r="L194" s="1600" t="s">
        <v>8260</v>
      </c>
      <c r="M194" s="3051">
        <v>2800</v>
      </c>
      <c r="N194" s="2915" t="s">
        <v>5279</v>
      </c>
      <c r="O194" s="1493"/>
      <c r="P194" s="1493"/>
      <c r="Q194" s="2590"/>
      <c r="R194" s="1748">
        <v>2</v>
      </c>
      <c r="S194" s="1548"/>
      <c r="T194" s="1548"/>
      <c r="U194" s="1548"/>
      <c r="V194" s="1548"/>
      <c r="W194" s="1548"/>
      <c r="X194" s="1548"/>
      <c r="Y194" s="1548"/>
      <c r="Z194" s="1548"/>
      <c r="AA194" s="1548"/>
      <c r="AB194" s="1548"/>
      <c r="AC194" s="1548"/>
    </row>
    <row r="195" spans="1:29" s="2150" customFormat="1" ht="58.5" customHeight="1">
      <c r="A195" s="3820">
        <v>42</v>
      </c>
      <c r="B195" s="3018" t="str">
        <f t="shared" si="2"/>
        <v>2000003220</v>
      </c>
      <c r="C195" s="1493" t="s">
        <v>211</v>
      </c>
      <c r="D195" s="3146">
        <v>4000</v>
      </c>
      <c r="E195" s="3041" t="s">
        <v>8203</v>
      </c>
      <c r="F195" s="3147" t="s">
        <v>61</v>
      </c>
      <c r="G195" s="3041"/>
      <c r="H195" s="1543" t="s">
        <v>8261</v>
      </c>
      <c r="I195" s="1495" t="s">
        <v>5253</v>
      </c>
      <c r="J195" s="1921" t="s">
        <v>19</v>
      </c>
      <c r="K195" s="2391" t="s">
        <v>74</v>
      </c>
      <c r="L195" s="3148" t="s">
        <v>8262</v>
      </c>
      <c r="M195" s="3149">
        <v>2532</v>
      </c>
      <c r="N195" s="2196" t="s">
        <v>8263</v>
      </c>
      <c r="O195" s="2429"/>
      <c r="P195" s="2429"/>
      <c r="Q195" s="2290"/>
      <c r="R195" s="3059">
        <v>3</v>
      </c>
    </row>
    <row r="196" spans="1:29" s="1467" customFormat="1" ht="58.5" customHeight="1">
      <c r="A196" s="3821"/>
      <c r="B196" s="3018" t="str">
        <f t="shared" ref="B196:B259" si="3">TEXT(LEFT(L196,10),"0000000000")</f>
        <v>2200002197</v>
      </c>
      <c r="C196" s="1769" t="s">
        <v>211</v>
      </c>
      <c r="D196" s="2607"/>
      <c r="E196" s="1921"/>
      <c r="F196" s="3023" t="s">
        <v>61</v>
      </c>
      <c r="G196" s="1495"/>
      <c r="H196" s="1495"/>
      <c r="I196" s="1568" t="s">
        <v>5253</v>
      </c>
      <c r="J196" s="1769" t="s">
        <v>19</v>
      </c>
      <c r="K196" s="1495" t="s">
        <v>101</v>
      </c>
      <c r="L196" s="1600" t="s">
        <v>8264</v>
      </c>
      <c r="M196" s="3051">
        <v>1500</v>
      </c>
      <c r="N196" s="2196" t="s">
        <v>5429</v>
      </c>
      <c r="O196" s="1548"/>
      <c r="P196" s="1548"/>
      <c r="Q196" s="2590"/>
      <c r="R196" s="1748">
        <v>3</v>
      </c>
    </row>
    <row r="197" spans="1:29" s="1467" customFormat="1" ht="58.5" customHeight="1">
      <c r="A197" s="3735">
        <v>43</v>
      </c>
      <c r="B197" s="3018" t="str">
        <f t="shared" si="3"/>
        <v>2000003332</v>
      </c>
      <c r="C197" s="1769" t="s">
        <v>3507</v>
      </c>
      <c r="D197" s="3020">
        <v>4300</v>
      </c>
      <c r="E197" s="1921" t="s">
        <v>8231</v>
      </c>
      <c r="F197" s="1493" t="s">
        <v>54</v>
      </c>
      <c r="G197" s="1495" t="s">
        <v>8265</v>
      </c>
      <c r="H197" s="1495" t="s">
        <v>8266</v>
      </c>
      <c r="I197" s="1568" t="s">
        <v>5253</v>
      </c>
      <c r="J197" s="1493" t="s">
        <v>19</v>
      </c>
      <c r="K197" s="1495" t="s">
        <v>74</v>
      </c>
      <c r="L197" s="1496" t="s">
        <v>8267</v>
      </c>
      <c r="M197" s="3051">
        <v>2000</v>
      </c>
      <c r="N197" s="2915" t="s">
        <v>5257</v>
      </c>
      <c r="O197" s="1548"/>
      <c r="P197" s="1548"/>
      <c r="Q197" s="2590"/>
      <c r="R197" s="1748">
        <v>3</v>
      </c>
    </row>
    <row r="198" spans="1:29" s="1467" customFormat="1" ht="58.5" customHeight="1">
      <c r="A198" s="3736"/>
      <c r="B198" s="3018" t="str">
        <f t="shared" si="3"/>
        <v>2200002198</v>
      </c>
      <c r="C198" s="1769" t="s">
        <v>3507</v>
      </c>
      <c r="D198" s="3020"/>
      <c r="E198" s="1921"/>
      <c r="F198" s="1493" t="s">
        <v>54</v>
      </c>
      <c r="G198" s="1495"/>
      <c r="H198" s="1495"/>
      <c r="I198" s="1560" t="s">
        <v>5253</v>
      </c>
      <c r="J198" s="1561" t="s">
        <v>19</v>
      </c>
      <c r="K198" s="1902" t="s">
        <v>74</v>
      </c>
      <c r="L198" s="1600" t="s">
        <v>8268</v>
      </c>
      <c r="M198" s="3051">
        <v>830</v>
      </c>
      <c r="N198" s="2196" t="s">
        <v>8269</v>
      </c>
      <c r="O198" s="1807"/>
      <c r="P198" s="1807"/>
      <c r="Q198" s="2590"/>
      <c r="R198" s="1748">
        <v>3</v>
      </c>
    </row>
    <row r="199" spans="1:29" s="2643" customFormat="1" ht="58.5" customHeight="1">
      <c r="A199" s="3737"/>
      <c r="B199" s="3018" t="str">
        <f t="shared" si="3"/>
        <v>2000003360</v>
      </c>
      <c r="C199" s="1769" t="s">
        <v>3507</v>
      </c>
      <c r="D199" s="2150"/>
      <c r="E199" s="2150"/>
      <c r="F199" s="1493" t="s">
        <v>54</v>
      </c>
      <c r="G199" s="1921"/>
      <c r="H199" s="2150"/>
      <c r="I199" s="3145" t="s">
        <v>5253</v>
      </c>
      <c r="J199" s="1769" t="s">
        <v>19</v>
      </c>
      <c r="K199" s="1495" t="s">
        <v>199</v>
      </c>
      <c r="L199" s="2877" t="s">
        <v>8270</v>
      </c>
      <c r="M199" s="3051">
        <v>1500</v>
      </c>
      <c r="N199" s="2915" t="s">
        <v>8271</v>
      </c>
      <c r="O199" s="2181"/>
      <c r="P199" s="2181"/>
      <c r="Q199" s="1745"/>
      <c r="R199" s="1909">
        <v>3</v>
      </c>
    </row>
    <row r="200" spans="1:29" s="2643" customFormat="1" ht="58.5" customHeight="1">
      <c r="A200" s="2723"/>
      <c r="B200" s="3018" t="str">
        <f t="shared" si="3"/>
        <v>2000003240</v>
      </c>
      <c r="C200" s="3033" t="s">
        <v>5558</v>
      </c>
      <c r="D200" s="2607">
        <v>10675</v>
      </c>
      <c r="E200" s="1921" t="s">
        <v>8203</v>
      </c>
      <c r="F200" s="1902" t="s">
        <v>3401</v>
      </c>
      <c r="G200" s="1921" t="s">
        <v>8272</v>
      </c>
      <c r="H200" s="1921" t="s">
        <v>5458</v>
      </c>
      <c r="I200" s="3112" t="s">
        <v>5253</v>
      </c>
      <c r="J200" s="1902" t="s">
        <v>19</v>
      </c>
      <c r="K200" s="1921" t="s">
        <v>4348</v>
      </c>
      <c r="L200" s="1845" t="s">
        <v>8273</v>
      </c>
      <c r="M200" s="3055">
        <v>1900</v>
      </c>
      <c r="N200" s="2196" t="s">
        <v>5279</v>
      </c>
      <c r="O200" s="1902"/>
      <c r="P200" s="1902"/>
      <c r="Q200" s="1745"/>
      <c r="R200" s="1909">
        <v>3</v>
      </c>
      <c r="S200" s="2150"/>
      <c r="T200" s="2150"/>
      <c r="U200" s="2150"/>
      <c r="V200" s="2150"/>
      <c r="W200" s="2150"/>
      <c r="X200" s="2150"/>
      <c r="Y200" s="2150"/>
      <c r="Z200" s="2150"/>
      <c r="AA200" s="2150"/>
      <c r="AB200" s="2150"/>
      <c r="AC200" s="2150"/>
    </row>
    <row r="201" spans="1:29" s="1467" customFormat="1" ht="58.5" customHeight="1">
      <c r="A201" s="2723"/>
      <c r="B201" s="3018" t="str">
        <f t="shared" si="3"/>
        <v>2000003242</v>
      </c>
      <c r="C201" s="3023" t="s">
        <v>5558</v>
      </c>
      <c r="D201" s="1494"/>
      <c r="E201" s="1921"/>
      <c r="F201" s="1493" t="s">
        <v>3401</v>
      </c>
      <c r="G201" s="1495"/>
      <c r="H201" s="1495"/>
      <c r="I201" s="1495" t="s">
        <v>5253</v>
      </c>
      <c r="J201" s="1493" t="s">
        <v>19</v>
      </c>
      <c r="K201" s="1495" t="s">
        <v>4348</v>
      </c>
      <c r="L201" s="1600" t="s">
        <v>8274</v>
      </c>
      <c r="M201" s="3051">
        <v>3000</v>
      </c>
      <c r="N201" s="2196" t="s">
        <v>5279</v>
      </c>
      <c r="O201" s="1493"/>
      <c r="P201" s="1493"/>
      <c r="Q201" s="2590"/>
      <c r="R201" s="1748">
        <v>3</v>
      </c>
      <c r="S201" s="1548"/>
      <c r="T201" s="1548"/>
      <c r="U201" s="1548"/>
      <c r="V201" s="1548"/>
      <c r="W201" s="1548"/>
      <c r="X201" s="1548"/>
      <c r="Y201" s="1548"/>
      <c r="Z201" s="1548"/>
      <c r="AA201" s="1548"/>
      <c r="AB201" s="1548"/>
      <c r="AC201" s="1548"/>
    </row>
    <row r="202" spans="1:29" s="1467" customFormat="1" ht="58.5" customHeight="1">
      <c r="A202" s="2723"/>
      <c r="B202" s="3018" t="str">
        <f t="shared" si="3"/>
        <v>2000003362</v>
      </c>
      <c r="C202" s="3023" t="s">
        <v>5558</v>
      </c>
      <c r="D202" s="1494"/>
      <c r="E202" s="1921"/>
      <c r="F202" s="1493" t="s">
        <v>3401</v>
      </c>
      <c r="G202" s="1495"/>
      <c r="H202" s="1495"/>
      <c r="I202" s="1568" t="s">
        <v>5253</v>
      </c>
      <c r="J202" s="3023" t="s">
        <v>19</v>
      </c>
      <c r="K202" s="1495" t="s">
        <v>123</v>
      </c>
      <c r="L202" s="1600" t="s">
        <v>8275</v>
      </c>
      <c r="M202" s="3051">
        <v>2000</v>
      </c>
      <c r="N202" s="2196" t="s">
        <v>8258</v>
      </c>
      <c r="O202" s="1548"/>
      <c r="P202" s="1548"/>
      <c r="Q202" s="2590"/>
      <c r="R202" s="1748">
        <v>3</v>
      </c>
    </row>
    <row r="203" spans="1:29" s="1467" customFormat="1" ht="58.5" customHeight="1">
      <c r="A203" s="2723"/>
      <c r="B203" s="3018" t="str">
        <f t="shared" si="3"/>
        <v>2000003244</v>
      </c>
      <c r="C203" s="3023" t="s">
        <v>5558</v>
      </c>
      <c r="D203" s="1494"/>
      <c r="E203" s="1921"/>
      <c r="F203" s="1493" t="s">
        <v>3401</v>
      </c>
      <c r="G203" s="1495"/>
      <c r="H203" s="1495"/>
      <c r="I203" s="1568" t="s">
        <v>5253</v>
      </c>
      <c r="J203" s="1493" t="s">
        <v>19</v>
      </c>
      <c r="K203" s="1495" t="s">
        <v>123</v>
      </c>
      <c r="L203" s="3219" t="s">
        <v>8276</v>
      </c>
      <c r="M203" s="3096">
        <v>300</v>
      </c>
      <c r="N203" s="2196" t="s">
        <v>5279</v>
      </c>
      <c r="O203" s="2429"/>
      <c r="P203" s="2429"/>
      <c r="Q203" s="2590"/>
      <c r="R203" s="1748">
        <v>3</v>
      </c>
      <c r="S203" s="1548"/>
      <c r="T203" s="1548"/>
      <c r="U203" s="1548"/>
      <c r="V203" s="1548"/>
      <c r="W203" s="1548"/>
      <c r="X203" s="1548"/>
      <c r="Y203" s="1548"/>
      <c r="Z203" s="1548"/>
      <c r="AA203" s="1548"/>
      <c r="AB203" s="1548"/>
      <c r="AC203" s="1548"/>
    </row>
    <row r="204" spans="1:29" s="1467" customFormat="1" ht="58.5" customHeight="1">
      <c r="A204" s="2723"/>
      <c r="B204" s="3018" t="str">
        <f t="shared" si="3"/>
        <v>2000003321</v>
      </c>
      <c r="C204" s="3023" t="s">
        <v>5558</v>
      </c>
      <c r="D204" s="3020"/>
      <c r="E204" s="3035"/>
      <c r="F204" s="1493" t="s">
        <v>3401</v>
      </c>
      <c r="G204" s="3021"/>
      <c r="H204" s="1495"/>
      <c r="I204" s="3021" t="s">
        <v>5253</v>
      </c>
      <c r="J204" s="3023" t="s">
        <v>19</v>
      </c>
      <c r="K204" s="3021" t="s">
        <v>123</v>
      </c>
      <c r="L204" s="2880" t="s">
        <v>8277</v>
      </c>
      <c r="M204" s="3054">
        <v>1075</v>
      </c>
      <c r="N204" s="2196" t="s">
        <v>8258</v>
      </c>
      <c r="O204" s="3023"/>
      <c r="P204" s="3023"/>
      <c r="Q204" s="3024"/>
      <c r="R204" s="3059">
        <v>3</v>
      </c>
    </row>
    <row r="205" spans="1:29" s="1467" customFormat="1" ht="58.5" customHeight="1">
      <c r="A205" s="3166"/>
      <c r="B205" s="3018" t="str">
        <f t="shared" si="3"/>
        <v>2000003307</v>
      </c>
      <c r="C205" s="3023" t="s">
        <v>5558</v>
      </c>
      <c r="D205" s="3020"/>
      <c r="E205" s="3035"/>
      <c r="F205" s="3140" t="s">
        <v>3401</v>
      </c>
      <c r="G205" s="3021"/>
      <c r="H205" s="3021"/>
      <c r="I205" s="3021" t="s">
        <v>5253</v>
      </c>
      <c r="J205" s="3023" t="s">
        <v>19</v>
      </c>
      <c r="K205" s="3021" t="s">
        <v>123</v>
      </c>
      <c r="L205" s="2880" t="s">
        <v>8278</v>
      </c>
      <c r="M205" s="3054">
        <v>577</v>
      </c>
      <c r="N205" s="2196" t="s">
        <v>5279</v>
      </c>
      <c r="O205" s="3023"/>
      <c r="P205" s="3023"/>
      <c r="Q205" s="3138" t="s">
        <v>8279</v>
      </c>
      <c r="R205" s="3059">
        <v>3</v>
      </c>
    </row>
    <row r="206" spans="1:29" s="1467" customFormat="1" ht="58.5" customHeight="1">
      <c r="A206" s="2723"/>
      <c r="B206" s="3018" t="str">
        <f t="shared" si="3"/>
        <v>2000003308</v>
      </c>
      <c r="C206" s="3023" t="s">
        <v>5558</v>
      </c>
      <c r="D206" s="3020"/>
      <c r="E206" s="3035"/>
      <c r="F206" s="1493" t="s">
        <v>3401</v>
      </c>
      <c r="G206" s="3022"/>
      <c r="H206" s="3021"/>
      <c r="I206" s="3021" t="s">
        <v>5253</v>
      </c>
      <c r="J206" s="3023" t="s">
        <v>19</v>
      </c>
      <c r="K206" s="3021" t="s">
        <v>123</v>
      </c>
      <c r="L206" s="2880" t="s">
        <v>8280</v>
      </c>
      <c r="M206" s="3054">
        <v>1064</v>
      </c>
      <c r="N206" s="2196" t="s">
        <v>8281</v>
      </c>
      <c r="O206" s="3023"/>
      <c r="P206" s="3023"/>
      <c r="Q206" s="3138" t="s">
        <v>8282</v>
      </c>
      <c r="R206" s="3059">
        <v>3</v>
      </c>
    </row>
    <row r="207" spans="1:29" s="1467" customFormat="1" ht="58.5" customHeight="1">
      <c r="A207" s="2414"/>
      <c r="B207" s="3018" t="str">
        <f t="shared" si="3"/>
        <v>2000003270</v>
      </c>
      <c r="C207" s="3023" t="s">
        <v>5558</v>
      </c>
      <c r="D207" s="1808"/>
      <c r="E207" s="1921"/>
      <c r="F207" s="1769" t="s">
        <v>3401</v>
      </c>
      <c r="G207" s="1495"/>
      <c r="H207" s="1568"/>
      <c r="I207" s="1495" t="s">
        <v>5253</v>
      </c>
      <c r="J207" s="1493" t="s">
        <v>19</v>
      </c>
      <c r="K207" s="1495" t="s">
        <v>123</v>
      </c>
      <c r="L207" s="2880" t="s">
        <v>8283</v>
      </c>
      <c r="M207" s="3051">
        <v>200</v>
      </c>
      <c r="N207" s="2196" t="s">
        <v>5279</v>
      </c>
      <c r="O207" s="1493"/>
      <c r="P207" s="1493"/>
      <c r="Q207" s="2590"/>
      <c r="R207" s="1748">
        <v>3</v>
      </c>
      <c r="S207" s="1548"/>
      <c r="T207" s="1548"/>
      <c r="U207" s="1548"/>
      <c r="V207" s="1548"/>
      <c r="W207" s="1548"/>
      <c r="X207" s="1548"/>
      <c r="Y207" s="1548"/>
      <c r="Z207" s="1548"/>
      <c r="AA207" s="1548"/>
      <c r="AB207" s="1548"/>
      <c r="AC207" s="1548"/>
    </row>
    <row r="208" spans="1:29" s="2643" customFormat="1" ht="58.5" customHeight="1">
      <c r="A208" s="3166"/>
      <c r="B208" s="3018" t="str">
        <f t="shared" si="3"/>
        <v>2000003331</v>
      </c>
      <c r="C208" s="3033" t="s">
        <v>3391</v>
      </c>
      <c r="D208" s="3167">
        <v>3300</v>
      </c>
      <c r="E208" s="3168" t="s">
        <v>8284</v>
      </c>
      <c r="F208" s="3169" t="s">
        <v>89</v>
      </c>
      <c r="G208" s="3035" t="s">
        <v>8285</v>
      </c>
      <c r="H208" s="3170"/>
      <c r="I208" s="3035" t="s">
        <v>8286</v>
      </c>
      <c r="J208" s="3033" t="s">
        <v>19</v>
      </c>
      <c r="K208" s="3171" t="s">
        <v>959</v>
      </c>
      <c r="L208" s="3136" t="s">
        <v>8287</v>
      </c>
      <c r="M208" s="3050">
        <v>1460</v>
      </c>
      <c r="N208" s="2915" t="s">
        <v>5257</v>
      </c>
      <c r="O208" s="3033">
        <v>25</v>
      </c>
      <c r="P208" s="3033"/>
      <c r="Q208" s="3037"/>
      <c r="R208" s="3059">
        <v>3</v>
      </c>
    </row>
    <row r="209" spans="1:29" s="1467" customFormat="1" ht="58.5" customHeight="1">
      <c r="A209" s="3172"/>
      <c r="B209" s="3018" t="str">
        <f t="shared" si="3"/>
        <v>2000003350</v>
      </c>
      <c r="C209" s="3023" t="s">
        <v>3391</v>
      </c>
      <c r="D209" s="3020"/>
      <c r="E209" s="3035"/>
      <c r="F209" s="3023" t="s">
        <v>89</v>
      </c>
      <c r="G209" s="3173"/>
      <c r="H209" s="3021"/>
      <c r="I209" s="3035" t="s">
        <v>8286</v>
      </c>
      <c r="J209" s="3023" t="s">
        <v>19</v>
      </c>
      <c r="K209" s="3174" t="s">
        <v>959</v>
      </c>
      <c r="L209" s="1496" t="s">
        <v>8288</v>
      </c>
      <c r="M209" s="2357">
        <v>1020</v>
      </c>
      <c r="N209" s="2196" t="s">
        <v>5279</v>
      </c>
      <c r="O209" s="3033">
        <v>25</v>
      </c>
      <c r="P209" s="3033"/>
      <c r="Q209" s="3024"/>
      <c r="R209" s="3059">
        <v>3</v>
      </c>
    </row>
    <row r="210" spans="1:29" s="1785" customFormat="1" ht="58.5" customHeight="1">
      <c r="A210" s="1781"/>
      <c r="B210" s="3018" t="str">
        <f t="shared" si="3"/>
        <v>2000003276</v>
      </c>
      <c r="C210" s="3023" t="s">
        <v>3391</v>
      </c>
      <c r="D210" s="3175"/>
      <c r="E210" s="2180"/>
      <c r="F210" s="3023" t="s">
        <v>89</v>
      </c>
      <c r="G210" s="1780"/>
      <c r="H210" s="1780"/>
      <c r="I210" s="1560" t="s">
        <v>5253</v>
      </c>
      <c r="J210" s="1782" t="s">
        <v>19</v>
      </c>
      <c r="K210" s="3174" t="s">
        <v>959</v>
      </c>
      <c r="L210" s="1546" t="s">
        <v>8289</v>
      </c>
      <c r="M210" s="3107">
        <v>510</v>
      </c>
      <c r="N210" s="2915" t="s">
        <v>5279</v>
      </c>
      <c r="O210" s="3033">
        <v>25</v>
      </c>
      <c r="P210" s="3033"/>
      <c r="Q210" s="1821"/>
      <c r="R210" s="3059">
        <v>3</v>
      </c>
      <c r="S210" s="1821"/>
      <c r="T210" s="1821"/>
      <c r="U210" s="1821"/>
      <c r="V210" s="1821"/>
      <c r="W210" s="1821"/>
      <c r="X210" s="1821"/>
      <c r="Y210" s="1821"/>
      <c r="Z210" s="1821"/>
      <c r="AA210" s="1821"/>
      <c r="AB210" s="1821"/>
      <c r="AC210" s="1821"/>
    </row>
    <row r="211" spans="1:29" s="1785" customFormat="1" ht="58.5" customHeight="1">
      <c r="A211" s="3176"/>
      <c r="B211" s="3018" t="str">
        <f t="shared" si="3"/>
        <v>2000003361</v>
      </c>
      <c r="C211" s="3023" t="s">
        <v>3391</v>
      </c>
      <c r="D211" s="3177"/>
      <c r="E211" s="3178"/>
      <c r="F211" s="3179" t="s">
        <v>89</v>
      </c>
      <c r="G211" s="3180"/>
      <c r="H211" s="3180"/>
      <c r="I211" s="3139" t="s">
        <v>5253</v>
      </c>
      <c r="J211" s="1782" t="s">
        <v>19</v>
      </c>
      <c r="K211" s="3174" t="s">
        <v>959</v>
      </c>
      <c r="L211" s="3108" t="s">
        <v>8290</v>
      </c>
      <c r="M211" s="3181">
        <v>300</v>
      </c>
      <c r="N211" s="2915" t="s">
        <v>5279</v>
      </c>
      <c r="O211" s="3033">
        <v>25</v>
      </c>
      <c r="P211" s="3033"/>
      <c r="Q211" s="3024"/>
      <c r="R211" s="3059">
        <v>3</v>
      </c>
    </row>
    <row r="212" spans="1:29" s="2643" customFormat="1" ht="58.5" customHeight="1">
      <c r="A212" s="3227"/>
      <c r="B212" s="3038" t="str">
        <f t="shared" si="3"/>
        <v>2000003336</v>
      </c>
      <c r="C212" s="2824" t="s">
        <v>7672</v>
      </c>
      <c r="D212" s="3034">
        <v>4250</v>
      </c>
      <c r="E212" s="1921" t="s">
        <v>8291</v>
      </c>
      <c r="F212" s="3033" t="s">
        <v>84</v>
      </c>
      <c r="G212" s="3035" t="s">
        <v>8292</v>
      </c>
      <c r="H212" s="3168"/>
      <c r="I212" s="1495" t="s">
        <v>5253</v>
      </c>
      <c r="J212" s="1902" t="s">
        <v>19</v>
      </c>
      <c r="K212" s="1921" t="s">
        <v>74</v>
      </c>
      <c r="L212" s="2194" t="s">
        <v>8293</v>
      </c>
      <c r="M212" s="3055">
        <v>918</v>
      </c>
      <c r="N212" s="3209" t="s">
        <v>5454</v>
      </c>
      <c r="O212" s="3111"/>
      <c r="P212" s="3111"/>
      <c r="Q212" s="2290"/>
      <c r="R212" s="3040">
        <v>3</v>
      </c>
      <c r="S212" s="2150"/>
      <c r="T212" s="2150"/>
      <c r="U212" s="2150"/>
      <c r="V212" s="2150"/>
      <c r="W212" s="2150"/>
      <c r="X212" s="2150"/>
      <c r="Y212" s="2150"/>
      <c r="Z212" s="2150"/>
      <c r="AA212" s="2150"/>
      <c r="AB212" s="2150"/>
      <c r="AC212" s="2150"/>
    </row>
    <row r="213" spans="1:29" s="2643" customFormat="1" ht="58.5" customHeight="1">
      <c r="A213" s="2436"/>
      <c r="B213" s="3038" t="str">
        <f t="shared" si="3"/>
        <v>2200002206</v>
      </c>
      <c r="C213" s="1769" t="s">
        <v>7672</v>
      </c>
      <c r="D213" s="2150"/>
      <c r="E213" s="2150"/>
      <c r="F213" s="3023" t="s">
        <v>84</v>
      </c>
      <c r="G213" s="1921"/>
      <c r="H213" s="2150"/>
      <c r="I213" s="1568" t="s">
        <v>8294</v>
      </c>
      <c r="J213" s="1493" t="s">
        <v>19</v>
      </c>
      <c r="K213" s="1495" t="s">
        <v>74</v>
      </c>
      <c r="L213" s="1843" t="s">
        <v>8295</v>
      </c>
      <c r="M213" s="3051">
        <v>750</v>
      </c>
      <c r="N213" s="3228" t="s">
        <v>8296</v>
      </c>
      <c r="O213" s="2181"/>
      <c r="P213" s="2181"/>
      <c r="Q213" s="1745"/>
      <c r="R213" s="1909">
        <v>3</v>
      </c>
    </row>
    <row r="214" spans="1:29" s="2643" customFormat="1" ht="70.5" customHeight="1">
      <c r="A214" s="2723"/>
      <c r="B214" s="3038" t="str">
        <f t="shared" si="3"/>
        <v>2000003337</v>
      </c>
      <c r="C214" s="1769" t="s">
        <v>7672</v>
      </c>
      <c r="D214" s="2150"/>
      <c r="E214" s="2150"/>
      <c r="F214" s="3023" t="s">
        <v>84</v>
      </c>
      <c r="G214" s="1921"/>
      <c r="H214" s="2150"/>
      <c r="I214" s="1495" t="s">
        <v>5253</v>
      </c>
      <c r="J214" s="1493" t="s">
        <v>19</v>
      </c>
      <c r="K214" s="1495" t="s">
        <v>74</v>
      </c>
      <c r="L214" s="3108" t="s">
        <v>8297</v>
      </c>
      <c r="M214" s="3051">
        <v>1088</v>
      </c>
      <c r="N214" s="2915" t="s">
        <v>5257</v>
      </c>
      <c r="O214" s="2181"/>
      <c r="P214" s="2181"/>
      <c r="Q214" s="1745"/>
      <c r="R214" s="1909">
        <v>3</v>
      </c>
    </row>
    <row r="215" spans="1:29" s="2643" customFormat="1" ht="58.5" customHeight="1">
      <c r="A215" s="3226"/>
      <c r="B215" s="3038" t="str">
        <f t="shared" si="3"/>
        <v>2000003360</v>
      </c>
      <c r="C215" s="1769" t="s">
        <v>7672</v>
      </c>
      <c r="D215" s="3020"/>
      <c r="E215" s="3035"/>
      <c r="F215" s="3023" t="s">
        <v>84</v>
      </c>
      <c r="G215" s="3035"/>
      <c r="H215" s="1921"/>
      <c r="I215" s="3145" t="s">
        <v>5253</v>
      </c>
      <c r="J215" s="1769" t="s">
        <v>19</v>
      </c>
      <c r="K215" s="1495" t="s">
        <v>199</v>
      </c>
      <c r="L215" s="2877" t="s">
        <v>8298</v>
      </c>
      <c r="M215" s="3051">
        <v>1500</v>
      </c>
      <c r="N215" s="3021" t="s">
        <v>8299</v>
      </c>
      <c r="O215" s="3111"/>
      <c r="P215" s="3111"/>
      <c r="Q215" s="2290"/>
      <c r="R215" s="3059">
        <v>3</v>
      </c>
      <c r="S215" s="2150"/>
      <c r="T215" s="2150"/>
      <c r="U215" s="2150"/>
      <c r="V215" s="2150"/>
      <c r="W215" s="2150"/>
      <c r="X215" s="2150"/>
      <c r="Y215" s="2150"/>
      <c r="Z215" s="2150"/>
      <c r="AA215" s="2150"/>
      <c r="AB215" s="2150"/>
      <c r="AC215" s="2150"/>
    </row>
    <row r="216" spans="1:29" s="2643" customFormat="1" ht="58.5" customHeight="1">
      <c r="A216" s="3166"/>
      <c r="B216" s="3038" t="str">
        <f t="shared" si="3"/>
        <v>2000003324</v>
      </c>
      <c r="C216" s="3033" t="s">
        <v>5737</v>
      </c>
      <c r="D216" s="3167">
        <v>4450</v>
      </c>
      <c r="E216" s="3168" t="s">
        <v>8233</v>
      </c>
      <c r="F216" s="3039" t="s">
        <v>54</v>
      </c>
      <c r="G216" s="3168" t="s">
        <v>8300</v>
      </c>
      <c r="H216" s="3168" t="s">
        <v>8301</v>
      </c>
      <c r="I216" s="1921" t="s">
        <v>5253</v>
      </c>
      <c r="J216" s="2824" t="s">
        <v>19</v>
      </c>
      <c r="K216" s="3035" t="s">
        <v>74</v>
      </c>
      <c r="L216" s="2912" t="s">
        <v>8302</v>
      </c>
      <c r="M216" s="3050">
        <v>4450</v>
      </c>
      <c r="N216" s="2915" t="s">
        <v>5454</v>
      </c>
      <c r="O216" s="3033"/>
      <c r="P216" s="3033"/>
      <c r="Q216" s="3077"/>
      <c r="R216" s="3040">
        <v>3</v>
      </c>
    </row>
    <row r="217" spans="1:29" s="2676" customFormat="1" ht="58.5" customHeight="1">
      <c r="A217" s="3211"/>
      <c r="B217" s="3038" t="str">
        <f t="shared" si="3"/>
        <v>2000003293</v>
      </c>
      <c r="C217" s="2180" t="s">
        <v>14</v>
      </c>
      <c r="D217" s="3118">
        <v>3950</v>
      </c>
      <c r="E217" s="3119" t="s">
        <v>8261</v>
      </c>
      <c r="F217" s="1902" t="s">
        <v>54</v>
      </c>
      <c r="G217" s="3119" t="s">
        <v>8303</v>
      </c>
      <c r="H217" s="3119"/>
      <c r="I217" s="3212" t="s">
        <v>5253</v>
      </c>
      <c r="J217" s="2667" t="s">
        <v>19</v>
      </c>
      <c r="K217" s="3119" t="s">
        <v>20</v>
      </c>
      <c r="L217" s="3213" t="s">
        <v>8304</v>
      </c>
      <c r="M217" s="3109">
        <v>955</v>
      </c>
      <c r="N217" s="2915" t="s">
        <v>8305</v>
      </c>
      <c r="O217" s="3214"/>
      <c r="P217" s="3214"/>
      <c r="Q217" s="2162"/>
      <c r="R217" s="3059">
        <v>3</v>
      </c>
      <c r="S217" s="2660"/>
      <c r="T217" s="2660"/>
      <c r="U217" s="2660"/>
      <c r="V217" s="2660"/>
      <c r="W217" s="2660"/>
      <c r="X217" s="2660"/>
      <c r="Y217" s="2660"/>
      <c r="Z217" s="2660"/>
      <c r="AA217" s="2660"/>
      <c r="AB217" s="2660"/>
      <c r="AC217" s="2660"/>
    </row>
    <row r="218" spans="1:29" s="2676" customFormat="1" ht="54.75" customHeight="1">
      <c r="A218" s="3211"/>
      <c r="B218" s="3038" t="str">
        <f t="shared" si="3"/>
        <v>2000003370</v>
      </c>
      <c r="C218" s="1780" t="s">
        <v>14</v>
      </c>
      <c r="D218" s="3118"/>
      <c r="E218" s="3119"/>
      <c r="F218" s="1493" t="s">
        <v>54</v>
      </c>
      <c r="G218" s="3119"/>
      <c r="H218" s="3119"/>
      <c r="I218" s="3212">
        <v>45923</v>
      </c>
      <c r="J218" s="1493" t="s">
        <v>19</v>
      </c>
      <c r="K218" s="3119" t="s">
        <v>20</v>
      </c>
      <c r="L218" s="3073" t="s">
        <v>8306</v>
      </c>
      <c r="M218" s="3109">
        <v>716</v>
      </c>
      <c r="N218" s="3030" t="s">
        <v>8307</v>
      </c>
      <c r="O218" s="3214"/>
      <c r="P218" s="3214"/>
      <c r="Q218" s="2162"/>
      <c r="R218" s="3059">
        <v>3</v>
      </c>
      <c r="S218" s="2660"/>
      <c r="T218" s="2660"/>
      <c r="U218" s="2660"/>
      <c r="V218" s="2660"/>
      <c r="W218" s="2660"/>
      <c r="X218" s="2660"/>
      <c r="Y218" s="2660"/>
      <c r="Z218" s="2660"/>
      <c r="AA218" s="2660"/>
      <c r="AB218" s="2660"/>
      <c r="AC218" s="2660"/>
    </row>
    <row r="219" spans="1:29" s="1548" customFormat="1" ht="58.5" customHeight="1">
      <c r="B219" s="3038" t="str">
        <f t="shared" si="3"/>
        <v>2200002183</v>
      </c>
      <c r="C219" s="1780" t="s">
        <v>14</v>
      </c>
      <c r="D219" s="1494"/>
      <c r="E219" s="3119"/>
      <c r="F219" s="1493" t="s">
        <v>54</v>
      </c>
      <c r="G219" s="1495"/>
      <c r="H219" s="1495"/>
      <c r="I219" s="1495" t="s">
        <v>5253</v>
      </c>
      <c r="J219" s="1493" t="s">
        <v>19</v>
      </c>
      <c r="K219" s="1495" t="s">
        <v>1138</v>
      </c>
      <c r="L219" s="1600" t="s">
        <v>8308</v>
      </c>
      <c r="M219" s="3051">
        <v>130</v>
      </c>
      <c r="N219" s="2915" t="s">
        <v>5279</v>
      </c>
      <c r="O219" s="1493"/>
      <c r="P219" s="1493"/>
      <c r="Q219" s="2590"/>
      <c r="R219" s="3059">
        <v>3</v>
      </c>
      <c r="S219" s="1790"/>
      <c r="T219" s="1790"/>
    </row>
    <row r="220" spans="1:29" s="1467" customFormat="1" ht="58.5" customHeight="1">
      <c r="A220" s="3166"/>
      <c r="B220" s="3038" t="str">
        <f t="shared" si="3"/>
        <v>2000003187</v>
      </c>
      <c r="C220" s="1780" t="s">
        <v>14</v>
      </c>
      <c r="D220" s="3020"/>
      <c r="E220" s="3119"/>
      <c r="F220" s="1493" t="s">
        <v>54</v>
      </c>
      <c r="G220" s="3021"/>
      <c r="H220" s="3021"/>
      <c r="I220" s="1495" t="s">
        <v>5253</v>
      </c>
      <c r="J220" s="1493" t="s">
        <v>19</v>
      </c>
      <c r="K220" s="1495" t="s">
        <v>1138</v>
      </c>
      <c r="L220" s="2880" t="s">
        <v>8309</v>
      </c>
      <c r="M220" s="3054">
        <v>140</v>
      </c>
      <c r="N220" s="2915" t="s">
        <v>8310</v>
      </c>
      <c r="O220" s="3023"/>
      <c r="P220" s="3023"/>
      <c r="Q220" s="3024"/>
      <c r="R220" s="3059">
        <v>3</v>
      </c>
    </row>
    <row r="221" spans="1:29" s="1467" customFormat="1" ht="54" customHeight="1">
      <c r="A221" s="3166"/>
      <c r="B221" s="3038" t="str">
        <f t="shared" si="3"/>
        <v>2000003302</v>
      </c>
      <c r="C221" s="1780" t="s">
        <v>14</v>
      </c>
      <c r="D221" s="3020"/>
      <c r="E221" s="3119"/>
      <c r="F221" s="1493" t="s">
        <v>54</v>
      </c>
      <c r="G221" s="3021"/>
      <c r="H221" s="3021"/>
      <c r="I221" s="3021" t="s">
        <v>5253</v>
      </c>
      <c r="J221" s="1493" t="s">
        <v>19</v>
      </c>
      <c r="K221" s="1495" t="s">
        <v>1138</v>
      </c>
      <c r="L221" s="2880" t="s">
        <v>8311</v>
      </c>
      <c r="M221" s="3054">
        <v>20</v>
      </c>
      <c r="N221" s="2196" t="s">
        <v>5440</v>
      </c>
      <c r="O221" s="3023"/>
      <c r="P221" s="3023"/>
      <c r="Q221" s="3024"/>
      <c r="R221" s="3059">
        <v>3</v>
      </c>
    </row>
    <row r="222" spans="1:29" s="1467" customFormat="1" ht="83.25" customHeight="1">
      <c r="A222" s="3166"/>
      <c r="B222" s="3038" t="str">
        <f t="shared" si="3"/>
        <v>2200002192</v>
      </c>
      <c r="C222" s="1780" t="s">
        <v>14</v>
      </c>
      <c r="D222" s="3020"/>
      <c r="E222" s="3119"/>
      <c r="F222" s="1493" t="s">
        <v>54</v>
      </c>
      <c r="G222" s="3021"/>
      <c r="H222" s="3021"/>
      <c r="I222" s="3021" t="s">
        <v>5253</v>
      </c>
      <c r="J222" s="1493" t="s">
        <v>19</v>
      </c>
      <c r="K222" s="1495" t="s">
        <v>1138</v>
      </c>
      <c r="L222" s="3136" t="s">
        <v>8312</v>
      </c>
      <c r="M222" s="3054">
        <v>1989</v>
      </c>
      <c r="N222" s="2196" t="s">
        <v>8313</v>
      </c>
      <c r="O222" s="3023"/>
      <c r="P222" s="3023"/>
      <c r="Q222" s="3024"/>
      <c r="R222" s="3059">
        <v>3</v>
      </c>
    </row>
    <row r="223" spans="1:29" s="2643" customFormat="1" ht="54.75" customHeight="1">
      <c r="A223" s="3166"/>
      <c r="B223" s="3038" t="str">
        <f t="shared" si="3"/>
        <v>2200002200</v>
      </c>
      <c r="C223" s="3033" t="s">
        <v>2906</v>
      </c>
      <c r="D223" s="3034">
        <v>3500</v>
      </c>
      <c r="E223" s="3035" t="s">
        <v>8314</v>
      </c>
      <c r="F223" s="3033" t="s">
        <v>3416</v>
      </c>
      <c r="G223" s="3035" t="s">
        <v>8315</v>
      </c>
      <c r="H223" s="3035" t="s">
        <v>8233</v>
      </c>
      <c r="I223" s="3035" t="s">
        <v>5253</v>
      </c>
      <c r="J223" s="3033" t="s">
        <v>19</v>
      </c>
      <c r="K223" s="3035" t="s">
        <v>1138</v>
      </c>
      <c r="L223" s="3136" t="s">
        <v>8316</v>
      </c>
      <c r="M223" s="3050">
        <v>454</v>
      </c>
      <c r="N223" s="2196" t="s">
        <v>8317</v>
      </c>
      <c r="O223" s="3033"/>
      <c r="P223" s="3033"/>
      <c r="Q223" s="3037"/>
      <c r="R223" s="1909">
        <v>3</v>
      </c>
    </row>
    <row r="224" spans="1:29" s="1467" customFormat="1" ht="78" customHeight="1">
      <c r="A224" s="3166"/>
      <c r="B224" s="3038" t="str">
        <f t="shared" si="3"/>
        <v>2200002195</v>
      </c>
      <c r="C224" s="3023" t="s">
        <v>2906</v>
      </c>
      <c r="D224" s="3020"/>
      <c r="E224" s="3035"/>
      <c r="F224" s="3023" t="s">
        <v>3416</v>
      </c>
      <c r="G224" s="3021"/>
      <c r="H224" s="3021"/>
      <c r="I224" s="3021" t="s">
        <v>5253</v>
      </c>
      <c r="J224" s="1493" t="s">
        <v>19</v>
      </c>
      <c r="K224" s="3035" t="s">
        <v>1138</v>
      </c>
      <c r="L224" s="2880" t="s">
        <v>8318</v>
      </c>
      <c r="M224" s="3054">
        <v>3046</v>
      </c>
      <c r="N224" s="2196" t="s">
        <v>8317</v>
      </c>
      <c r="O224" s="3023"/>
      <c r="P224" s="3023"/>
      <c r="Q224" s="3024"/>
      <c r="R224" s="1748">
        <v>3</v>
      </c>
    </row>
    <row r="225" spans="1:30" s="2643" customFormat="1" ht="58.5" customHeight="1">
      <c r="A225" s="3166"/>
      <c r="B225" s="3038" t="str">
        <f t="shared" si="3"/>
        <v>2200002199</v>
      </c>
      <c r="C225" s="3033" t="s">
        <v>3399</v>
      </c>
      <c r="D225" s="3034">
        <v>8800</v>
      </c>
      <c r="E225" s="3035" t="s">
        <v>8261</v>
      </c>
      <c r="F225" s="3033" t="s">
        <v>3401</v>
      </c>
      <c r="G225" s="3119" t="s">
        <v>8319</v>
      </c>
      <c r="H225" s="3035" t="s">
        <v>8320</v>
      </c>
      <c r="I225" s="3040" t="s">
        <v>5253</v>
      </c>
      <c r="J225" s="1902" t="s">
        <v>19</v>
      </c>
      <c r="K225" s="3035" t="s">
        <v>1138</v>
      </c>
      <c r="L225" s="3136" t="s">
        <v>8321</v>
      </c>
      <c r="M225" s="3193">
        <v>5056</v>
      </c>
      <c r="N225" s="2196" t="s">
        <v>8246</v>
      </c>
      <c r="O225" s="3033">
        <v>36</v>
      </c>
      <c r="P225" s="3033"/>
      <c r="Q225" s="3037"/>
      <c r="R225" s="3040">
        <v>3</v>
      </c>
    </row>
    <row r="226" spans="1:30" s="2643" customFormat="1" ht="88.5" customHeight="1">
      <c r="A226" s="3166"/>
      <c r="B226" s="3038" t="str">
        <f t="shared" si="3"/>
        <v>2000003340</v>
      </c>
      <c r="C226" s="3023" t="s">
        <v>3399</v>
      </c>
      <c r="D226" s="3034"/>
      <c r="E226" s="3035"/>
      <c r="F226" s="3033" t="s">
        <v>3401</v>
      </c>
      <c r="G226" s="3119"/>
      <c r="H226" s="3035"/>
      <c r="I226" s="3021" t="s">
        <v>5253</v>
      </c>
      <c r="J226" s="1902" t="s">
        <v>19</v>
      </c>
      <c r="K226" s="3021" t="s">
        <v>1138</v>
      </c>
      <c r="L226" s="1496" t="s">
        <v>8322</v>
      </c>
      <c r="M226" s="3107">
        <v>200</v>
      </c>
      <c r="N226" s="2915" t="s">
        <v>5279</v>
      </c>
      <c r="O226" s="3033">
        <v>36</v>
      </c>
      <c r="P226" s="3033"/>
      <c r="Q226" s="3037"/>
      <c r="R226" s="3040">
        <v>3</v>
      </c>
    </row>
    <row r="227" spans="1:30" s="1467" customFormat="1" ht="84" customHeight="1">
      <c r="A227" s="3172"/>
      <c r="B227" s="3038" t="str">
        <f t="shared" si="3"/>
        <v>2000003331</v>
      </c>
      <c r="C227" s="3023" t="s">
        <v>3399</v>
      </c>
      <c r="D227" s="3020"/>
      <c r="E227" s="3035"/>
      <c r="F227" s="3023" t="s">
        <v>3401</v>
      </c>
      <c r="G227" s="3021"/>
      <c r="H227" s="3021"/>
      <c r="I227" s="3021" t="s">
        <v>8323</v>
      </c>
      <c r="J227" s="3023" t="s">
        <v>19</v>
      </c>
      <c r="K227" s="3021" t="s">
        <v>1138</v>
      </c>
      <c r="L227" s="2880" t="s">
        <v>8324</v>
      </c>
      <c r="M227" s="3054">
        <v>3540</v>
      </c>
      <c r="N227" s="2915" t="s">
        <v>5257</v>
      </c>
      <c r="O227" s="3033">
        <v>36</v>
      </c>
      <c r="P227" s="3033"/>
      <c r="Q227" s="3024"/>
      <c r="R227" s="3059">
        <v>3</v>
      </c>
      <c r="S227" s="1548"/>
      <c r="T227" s="1548"/>
      <c r="U227" s="1548"/>
      <c r="V227" s="1548"/>
      <c r="W227" s="1548"/>
      <c r="X227" s="1548"/>
      <c r="Y227" s="1548"/>
      <c r="Z227" s="1548"/>
      <c r="AA227" s="1548"/>
      <c r="AB227" s="1548"/>
      <c r="AC227" s="1548"/>
      <c r="AD227" s="1548"/>
    </row>
    <row r="228" spans="1:30" s="1467" customFormat="1" ht="58.5" customHeight="1">
      <c r="A228" s="3166"/>
      <c r="B228" s="3038" t="str">
        <f t="shared" si="3"/>
        <v>2200002192</v>
      </c>
      <c r="C228" s="3033" t="s">
        <v>8325</v>
      </c>
      <c r="D228" s="3034">
        <v>8800</v>
      </c>
      <c r="E228" s="3035" t="s">
        <v>8261</v>
      </c>
      <c r="F228" s="3033" t="s">
        <v>3401</v>
      </c>
      <c r="G228" s="3119"/>
      <c r="H228" s="3021" t="s">
        <v>8326</v>
      </c>
      <c r="I228" s="3021" t="s">
        <v>5253</v>
      </c>
      <c r="J228" s="3023" t="s">
        <v>1612</v>
      </c>
      <c r="K228" s="3035" t="s">
        <v>1138</v>
      </c>
      <c r="L228" s="3136" t="s">
        <v>8327</v>
      </c>
      <c r="M228" s="3193">
        <v>4500</v>
      </c>
      <c r="N228" s="2196" t="s">
        <v>8313</v>
      </c>
      <c r="O228" s="3023"/>
      <c r="P228" s="3023"/>
      <c r="Q228" s="3024"/>
      <c r="R228" s="1748" t="s">
        <v>8328</v>
      </c>
    </row>
    <row r="229" spans="1:30" s="1467" customFormat="1" ht="58.5" customHeight="1">
      <c r="A229" s="3166"/>
      <c r="B229" s="3038" t="str">
        <f t="shared" si="3"/>
        <v>2000003315</v>
      </c>
      <c r="C229" s="3023" t="s">
        <v>8325</v>
      </c>
      <c r="D229" s="3034"/>
      <c r="E229" s="3035"/>
      <c r="F229" s="3023" t="s">
        <v>3401</v>
      </c>
      <c r="G229" s="3040"/>
      <c r="H229" s="3021"/>
      <c r="I229" s="3021" t="s">
        <v>5253</v>
      </c>
      <c r="J229" s="3023" t="s">
        <v>1612</v>
      </c>
      <c r="K229" s="3021" t="s">
        <v>1138</v>
      </c>
      <c r="L229" s="1600" t="s">
        <v>8329</v>
      </c>
      <c r="M229" s="3051">
        <v>4300</v>
      </c>
      <c r="N229" s="2915" t="s">
        <v>5214</v>
      </c>
      <c r="O229" s="3023"/>
      <c r="P229" s="3023"/>
      <c r="Q229" s="3024"/>
      <c r="R229" s="1748" t="s">
        <v>8328</v>
      </c>
    </row>
    <row r="230" spans="1:30" s="2643" customFormat="1" ht="58.5" customHeight="1">
      <c r="A230" s="2436"/>
      <c r="B230" s="3038" t="str">
        <f t="shared" si="3"/>
        <v>2200002150</v>
      </c>
      <c r="C230" s="1902" t="s">
        <v>5269</v>
      </c>
      <c r="D230" s="3034">
        <v>24000</v>
      </c>
      <c r="E230" s="1921" t="s">
        <v>8266</v>
      </c>
      <c r="F230" s="1902" t="s">
        <v>3416</v>
      </c>
      <c r="G230" s="3119" t="s">
        <v>8330</v>
      </c>
      <c r="H230" s="1921" t="s">
        <v>8331</v>
      </c>
      <c r="I230" s="3040" t="s">
        <v>5253</v>
      </c>
      <c r="J230" s="2563" t="s">
        <v>19</v>
      </c>
      <c r="K230" s="1921" t="s">
        <v>959</v>
      </c>
      <c r="L230" s="3244" t="s">
        <v>8332</v>
      </c>
      <c r="M230" s="3050">
        <v>3465</v>
      </c>
      <c r="N230" s="2915" t="s">
        <v>8333</v>
      </c>
      <c r="O230" s="1902"/>
      <c r="P230" s="1902"/>
      <c r="Q230" s="1745"/>
      <c r="R230" s="1909">
        <v>3</v>
      </c>
      <c r="S230" s="2150"/>
      <c r="T230" s="2150"/>
      <c r="U230" s="2150"/>
      <c r="V230" s="2150"/>
      <c r="W230" s="2150"/>
      <c r="X230" s="2150"/>
      <c r="Y230" s="2150"/>
      <c r="Z230" s="2150"/>
      <c r="AA230" s="2150"/>
      <c r="AB230" s="2150"/>
      <c r="AC230" s="2150"/>
    </row>
    <row r="231" spans="1:30" s="1467" customFormat="1" ht="58.5" customHeight="1">
      <c r="A231" s="1542"/>
      <c r="B231" s="3038" t="str">
        <f t="shared" si="3"/>
        <v>2200002200</v>
      </c>
      <c r="C231" s="1493" t="s">
        <v>5269</v>
      </c>
      <c r="D231" s="1494"/>
      <c r="E231" s="1921"/>
      <c r="F231" s="1493" t="s">
        <v>3416</v>
      </c>
      <c r="G231" s="1773"/>
      <c r="H231" s="1495"/>
      <c r="I231" s="1493" t="s">
        <v>5253</v>
      </c>
      <c r="J231" s="1626" t="s">
        <v>19</v>
      </c>
      <c r="K231" s="1495" t="s">
        <v>959</v>
      </c>
      <c r="L231" s="2880" t="s">
        <v>8334</v>
      </c>
      <c r="M231" s="3054">
        <v>226</v>
      </c>
      <c r="N231" s="2915" t="s">
        <v>8335</v>
      </c>
      <c r="O231" s="1493"/>
      <c r="P231" s="1493"/>
      <c r="Q231" s="2590"/>
      <c r="R231" s="1748">
        <v>3</v>
      </c>
      <c r="S231" s="1548"/>
      <c r="T231" s="1548"/>
      <c r="U231" s="1548"/>
      <c r="V231" s="1548"/>
      <c r="W231" s="1548"/>
      <c r="X231" s="1548"/>
      <c r="Y231" s="1548"/>
      <c r="Z231" s="1548"/>
      <c r="AA231" s="1548"/>
      <c r="AB231" s="1548"/>
      <c r="AC231" s="1548"/>
    </row>
    <row r="232" spans="1:30" s="1467" customFormat="1" ht="66" customHeight="1">
      <c r="A232" s="3166"/>
      <c r="B232" s="3038" t="str">
        <f t="shared" si="3"/>
        <v>2200002194</v>
      </c>
      <c r="C232" s="1493" t="s">
        <v>5269</v>
      </c>
      <c r="D232" s="3020"/>
      <c r="E232" s="3035"/>
      <c r="F232" s="1493" t="s">
        <v>3416</v>
      </c>
      <c r="G232" s="3021"/>
      <c r="H232" s="3173"/>
      <c r="I232" s="1493" t="s">
        <v>5253</v>
      </c>
      <c r="J232" s="1626" t="s">
        <v>19</v>
      </c>
      <c r="K232" s="1495" t="s">
        <v>959</v>
      </c>
      <c r="L232" s="2880" t="s">
        <v>8336</v>
      </c>
      <c r="M232" s="3054">
        <v>2215</v>
      </c>
      <c r="N232" s="3228" t="s">
        <v>8337</v>
      </c>
      <c r="O232" s="3023"/>
      <c r="P232" s="3023"/>
      <c r="Q232" s="3245"/>
      <c r="R232" s="3059">
        <v>3</v>
      </c>
    </row>
    <row r="233" spans="1:30" s="1467" customFormat="1" ht="61.5" customHeight="1">
      <c r="A233" s="3166"/>
      <c r="B233" s="3038" t="str">
        <f t="shared" si="3"/>
        <v>2200002201</v>
      </c>
      <c r="C233" s="1493" t="s">
        <v>5269</v>
      </c>
      <c r="D233" s="3020"/>
      <c r="E233" s="3035"/>
      <c r="F233" s="1493" t="s">
        <v>3416</v>
      </c>
      <c r="G233" s="3021"/>
      <c r="H233" s="3173"/>
      <c r="I233" s="1493" t="s">
        <v>5253</v>
      </c>
      <c r="J233" s="1493" t="s">
        <v>19</v>
      </c>
      <c r="K233" s="1495" t="s">
        <v>959</v>
      </c>
      <c r="L233" s="2880" t="s">
        <v>8338</v>
      </c>
      <c r="M233" s="3054">
        <v>181</v>
      </c>
      <c r="N233" s="3228" t="s">
        <v>8296</v>
      </c>
      <c r="O233" s="3023"/>
      <c r="P233" s="3023"/>
      <c r="Q233" s="3024"/>
      <c r="R233" s="3059">
        <v>3</v>
      </c>
    </row>
    <row r="234" spans="1:30" s="1467" customFormat="1" ht="58.5" customHeight="1">
      <c r="A234" s="3166"/>
      <c r="B234" s="3038" t="str">
        <f t="shared" si="3"/>
        <v>2200002192</v>
      </c>
      <c r="C234" s="1493" t="s">
        <v>5269</v>
      </c>
      <c r="D234" s="3020"/>
      <c r="E234" s="3035"/>
      <c r="F234" s="1493" t="s">
        <v>3416</v>
      </c>
      <c r="G234" s="3021"/>
      <c r="H234" s="3173"/>
      <c r="I234" s="1493" t="s">
        <v>5253</v>
      </c>
      <c r="J234" s="1626" t="s">
        <v>19</v>
      </c>
      <c r="K234" s="1495" t="s">
        <v>959</v>
      </c>
      <c r="L234" s="3243" t="s">
        <v>8339</v>
      </c>
      <c r="M234" s="3054">
        <v>311</v>
      </c>
      <c r="N234" s="2196" t="s">
        <v>8313</v>
      </c>
      <c r="O234" s="3023"/>
      <c r="P234" s="3023"/>
      <c r="Q234" s="3024"/>
      <c r="R234" s="3059">
        <v>3</v>
      </c>
    </row>
    <row r="235" spans="1:30" s="1467" customFormat="1" ht="61.5" customHeight="1">
      <c r="A235" s="3166"/>
      <c r="B235" s="3038" t="str">
        <f t="shared" si="3"/>
        <v>2200002167</v>
      </c>
      <c r="C235" s="1493" t="s">
        <v>5269</v>
      </c>
      <c r="D235" s="3020"/>
      <c r="E235" s="3035"/>
      <c r="F235" s="1493" t="s">
        <v>3416</v>
      </c>
      <c r="G235" s="3021"/>
      <c r="H235" s="3173"/>
      <c r="I235" s="1493" t="s">
        <v>5253</v>
      </c>
      <c r="J235" s="1626" t="s">
        <v>19</v>
      </c>
      <c r="K235" s="1495" t="s">
        <v>959</v>
      </c>
      <c r="L235" s="3243" t="s">
        <v>8340</v>
      </c>
      <c r="M235" s="3054">
        <v>4366</v>
      </c>
      <c r="N235" s="2915" t="s">
        <v>5257</v>
      </c>
      <c r="O235" s="3023"/>
      <c r="P235" s="3023"/>
      <c r="Q235" s="3024"/>
      <c r="R235" s="3059">
        <v>3</v>
      </c>
    </row>
    <row r="236" spans="1:30" s="1467" customFormat="1" ht="64.5" customHeight="1">
      <c r="A236" s="3166"/>
      <c r="B236" s="3038" t="str">
        <f t="shared" si="3"/>
        <v>2200002202</v>
      </c>
      <c r="C236" s="1493" t="s">
        <v>5269</v>
      </c>
      <c r="D236" s="3020"/>
      <c r="E236" s="3035"/>
      <c r="F236" s="1493" t="s">
        <v>3416</v>
      </c>
      <c r="G236" s="3021"/>
      <c r="H236" s="3173"/>
      <c r="I236" s="1493" t="s">
        <v>5253</v>
      </c>
      <c r="J236" s="1626" t="s">
        <v>19</v>
      </c>
      <c r="K236" s="1495" t="s">
        <v>959</v>
      </c>
      <c r="L236" s="3243" t="s">
        <v>8341</v>
      </c>
      <c r="M236" s="3054">
        <v>5226</v>
      </c>
      <c r="N236" s="3228" t="s">
        <v>8296</v>
      </c>
      <c r="O236" s="3023"/>
      <c r="P236" s="3023"/>
      <c r="Q236" s="3024"/>
      <c r="R236" s="3059">
        <v>3</v>
      </c>
    </row>
    <row r="237" spans="1:30" s="1467" customFormat="1" ht="58.5" customHeight="1">
      <c r="A237" s="3166"/>
      <c r="B237" s="3038" t="str">
        <f t="shared" si="3"/>
        <v>2200002204</v>
      </c>
      <c r="C237" s="1493" t="s">
        <v>5269</v>
      </c>
      <c r="D237" s="3020"/>
      <c r="E237" s="3035"/>
      <c r="F237" s="1493" t="s">
        <v>3416</v>
      </c>
      <c r="G237" s="3021"/>
      <c r="H237" s="3173"/>
      <c r="I237" s="1493" t="s">
        <v>5253</v>
      </c>
      <c r="J237" s="1626" t="s">
        <v>19</v>
      </c>
      <c r="K237" s="1495" t="s">
        <v>959</v>
      </c>
      <c r="L237" s="3243" t="s">
        <v>8342</v>
      </c>
      <c r="M237" s="3054">
        <v>1597</v>
      </c>
      <c r="N237" s="3228" t="s">
        <v>8296</v>
      </c>
      <c r="O237" s="3023"/>
      <c r="P237" s="3023"/>
      <c r="Q237" s="3024"/>
      <c r="R237" s="3059">
        <v>3</v>
      </c>
    </row>
    <row r="238" spans="1:30" s="1467" customFormat="1" ht="60.75" customHeight="1">
      <c r="A238" s="3166"/>
      <c r="B238" s="3038" t="str">
        <f t="shared" si="3"/>
        <v>2200002205</v>
      </c>
      <c r="C238" s="1493" t="s">
        <v>5269</v>
      </c>
      <c r="D238" s="3020"/>
      <c r="E238" s="3035"/>
      <c r="F238" s="1493" t="s">
        <v>3416</v>
      </c>
      <c r="G238" s="3021"/>
      <c r="H238" s="3173"/>
      <c r="I238" s="1493" t="s">
        <v>5253</v>
      </c>
      <c r="J238" s="1626" t="s">
        <v>19</v>
      </c>
      <c r="K238" s="1495" t="s">
        <v>959</v>
      </c>
      <c r="L238" s="3243" t="s">
        <v>8343</v>
      </c>
      <c r="M238" s="3054">
        <v>426</v>
      </c>
      <c r="N238" s="3228" t="s">
        <v>8296</v>
      </c>
      <c r="O238" s="3023"/>
      <c r="P238" s="3023"/>
      <c r="Q238" s="3024"/>
      <c r="R238" s="3059">
        <v>3</v>
      </c>
    </row>
    <row r="239" spans="1:30" s="1467" customFormat="1" ht="53.25" customHeight="1">
      <c r="A239" s="3166"/>
      <c r="B239" s="3038" t="str">
        <f t="shared" si="3"/>
        <v>2200002209</v>
      </c>
      <c r="C239" s="1493" t="s">
        <v>5269</v>
      </c>
      <c r="D239" s="3020"/>
      <c r="E239" s="3035"/>
      <c r="F239" s="1493" t="s">
        <v>3416</v>
      </c>
      <c r="G239" s="3021"/>
      <c r="H239" s="3173"/>
      <c r="I239" s="1493" t="s">
        <v>5253</v>
      </c>
      <c r="J239" s="1626" t="s">
        <v>19</v>
      </c>
      <c r="K239" s="1495" t="s">
        <v>959</v>
      </c>
      <c r="L239" s="3243" t="s">
        <v>8344</v>
      </c>
      <c r="M239" s="3054">
        <v>1691</v>
      </c>
      <c r="N239" s="3228" t="s">
        <v>8296</v>
      </c>
      <c r="O239" s="3023"/>
      <c r="P239" s="3023"/>
      <c r="Q239" s="3024"/>
      <c r="R239" s="3059">
        <v>3</v>
      </c>
    </row>
    <row r="240" spans="1:30" s="1467" customFormat="1" ht="86.25" customHeight="1">
      <c r="A240" s="3166"/>
      <c r="B240" s="3038" t="str">
        <f t="shared" si="3"/>
        <v>2200002210</v>
      </c>
      <c r="C240" s="1493" t="s">
        <v>5269</v>
      </c>
      <c r="D240" s="3020"/>
      <c r="E240" s="3035"/>
      <c r="F240" s="1493" t="s">
        <v>3416</v>
      </c>
      <c r="G240" s="3021"/>
      <c r="H240" s="3173"/>
      <c r="I240" s="1493" t="s">
        <v>5253</v>
      </c>
      <c r="J240" s="1626" t="s">
        <v>19</v>
      </c>
      <c r="K240" s="1495" t="s">
        <v>959</v>
      </c>
      <c r="L240" s="3243" t="s">
        <v>8345</v>
      </c>
      <c r="M240" s="3054">
        <v>296</v>
      </c>
      <c r="N240" s="2915" t="s">
        <v>8346</v>
      </c>
      <c r="O240" s="3023"/>
      <c r="P240" s="3023"/>
      <c r="Q240" s="3024"/>
      <c r="R240" s="3059">
        <v>3</v>
      </c>
    </row>
    <row r="241" spans="1:35" s="1467" customFormat="1" ht="57" customHeight="1">
      <c r="A241" s="3166"/>
      <c r="B241" s="3038" t="str">
        <f t="shared" si="3"/>
        <v>2200002193</v>
      </c>
      <c r="C241" s="1493" t="s">
        <v>5269</v>
      </c>
      <c r="D241" s="3020"/>
      <c r="E241" s="3035"/>
      <c r="F241" s="1493" t="s">
        <v>3416</v>
      </c>
      <c r="G241" s="3021"/>
      <c r="H241" s="3173"/>
      <c r="I241" s="1493" t="s">
        <v>5253</v>
      </c>
      <c r="J241" s="1626" t="s">
        <v>19</v>
      </c>
      <c r="K241" s="1495" t="s">
        <v>959</v>
      </c>
      <c r="L241" s="3244" t="s">
        <v>8347</v>
      </c>
      <c r="M241" s="3054">
        <v>4000</v>
      </c>
      <c r="N241" s="2915" t="s">
        <v>5214</v>
      </c>
      <c r="O241" s="3023"/>
      <c r="P241" s="3023"/>
      <c r="Q241" s="3024"/>
      <c r="R241" s="3059">
        <v>3</v>
      </c>
    </row>
    <row r="242" spans="1:35" s="2643" customFormat="1" ht="58.5" customHeight="1">
      <c r="A242" s="3206"/>
      <c r="B242" s="3035" t="str">
        <f t="shared" si="3"/>
        <v>2200002150</v>
      </c>
      <c r="C242" s="3142" t="s">
        <v>5675</v>
      </c>
      <c r="D242" s="3034">
        <v>4350</v>
      </c>
      <c r="E242" s="3035" t="s">
        <v>8348</v>
      </c>
      <c r="F242" s="1902" t="s">
        <v>61</v>
      </c>
      <c r="G242" s="3035"/>
      <c r="H242" s="3168"/>
      <c r="I242" s="3168" t="s">
        <v>5253</v>
      </c>
      <c r="J242" s="2563" t="s">
        <v>8349</v>
      </c>
      <c r="K242" s="1921" t="s">
        <v>1138</v>
      </c>
      <c r="L242" s="3207" t="s">
        <v>8350</v>
      </c>
      <c r="M242" s="3050">
        <v>4350</v>
      </c>
      <c r="N242" s="2915" t="s">
        <v>8333</v>
      </c>
      <c r="O242" s="3033"/>
      <c r="P242" s="3033"/>
      <c r="Q242" s="3037"/>
      <c r="R242" s="3059">
        <v>3</v>
      </c>
    </row>
    <row r="243" spans="1:35" s="2150" customFormat="1" ht="75.75" customHeight="1">
      <c r="A243" s="3206"/>
      <c r="B243" s="3035" t="str">
        <f t="shared" si="3"/>
        <v>2200002150</v>
      </c>
      <c r="C243" s="3142" t="s">
        <v>8351</v>
      </c>
      <c r="D243" s="3034">
        <v>24200</v>
      </c>
      <c r="E243" s="3035" t="s">
        <v>8352</v>
      </c>
      <c r="F243" s="1902" t="s">
        <v>3416</v>
      </c>
      <c r="G243" s="3035" t="s">
        <v>8353</v>
      </c>
      <c r="H243" s="3168" t="s">
        <v>8354</v>
      </c>
      <c r="I243" s="3168" t="s">
        <v>5253</v>
      </c>
      <c r="J243" s="2563" t="s">
        <v>19</v>
      </c>
      <c r="K243" s="1921" t="s">
        <v>959</v>
      </c>
      <c r="L243" s="3244" t="s">
        <v>8355</v>
      </c>
      <c r="M243" s="3050">
        <v>6900</v>
      </c>
      <c r="N243" s="2915" t="s">
        <v>8356</v>
      </c>
      <c r="O243" s="3033"/>
      <c r="P243" s="3033"/>
      <c r="Q243" s="3037" t="s">
        <v>8357</v>
      </c>
      <c r="R243" s="3059">
        <v>3</v>
      </c>
      <c r="S243" s="2643"/>
      <c r="T243" s="2643"/>
      <c r="U243" s="2643"/>
      <c r="V243" s="2643"/>
      <c r="W243" s="2643"/>
      <c r="X243" s="2643"/>
      <c r="Y243" s="2643"/>
      <c r="Z243" s="2643"/>
      <c r="AA243" s="2643"/>
      <c r="AB243" s="2643"/>
      <c r="AC243" s="2643"/>
      <c r="AD243" s="2643"/>
      <c r="AE243" s="2643"/>
      <c r="AF243" s="2643"/>
      <c r="AG243" s="2643"/>
      <c r="AH243" s="2643"/>
      <c r="AI243" s="2643"/>
    </row>
    <row r="244" spans="1:35" s="2643" customFormat="1" ht="58.5" customHeight="1">
      <c r="A244" s="3206"/>
      <c r="B244" s="3035" t="str">
        <f t="shared" si="3"/>
        <v>2000003347</v>
      </c>
      <c r="C244" s="3140" t="s">
        <v>4417</v>
      </c>
      <c r="D244" s="3034"/>
      <c r="E244" s="3035" t="s">
        <v>8352</v>
      </c>
      <c r="F244" s="1493" t="s">
        <v>3416</v>
      </c>
      <c r="G244" s="3035" t="s">
        <v>8353</v>
      </c>
      <c r="H244" s="3168"/>
      <c r="I244" s="1495" t="s">
        <v>5253</v>
      </c>
      <c r="J244" s="1626" t="s">
        <v>8358</v>
      </c>
      <c r="K244" s="1495" t="s">
        <v>959</v>
      </c>
      <c r="L244" s="3243" t="s">
        <v>8359</v>
      </c>
      <c r="M244" s="3054">
        <v>10000</v>
      </c>
      <c r="N244" s="2915" t="s">
        <v>5257</v>
      </c>
      <c r="O244" s="3033"/>
      <c r="P244" s="3033"/>
      <c r="Q244" s="3037"/>
      <c r="R244" s="3059">
        <v>3</v>
      </c>
    </row>
    <row r="245" spans="1:35" s="1467" customFormat="1" ht="58.5" customHeight="1">
      <c r="A245" s="3206"/>
      <c r="B245" s="3035" t="str">
        <f t="shared" si="3"/>
        <v>2000003356</v>
      </c>
      <c r="C245" s="3140" t="s">
        <v>4417</v>
      </c>
      <c r="D245" s="3020"/>
      <c r="E245" s="3035" t="s">
        <v>8352</v>
      </c>
      <c r="F245" s="1493" t="s">
        <v>3416</v>
      </c>
      <c r="G245" s="3035" t="s">
        <v>8353</v>
      </c>
      <c r="H245" s="3173"/>
      <c r="I245" s="3168" t="s">
        <v>5253</v>
      </c>
      <c r="J245" s="1626" t="s">
        <v>8358</v>
      </c>
      <c r="K245" s="1495" t="s">
        <v>959</v>
      </c>
      <c r="L245" s="3243" t="s">
        <v>8360</v>
      </c>
      <c r="M245" s="3054">
        <v>1000</v>
      </c>
      <c r="N245" s="2915" t="s">
        <v>5214</v>
      </c>
      <c r="O245" s="3023"/>
      <c r="P245" s="3023"/>
      <c r="Q245" s="3024"/>
      <c r="R245" s="3059">
        <v>3</v>
      </c>
    </row>
    <row r="246" spans="1:35" s="1467" customFormat="1" ht="58.5" customHeight="1">
      <c r="A246" s="3206"/>
      <c r="B246" s="3210" t="str">
        <f t="shared" si="3"/>
        <v>2000003355</v>
      </c>
      <c r="C246" s="3140" t="s">
        <v>4417</v>
      </c>
      <c r="D246" s="3020"/>
      <c r="E246" s="3035" t="s">
        <v>8352</v>
      </c>
      <c r="F246" s="1493" t="s">
        <v>3416</v>
      </c>
      <c r="G246" s="3035" t="s">
        <v>8353</v>
      </c>
      <c r="H246" s="3173"/>
      <c r="I246" s="3168" t="s">
        <v>5253</v>
      </c>
      <c r="J246" s="1626" t="s">
        <v>8358</v>
      </c>
      <c r="K246" s="1495" t="s">
        <v>959</v>
      </c>
      <c r="L246" s="3243" t="s">
        <v>8361</v>
      </c>
      <c r="M246" s="3054">
        <v>5000</v>
      </c>
      <c r="N246" s="2915" t="s">
        <v>8362</v>
      </c>
      <c r="O246" s="3023"/>
      <c r="P246" s="3023"/>
      <c r="Q246" s="3024"/>
      <c r="R246" s="3059">
        <v>3</v>
      </c>
    </row>
    <row r="247" spans="1:35" s="1467" customFormat="1" ht="58.5" customHeight="1">
      <c r="A247" s="3206"/>
      <c r="B247" s="3035" t="str">
        <f t="shared" si="3"/>
        <v>2000003346</v>
      </c>
      <c r="C247" s="3140" t="s">
        <v>4417</v>
      </c>
      <c r="D247" s="3020"/>
      <c r="E247" s="3035" t="s">
        <v>8352</v>
      </c>
      <c r="F247" s="1493" t="s">
        <v>3416</v>
      </c>
      <c r="G247" s="3035" t="s">
        <v>8353</v>
      </c>
      <c r="H247" s="3173"/>
      <c r="I247" s="1495" t="s">
        <v>5253</v>
      </c>
      <c r="J247" s="1626" t="s">
        <v>8358</v>
      </c>
      <c r="K247" s="1495" t="s">
        <v>959</v>
      </c>
      <c r="L247" s="3243" t="s">
        <v>8363</v>
      </c>
      <c r="M247" s="3054">
        <v>1300</v>
      </c>
      <c r="N247" s="2915" t="s">
        <v>5214</v>
      </c>
      <c r="O247" s="3023"/>
      <c r="P247" s="3023"/>
      <c r="Q247" s="3024"/>
      <c r="R247" s="3059">
        <v>3</v>
      </c>
    </row>
    <row r="248" spans="1:35" s="2643" customFormat="1" ht="58.5" customHeight="1">
      <c r="A248" s="3732"/>
      <c r="B248" s="3276" t="str">
        <f t="shared" si="3"/>
        <v>2400001306</v>
      </c>
      <c r="C248" s="3033" t="s">
        <v>8364</v>
      </c>
      <c r="D248" s="3034">
        <v>35000</v>
      </c>
      <c r="E248" s="3035" t="s">
        <v>8365</v>
      </c>
      <c r="F248" s="3033" t="s">
        <v>3421</v>
      </c>
      <c r="G248" s="3035" t="s">
        <v>8366</v>
      </c>
      <c r="H248" s="3035" t="s">
        <v>5443</v>
      </c>
      <c r="I248" s="3035" t="s">
        <v>8367</v>
      </c>
      <c r="J248" s="3033" t="s">
        <v>19</v>
      </c>
      <c r="K248" s="3035" t="s">
        <v>7925</v>
      </c>
      <c r="L248" s="2912" t="s">
        <v>8368</v>
      </c>
      <c r="M248" s="3050">
        <v>6200</v>
      </c>
      <c r="N248" s="3035" t="s">
        <v>8369</v>
      </c>
      <c r="O248" s="3033"/>
      <c r="P248" s="3033"/>
      <c r="Q248" s="3077" t="s">
        <v>8370</v>
      </c>
      <c r="R248" s="3040">
        <v>3</v>
      </c>
      <c r="S248" s="2150"/>
      <c r="T248" s="2150"/>
      <c r="U248" s="2150"/>
      <c r="V248" s="2150"/>
      <c r="W248" s="2150"/>
      <c r="X248" s="2150"/>
      <c r="Y248" s="2150"/>
      <c r="Z248" s="2150"/>
      <c r="AA248" s="2150"/>
      <c r="AB248" s="2150"/>
      <c r="AC248" s="2150"/>
      <c r="AD248" s="2150"/>
    </row>
    <row r="249" spans="1:35" s="1467" customFormat="1" ht="58.5" customHeight="1">
      <c r="A249" s="3733"/>
      <c r="B249" s="3038" t="str">
        <f t="shared" si="3"/>
        <v>2400001305</v>
      </c>
      <c r="C249" s="3023" t="s">
        <v>8364</v>
      </c>
      <c r="D249" s="3020"/>
      <c r="E249" s="3035"/>
      <c r="F249" s="3023" t="s">
        <v>3421</v>
      </c>
      <c r="G249" s="3021"/>
      <c r="H249" s="3021"/>
      <c r="I249" s="3021" t="s">
        <v>8367</v>
      </c>
      <c r="J249" s="3023" t="s">
        <v>19</v>
      </c>
      <c r="K249" s="3021" t="s">
        <v>7925</v>
      </c>
      <c r="L249" s="2880" t="s">
        <v>8371</v>
      </c>
      <c r="M249" s="3054">
        <f>35000-M248-M250</f>
        <v>26200</v>
      </c>
      <c r="N249" s="3021" t="s">
        <v>8372</v>
      </c>
      <c r="O249" s="3023"/>
      <c r="P249" s="3023"/>
      <c r="Q249" s="3138" t="s">
        <v>8373</v>
      </c>
      <c r="R249" s="3059">
        <v>3</v>
      </c>
      <c r="S249" s="1548"/>
      <c r="T249" s="1548"/>
      <c r="U249" s="1548"/>
      <c r="V249" s="1548"/>
      <c r="W249" s="1548"/>
      <c r="X249" s="1548"/>
      <c r="Y249" s="1548"/>
      <c r="Z249" s="1548"/>
      <c r="AA249" s="1548"/>
      <c r="AB249" s="1548"/>
      <c r="AC249" s="1548"/>
      <c r="AD249" s="1548"/>
    </row>
    <row r="250" spans="1:35" s="1467" customFormat="1" ht="58.5" customHeight="1">
      <c r="A250" s="3734"/>
      <c r="B250" s="3038" t="str">
        <f t="shared" si="3"/>
        <v>2400001309</v>
      </c>
      <c r="C250" s="3023" t="s">
        <v>8364</v>
      </c>
      <c r="D250" s="3020"/>
      <c r="E250" s="3035"/>
      <c r="F250" s="3023" t="s">
        <v>3421</v>
      </c>
      <c r="G250" s="3021"/>
      <c r="H250" s="3021"/>
      <c r="I250" s="3021" t="s">
        <v>8367</v>
      </c>
      <c r="J250" s="3023" t="s">
        <v>19</v>
      </c>
      <c r="K250" s="3021" t="s">
        <v>7925</v>
      </c>
      <c r="L250" s="2880" t="s">
        <v>8374</v>
      </c>
      <c r="M250" s="3054">
        <v>2600</v>
      </c>
      <c r="N250" s="2196" t="s">
        <v>8375</v>
      </c>
      <c r="O250" s="3023"/>
      <c r="P250" s="3023"/>
      <c r="Q250" s="3138" t="s">
        <v>8373</v>
      </c>
      <c r="R250" s="3059">
        <v>3</v>
      </c>
      <c r="S250" s="1548"/>
      <c r="T250" s="1548"/>
      <c r="U250" s="1548"/>
      <c r="V250" s="1548"/>
      <c r="W250" s="1548"/>
      <c r="X250" s="1548"/>
      <c r="Y250" s="1548"/>
      <c r="Z250" s="1548"/>
      <c r="AA250" s="1548"/>
      <c r="AB250" s="1548"/>
      <c r="AC250" s="1548"/>
      <c r="AD250" s="1548"/>
    </row>
    <row r="251" spans="1:35" s="2643" customFormat="1" ht="58.5" customHeight="1">
      <c r="A251" s="3732"/>
      <c r="B251" s="3038" t="str">
        <f t="shared" si="3"/>
        <v>2000003323</v>
      </c>
      <c r="C251" s="1902" t="s">
        <v>3109</v>
      </c>
      <c r="D251" s="3167">
        <v>18500</v>
      </c>
      <c r="E251" s="3168" t="s">
        <v>8233</v>
      </c>
      <c r="F251" s="3142" t="s">
        <v>3401</v>
      </c>
      <c r="G251" s="3035" t="s">
        <v>8376</v>
      </c>
      <c r="H251" s="3035" t="s">
        <v>8377</v>
      </c>
      <c r="I251" s="1495" t="s">
        <v>5253</v>
      </c>
      <c r="J251" s="3033" t="s">
        <v>1612</v>
      </c>
      <c r="K251" s="3035" t="s">
        <v>123</v>
      </c>
      <c r="L251" s="2912" t="s">
        <v>8378</v>
      </c>
      <c r="M251" s="3050">
        <v>3000</v>
      </c>
      <c r="N251" s="2915" t="s">
        <v>5257</v>
      </c>
      <c r="O251" s="3033">
        <v>3103</v>
      </c>
      <c r="P251" s="3033"/>
      <c r="Q251" s="3037"/>
      <c r="R251" s="1748" t="s">
        <v>8328</v>
      </c>
    </row>
    <row r="252" spans="1:35" s="1467" customFormat="1" ht="58.5" customHeight="1">
      <c r="A252" s="3733"/>
      <c r="B252" s="3038" t="str">
        <f t="shared" si="3"/>
        <v>2000003310</v>
      </c>
      <c r="C252" s="1493" t="s">
        <v>3109</v>
      </c>
      <c r="D252" s="3020"/>
      <c r="E252" s="3035"/>
      <c r="F252" s="1493" t="s">
        <v>3401</v>
      </c>
      <c r="G252" s="3021"/>
      <c r="H252" s="3021"/>
      <c r="I252" s="1493" t="s">
        <v>5253</v>
      </c>
      <c r="J252" s="3033" t="s">
        <v>1612</v>
      </c>
      <c r="K252" s="3021" t="s">
        <v>123</v>
      </c>
      <c r="L252" s="2880" t="s">
        <v>8379</v>
      </c>
      <c r="M252" s="3054">
        <v>2000</v>
      </c>
      <c r="N252" s="2915" t="s">
        <v>8380</v>
      </c>
      <c r="O252" s="3023">
        <v>1955</v>
      </c>
      <c r="P252" s="3023"/>
      <c r="Q252" s="3138" t="s">
        <v>8381</v>
      </c>
      <c r="R252" s="1748" t="s">
        <v>8328</v>
      </c>
    </row>
    <row r="253" spans="1:35" s="1467" customFormat="1" ht="58.5" customHeight="1">
      <c r="A253" s="3733"/>
      <c r="B253" s="3038" t="str">
        <f t="shared" si="3"/>
        <v>2000003365</v>
      </c>
      <c r="C253" s="1545" t="s">
        <v>3109</v>
      </c>
      <c r="D253" s="2613"/>
      <c r="E253" s="1921"/>
      <c r="F253" s="3140" t="s">
        <v>3401</v>
      </c>
      <c r="G253" s="1495"/>
      <c r="H253" s="1495"/>
      <c r="I253" s="1495" t="s">
        <v>5253</v>
      </c>
      <c r="J253" s="3033" t="s">
        <v>1612</v>
      </c>
      <c r="K253" s="1495" t="s">
        <v>123</v>
      </c>
      <c r="L253" s="1496" t="s">
        <v>8382</v>
      </c>
      <c r="M253" s="3051">
        <v>2000</v>
      </c>
      <c r="N253" s="2915" t="s">
        <v>5257</v>
      </c>
      <c r="O253" s="1493">
        <v>2098</v>
      </c>
      <c r="P253" s="1548"/>
      <c r="Q253" s="2590"/>
      <c r="R253" s="1748" t="s">
        <v>8328</v>
      </c>
    </row>
    <row r="254" spans="1:35" s="1548" customFormat="1" ht="58.5" customHeight="1">
      <c r="A254" s="3733"/>
      <c r="B254" s="3038" t="str">
        <f t="shared" si="3"/>
        <v>2200002207</v>
      </c>
      <c r="C254" s="1493" t="s">
        <v>3109</v>
      </c>
      <c r="E254" s="1807"/>
      <c r="F254" s="3140" t="s">
        <v>3401</v>
      </c>
      <c r="I254" s="1493" t="s">
        <v>5253</v>
      </c>
      <c r="J254" s="3033" t="s">
        <v>1612</v>
      </c>
      <c r="K254" s="3174" t="s">
        <v>63</v>
      </c>
      <c r="L254" s="1843" t="s">
        <v>5428</v>
      </c>
      <c r="M254" s="3242">
        <v>3200</v>
      </c>
      <c r="N254" s="2196" t="s">
        <v>5429</v>
      </c>
      <c r="O254" s="1493"/>
      <c r="R254" s="1748" t="s">
        <v>8328</v>
      </c>
    </row>
    <row r="255" spans="1:35" s="1467" customFormat="1" ht="58.5" customHeight="1">
      <c r="A255" s="3733"/>
      <c r="B255" s="3038" t="str">
        <f t="shared" si="3"/>
        <v>2000003374</v>
      </c>
      <c r="C255" s="1493" t="s">
        <v>3109</v>
      </c>
      <c r="D255" s="3020"/>
      <c r="E255" s="3210"/>
      <c r="F255" s="3140" t="s">
        <v>3401</v>
      </c>
      <c r="G255" s="3021"/>
      <c r="H255" s="3021"/>
      <c r="I255" s="1493" t="s">
        <v>5253</v>
      </c>
      <c r="J255" s="3033" t="s">
        <v>1612</v>
      </c>
      <c r="K255" s="3174" t="s">
        <v>63</v>
      </c>
      <c r="L255" s="3243" t="s">
        <v>8383</v>
      </c>
      <c r="M255" s="3054">
        <v>4000</v>
      </c>
      <c r="N255" s="2915" t="s">
        <v>5257</v>
      </c>
      <c r="O255" s="3023">
        <v>3985</v>
      </c>
      <c r="P255" s="3023"/>
      <c r="Q255" s="3138" t="s">
        <v>8384</v>
      </c>
      <c r="R255" s="1748" t="s">
        <v>8328</v>
      </c>
    </row>
    <row r="256" spans="1:35" s="1467" customFormat="1" ht="58.5" customHeight="1">
      <c r="A256" s="3734"/>
      <c r="B256" s="3038" t="str">
        <f t="shared" si="3"/>
        <v>2000003376</v>
      </c>
      <c r="C256" s="1493" t="s">
        <v>3109</v>
      </c>
      <c r="D256" s="3020"/>
      <c r="E256" s="3210"/>
      <c r="F256" s="3140" t="s">
        <v>3401</v>
      </c>
      <c r="G256" s="3021"/>
      <c r="H256" s="3021"/>
      <c r="I256" s="1493" t="s">
        <v>5253</v>
      </c>
      <c r="J256" s="3033" t="s">
        <v>1612</v>
      </c>
      <c r="K256" s="3174" t="s">
        <v>63</v>
      </c>
      <c r="L256" s="3243" t="s">
        <v>8385</v>
      </c>
      <c r="M256" s="3054">
        <v>4221</v>
      </c>
      <c r="N256" s="2915" t="s">
        <v>8380</v>
      </c>
      <c r="O256" s="3023">
        <v>4221</v>
      </c>
      <c r="P256" s="3023"/>
      <c r="Q256" s="3138" t="s">
        <v>8384</v>
      </c>
      <c r="R256" s="1748" t="s">
        <v>8328</v>
      </c>
    </row>
    <row r="257" spans="1:36" s="1467" customFormat="1" ht="58.5" customHeight="1">
      <c r="A257" s="3735"/>
      <c r="B257" s="3038" t="str">
        <f t="shared" si="3"/>
        <v>2000003311</v>
      </c>
      <c r="C257" s="1493" t="s">
        <v>71</v>
      </c>
      <c r="D257" s="2325"/>
      <c r="E257" s="1921"/>
      <c r="F257" s="1493" t="s">
        <v>89</v>
      </c>
      <c r="G257" s="1495"/>
      <c r="H257" s="1495"/>
      <c r="I257" s="1921" t="s">
        <v>5253</v>
      </c>
      <c r="J257" s="1902" t="s">
        <v>19</v>
      </c>
      <c r="K257" s="1921" t="s">
        <v>74</v>
      </c>
      <c r="L257" s="2908" t="s">
        <v>8386</v>
      </c>
      <c r="M257" s="3055">
        <v>1200</v>
      </c>
      <c r="N257" s="2506" t="s">
        <v>8380</v>
      </c>
      <c r="O257" s="1545"/>
      <c r="P257" s="1545"/>
      <c r="Q257" s="2591"/>
      <c r="R257" s="3182">
        <v>3</v>
      </c>
      <c r="S257" s="1790"/>
      <c r="T257" s="1790"/>
      <c r="U257" s="1548"/>
      <c r="V257" s="1548"/>
      <c r="W257" s="1548"/>
      <c r="X257" s="1548"/>
      <c r="Y257" s="1548"/>
      <c r="Z257" s="1548"/>
      <c r="AA257" s="1548"/>
      <c r="AB257" s="1548"/>
      <c r="AC257" s="1548"/>
      <c r="AD257" s="1548"/>
    </row>
    <row r="258" spans="1:36" s="1467" customFormat="1" ht="58.5" customHeight="1">
      <c r="A258" s="3736"/>
      <c r="B258" s="3038" t="str">
        <f t="shared" si="3"/>
        <v>2000003338</v>
      </c>
      <c r="C258" s="1493" t="s">
        <v>71</v>
      </c>
      <c r="D258" s="2566"/>
      <c r="E258" s="2187"/>
      <c r="F258" s="1493" t="s">
        <v>89</v>
      </c>
      <c r="G258" s="1543"/>
      <c r="H258" s="1543"/>
      <c r="I258" s="1568" t="s">
        <v>5253</v>
      </c>
      <c r="J258" s="1495" t="s">
        <v>19</v>
      </c>
      <c r="K258" s="3022" t="s">
        <v>74</v>
      </c>
      <c r="L258" s="3183" t="s">
        <v>8387</v>
      </c>
      <c r="M258" s="3074">
        <v>400</v>
      </c>
      <c r="N258" s="2915" t="s">
        <v>5257</v>
      </c>
      <c r="O258" s="1545"/>
      <c r="P258" s="1545"/>
      <c r="Q258" s="2591"/>
      <c r="R258" s="3182">
        <v>3</v>
      </c>
      <c r="S258" s="3070"/>
      <c r="T258" s="3070"/>
    </row>
    <row r="259" spans="1:36" s="1467" customFormat="1" ht="58.5" customHeight="1">
      <c r="A259" s="3736"/>
      <c r="B259" s="3038" t="str">
        <f t="shared" si="3"/>
        <v>2000003339</v>
      </c>
      <c r="C259" s="2391" t="s">
        <v>71</v>
      </c>
      <c r="D259" s="2585">
        <v>3720</v>
      </c>
      <c r="E259" s="1921" t="s">
        <v>8388</v>
      </c>
      <c r="F259" s="1493" t="s">
        <v>89</v>
      </c>
      <c r="G259" s="3021" t="s">
        <v>8389</v>
      </c>
      <c r="H259" s="1921"/>
      <c r="I259" s="1568" t="s">
        <v>5253</v>
      </c>
      <c r="J259" s="1495" t="s">
        <v>19</v>
      </c>
      <c r="K259" s="3022" t="s">
        <v>74</v>
      </c>
      <c r="L259" s="3073" t="s">
        <v>8390</v>
      </c>
      <c r="M259" s="3074">
        <v>1148</v>
      </c>
      <c r="N259" s="2506" t="s">
        <v>8391</v>
      </c>
      <c r="O259" s="1807"/>
      <c r="P259" s="1807"/>
      <c r="Q259" s="2590"/>
      <c r="R259" s="1748">
        <v>3</v>
      </c>
    </row>
    <row r="260" spans="1:36" s="1467" customFormat="1" ht="58.5" customHeight="1">
      <c r="A260" s="3737"/>
      <c r="B260" s="3038" t="str">
        <f t="shared" ref="B260:B274" si="4">TEXT(LEFT(L260,10),"0000000000")</f>
        <v>2000003218</v>
      </c>
      <c r="C260" s="1493" t="s">
        <v>71</v>
      </c>
      <c r="D260" s="3146"/>
      <c r="E260" s="3041"/>
      <c r="F260" s="1493" t="s">
        <v>89</v>
      </c>
      <c r="G260" s="3022"/>
      <c r="H260" s="3022"/>
      <c r="I260" s="1568" t="s">
        <v>5253</v>
      </c>
      <c r="J260" s="1493" t="s">
        <v>19</v>
      </c>
      <c r="K260" s="1495" t="s">
        <v>74</v>
      </c>
      <c r="L260" s="2880" t="s">
        <v>8392</v>
      </c>
      <c r="M260" s="3051">
        <v>1000</v>
      </c>
      <c r="N260" s="2506" t="s">
        <v>8380</v>
      </c>
      <c r="O260" s="3179"/>
      <c r="P260" s="3179"/>
      <c r="Q260" s="3185"/>
      <c r="R260" s="3059">
        <v>3</v>
      </c>
    </row>
    <row r="261" spans="1:36" s="2643" customFormat="1" ht="58.5" customHeight="1">
      <c r="A261" s="3184"/>
      <c r="B261" s="3038" t="str">
        <f t="shared" si="4"/>
        <v>2000003324</v>
      </c>
      <c r="C261" s="3119" t="s">
        <v>8393</v>
      </c>
      <c r="D261" s="3034">
        <v>4200</v>
      </c>
      <c r="E261" s="3035" t="s">
        <v>8348</v>
      </c>
      <c r="F261" s="3033" t="s">
        <v>61</v>
      </c>
      <c r="G261" s="3035" t="s">
        <v>8394</v>
      </c>
      <c r="H261" s="3035" t="s">
        <v>8301</v>
      </c>
      <c r="I261" s="1921" t="s">
        <v>5253</v>
      </c>
      <c r="J261" s="1921" t="s">
        <v>19</v>
      </c>
      <c r="K261" s="3035" t="s">
        <v>74</v>
      </c>
      <c r="L261" s="2912" t="s">
        <v>8395</v>
      </c>
      <c r="M261" s="3050">
        <v>4200</v>
      </c>
      <c r="N261" s="2915" t="s">
        <v>5214</v>
      </c>
      <c r="O261" s="3033"/>
      <c r="P261" s="3033"/>
      <c r="Q261" s="3077"/>
      <c r="R261" s="3040">
        <v>3</v>
      </c>
    </row>
    <row r="262" spans="1:36" s="2643" customFormat="1" ht="58.5" customHeight="1">
      <c r="A262" s="2436"/>
      <c r="B262" s="3038" t="str">
        <f t="shared" si="4"/>
        <v>2000003342</v>
      </c>
      <c r="C262" s="3033" t="s">
        <v>5984</v>
      </c>
      <c r="D262" s="2488">
        <v>4350</v>
      </c>
      <c r="E262" s="1921" t="s">
        <v>8396</v>
      </c>
      <c r="F262" s="1902" t="s">
        <v>16</v>
      </c>
      <c r="G262" s="3035" t="s">
        <v>8397</v>
      </c>
      <c r="H262" s="3035" t="s">
        <v>8398</v>
      </c>
      <c r="I262" s="1921" t="s">
        <v>5253</v>
      </c>
      <c r="J262" s="1921" t="s">
        <v>19</v>
      </c>
      <c r="K262" s="1921" t="s">
        <v>74</v>
      </c>
      <c r="L262" s="1845" t="s">
        <v>8399</v>
      </c>
      <c r="M262" s="3055">
        <v>4255</v>
      </c>
      <c r="N262" s="2915" t="s">
        <v>8400</v>
      </c>
      <c r="O262" s="2263"/>
      <c r="P262" s="2263"/>
      <c r="Q262" s="2593"/>
      <c r="R262" s="3208">
        <v>3</v>
      </c>
      <c r="S262" s="2429"/>
      <c r="T262" s="2429"/>
      <c r="U262" s="2150"/>
      <c r="V262" s="2150"/>
      <c r="W262" s="2150"/>
      <c r="X262" s="2150"/>
      <c r="Y262" s="2150"/>
      <c r="Z262" s="2150"/>
      <c r="AA262" s="2150"/>
      <c r="AB262" s="2150"/>
      <c r="AC262" s="2150"/>
      <c r="AD262" s="2150"/>
    </row>
    <row r="263" spans="1:36" s="2643" customFormat="1" ht="58.5" customHeight="1">
      <c r="A263" s="3749"/>
      <c r="B263" s="3038" t="str">
        <f t="shared" si="4"/>
        <v>2000003343</v>
      </c>
      <c r="C263" s="3033" t="s">
        <v>8401</v>
      </c>
      <c r="D263" s="2488">
        <v>4340</v>
      </c>
      <c r="E263" s="3035" t="s">
        <v>8291</v>
      </c>
      <c r="F263" s="1902" t="s">
        <v>84</v>
      </c>
      <c r="G263" s="1921"/>
      <c r="H263" s="1921"/>
      <c r="I263" s="1921" t="s">
        <v>5253</v>
      </c>
      <c r="J263" s="1921" t="s">
        <v>1612</v>
      </c>
      <c r="K263" s="1921" t="s">
        <v>74</v>
      </c>
      <c r="L263" s="1845" t="s">
        <v>8402</v>
      </c>
      <c r="M263" s="3055">
        <v>1020</v>
      </c>
      <c r="N263" s="2915" t="s">
        <v>5214</v>
      </c>
      <c r="O263" s="2263"/>
      <c r="P263" s="2263"/>
      <c r="Q263" s="2593"/>
      <c r="R263" s="3208">
        <v>3</v>
      </c>
      <c r="S263" s="2429"/>
      <c r="T263" s="2429"/>
      <c r="U263" s="2150"/>
      <c r="V263" s="2150"/>
      <c r="W263" s="2150"/>
      <c r="X263" s="2150"/>
      <c r="Y263" s="2150"/>
      <c r="Z263" s="2150"/>
      <c r="AA263" s="2150"/>
      <c r="AB263" s="2150"/>
      <c r="AC263" s="2150"/>
      <c r="AD263" s="2150"/>
    </row>
    <row r="264" spans="1:36" s="1467" customFormat="1" ht="58.5" customHeight="1">
      <c r="A264" s="3751"/>
      <c r="B264" s="3038" t="str">
        <f t="shared" si="4"/>
        <v>2000003324</v>
      </c>
      <c r="C264" s="3023" t="s">
        <v>8401</v>
      </c>
      <c r="D264" s="3020"/>
      <c r="E264" s="3035"/>
      <c r="F264" s="1493" t="s">
        <v>84</v>
      </c>
      <c r="G264" s="3021"/>
      <c r="H264" s="3021" t="s">
        <v>8301</v>
      </c>
      <c r="I264" s="1568" t="s">
        <v>5253</v>
      </c>
      <c r="J264" s="1495" t="s">
        <v>1612</v>
      </c>
      <c r="K264" s="3021" t="s">
        <v>74</v>
      </c>
      <c r="L264" s="2880" t="s">
        <v>8302</v>
      </c>
      <c r="M264" s="3054">
        <v>1578</v>
      </c>
      <c r="N264" s="3209" t="s">
        <v>5454</v>
      </c>
      <c r="O264" s="3023"/>
      <c r="P264" s="3023"/>
      <c r="Q264" s="3138"/>
      <c r="R264" s="3059">
        <v>3</v>
      </c>
    </row>
    <row r="265" spans="1:36" s="1467" customFormat="1" ht="58.5" customHeight="1">
      <c r="A265" s="3751"/>
      <c r="B265" s="3038" t="str">
        <f t="shared" si="4"/>
        <v>2200002206</v>
      </c>
      <c r="C265" s="3023" t="s">
        <v>8401</v>
      </c>
      <c r="D265" s="3020"/>
      <c r="E265" s="3035"/>
      <c r="F265" s="1493" t="s">
        <v>84</v>
      </c>
      <c r="G265" s="3021"/>
      <c r="H265" s="3021"/>
      <c r="I265" s="1568" t="s">
        <v>8294</v>
      </c>
      <c r="J265" s="1495" t="s">
        <v>1612</v>
      </c>
      <c r="K265" s="1495" t="s">
        <v>74</v>
      </c>
      <c r="L265" s="1496" t="s">
        <v>8403</v>
      </c>
      <c r="M265" s="3051">
        <v>452</v>
      </c>
      <c r="N265" s="2196" t="s">
        <v>5429</v>
      </c>
      <c r="O265" s="3023"/>
      <c r="P265" s="3023"/>
      <c r="Q265" s="3138"/>
      <c r="R265" s="3059">
        <v>3</v>
      </c>
    </row>
    <row r="266" spans="1:36" s="1467" customFormat="1" ht="58.5" customHeight="1">
      <c r="A266" s="3751"/>
      <c r="B266" s="3038" t="str">
        <f t="shared" si="4"/>
        <v>2200002113</v>
      </c>
      <c r="C266" s="3023" t="s">
        <v>8401</v>
      </c>
      <c r="D266" s="3034"/>
      <c r="E266" s="3060"/>
      <c r="F266" s="1493" t="s">
        <v>84</v>
      </c>
      <c r="G266" s="3035"/>
      <c r="H266" s="3035"/>
      <c r="I266" s="1495" t="s">
        <v>5253</v>
      </c>
      <c r="J266" s="1495" t="s">
        <v>1612</v>
      </c>
      <c r="K266" s="1921" t="s">
        <v>101</v>
      </c>
      <c r="L266" s="1600" t="s">
        <v>8062</v>
      </c>
      <c r="M266" s="1826">
        <v>70</v>
      </c>
      <c r="N266" s="2749" t="s">
        <v>8063</v>
      </c>
      <c r="O266" s="1493"/>
      <c r="P266" s="1493"/>
      <c r="Q266" s="1843"/>
      <c r="R266" s="1748">
        <v>3</v>
      </c>
      <c r="S266" s="1790"/>
      <c r="T266" s="3070"/>
      <c r="AD266" s="2643"/>
      <c r="AE266" s="2643"/>
      <c r="AF266" s="2643"/>
      <c r="AG266" s="2643"/>
      <c r="AH266" s="2643"/>
      <c r="AI266" s="2643"/>
    </row>
    <row r="267" spans="1:36" s="1467" customFormat="1" ht="58.5" customHeight="1">
      <c r="A267" s="3750"/>
      <c r="B267" s="3210" t="str">
        <f t="shared" si="4"/>
        <v>2200002207</v>
      </c>
      <c r="C267" s="3140" t="s">
        <v>8401</v>
      </c>
      <c r="D267" s="3020"/>
      <c r="E267" s="3035"/>
      <c r="F267" s="1493" t="s">
        <v>84</v>
      </c>
      <c r="G267" s="3021"/>
      <c r="H267" s="3021"/>
      <c r="I267" s="1568" t="s">
        <v>8294</v>
      </c>
      <c r="J267" s="1495" t="s">
        <v>1612</v>
      </c>
      <c r="K267" s="1495" t="s">
        <v>101</v>
      </c>
      <c r="L267" s="1843" t="s">
        <v>5428</v>
      </c>
      <c r="M267" s="3051">
        <v>1200</v>
      </c>
      <c r="N267" s="2196" t="s">
        <v>5429</v>
      </c>
      <c r="O267" s="3023"/>
      <c r="P267" s="3023"/>
      <c r="Q267" s="3138"/>
      <c r="R267" s="3059">
        <v>3</v>
      </c>
    </row>
    <row r="268" spans="1:36" s="2643" customFormat="1" ht="58.5" customHeight="1">
      <c r="A268" s="3166"/>
      <c r="B268" s="3292" t="str">
        <f t="shared" si="4"/>
        <v>2000003314</v>
      </c>
      <c r="C268" s="2401" t="s">
        <v>5628</v>
      </c>
      <c r="D268" s="2179">
        <v>12270</v>
      </c>
      <c r="E268" s="2150" t="s">
        <v>8404</v>
      </c>
      <c r="F268" s="3293" t="s">
        <v>3401</v>
      </c>
      <c r="G268" s="3170" t="s">
        <v>8405</v>
      </c>
      <c r="H268" s="3168"/>
      <c r="I268" s="3168" t="s">
        <v>5253</v>
      </c>
      <c r="J268" s="3294" t="s">
        <v>19</v>
      </c>
      <c r="K268" s="3168" t="s">
        <v>63</v>
      </c>
      <c r="L268" s="2930" t="s">
        <v>8406</v>
      </c>
      <c r="M268" s="3295">
        <v>1100</v>
      </c>
      <c r="N268" s="2915" t="s">
        <v>5214</v>
      </c>
      <c r="O268" s="3039"/>
      <c r="P268" s="3039"/>
      <c r="Q268" s="3296"/>
      <c r="R268" s="3297" t="s">
        <v>8328</v>
      </c>
      <c r="S268" s="2122"/>
      <c r="T268" s="2122"/>
      <c r="U268" s="2122"/>
      <c r="V268" s="2122"/>
      <c r="W268" s="2122"/>
      <c r="X268" s="2122"/>
      <c r="Y268" s="2122"/>
      <c r="Z268" s="2122"/>
      <c r="AA268" s="2122"/>
      <c r="AB268" s="2122"/>
      <c r="AC268" s="2122"/>
      <c r="AD268" s="2122"/>
      <c r="AE268" s="2122"/>
      <c r="AF268" s="2122"/>
      <c r="AG268" s="2122"/>
      <c r="AH268" s="2122"/>
      <c r="AI268" s="2122"/>
      <c r="AJ268" s="2122"/>
    </row>
    <row r="269" spans="1:36" s="1467" customFormat="1" ht="44.25" customHeight="1">
      <c r="A269" s="1917"/>
      <c r="B269" s="3018" t="str">
        <f t="shared" si="4"/>
        <v>2000003367</v>
      </c>
      <c r="C269" s="1630" t="s">
        <v>5628</v>
      </c>
      <c r="D269" s="2743"/>
      <c r="E269" s="2150" t="s">
        <v>8404</v>
      </c>
      <c r="F269" s="3293" t="s">
        <v>3401</v>
      </c>
      <c r="G269" s="1543"/>
      <c r="H269" s="1543"/>
      <c r="I269" s="3075" t="s">
        <v>5253</v>
      </c>
      <c r="J269" s="1545" t="s">
        <v>19</v>
      </c>
      <c r="K269" s="3298" t="s">
        <v>5593</v>
      </c>
      <c r="L269" s="3183" t="s">
        <v>8407</v>
      </c>
      <c r="M269" s="3074">
        <v>800</v>
      </c>
      <c r="N269" s="3209" t="s">
        <v>8408</v>
      </c>
      <c r="O269" s="1559"/>
      <c r="P269" s="1559"/>
      <c r="Q269" s="2591"/>
      <c r="R269" s="3297" t="s">
        <v>8328</v>
      </c>
      <c r="S269" s="1559"/>
      <c r="T269" s="1559"/>
      <c r="U269" s="1559"/>
      <c r="V269" s="1559"/>
      <c r="W269" s="1559"/>
      <c r="X269" s="1559"/>
      <c r="Y269" s="1559"/>
      <c r="Z269" s="1559"/>
      <c r="AA269" s="1559"/>
      <c r="AB269" s="1559"/>
      <c r="AC269" s="1559"/>
      <c r="AD269" s="1559"/>
      <c r="AE269" s="1559"/>
      <c r="AF269" s="1559"/>
      <c r="AG269" s="1559"/>
      <c r="AH269" s="1559"/>
      <c r="AI269" s="1559"/>
    </row>
    <row r="270" spans="1:36" s="1548" customFormat="1" ht="54.75" customHeight="1">
      <c r="A270" s="3166"/>
      <c r="B270" s="3018" t="str">
        <f t="shared" si="4"/>
        <v>2000003325</v>
      </c>
      <c r="C270" s="1630" t="s">
        <v>5628</v>
      </c>
      <c r="D270" s="3020"/>
      <c r="E270" s="3035"/>
      <c r="F270" s="3299" t="s">
        <v>3401</v>
      </c>
      <c r="G270" s="3021"/>
      <c r="H270" s="3021"/>
      <c r="I270" s="1495" t="s">
        <v>5253</v>
      </c>
      <c r="J270" s="1493" t="s">
        <v>19</v>
      </c>
      <c r="K270" s="3021" t="s">
        <v>123</v>
      </c>
      <c r="L270" s="2880" t="s">
        <v>8409</v>
      </c>
      <c r="M270" s="3054">
        <v>1530</v>
      </c>
      <c r="N270" s="2915" t="s">
        <v>5214</v>
      </c>
      <c r="O270" s="3023"/>
      <c r="P270" s="3023"/>
      <c r="Q270" s="3024"/>
      <c r="R270" s="3297" t="s">
        <v>8328</v>
      </c>
      <c r="S270" s="1467"/>
      <c r="T270" s="1467"/>
      <c r="U270" s="1467"/>
      <c r="V270" s="1467"/>
      <c r="W270" s="1467"/>
      <c r="X270" s="1467"/>
      <c r="Y270" s="1467"/>
      <c r="Z270" s="1467"/>
      <c r="AA270" s="1467"/>
      <c r="AB270" s="1467"/>
      <c r="AC270" s="1467"/>
      <c r="AD270" s="1467"/>
    </row>
    <row r="271" spans="1:36" s="1548" customFormat="1" ht="63.75" customHeight="1">
      <c r="A271" s="3166"/>
      <c r="B271" s="3018" t="str">
        <f t="shared" si="4"/>
        <v>2000003329</v>
      </c>
      <c r="C271" s="1630" t="s">
        <v>5628</v>
      </c>
      <c r="D271" s="3020"/>
      <c r="E271" s="3035"/>
      <c r="F271" s="3299" t="s">
        <v>3401</v>
      </c>
      <c r="G271" s="3021"/>
      <c r="H271" s="3021"/>
      <c r="I271" s="1495" t="s">
        <v>5253</v>
      </c>
      <c r="J271" s="1493" t="s">
        <v>19</v>
      </c>
      <c r="K271" s="3021" t="s">
        <v>123</v>
      </c>
      <c r="L271" s="2880" t="s">
        <v>8410</v>
      </c>
      <c r="M271" s="3054">
        <v>2547</v>
      </c>
      <c r="N271" s="2196" t="s">
        <v>8258</v>
      </c>
      <c r="O271" s="3023"/>
      <c r="P271" s="3023"/>
      <c r="Q271" s="3024"/>
      <c r="R271" s="3297" t="s">
        <v>8328</v>
      </c>
      <c r="S271" s="1467"/>
      <c r="T271" s="1467"/>
      <c r="U271" s="1467"/>
      <c r="V271" s="1467"/>
      <c r="W271" s="1467"/>
      <c r="X271" s="1467"/>
      <c r="Y271" s="1467"/>
      <c r="Z271" s="1467"/>
      <c r="AA271" s="1467"/>
      <c r="AB271" s="1467"/>
      <c r="AC271" s="1467"/>
      <c r="AD271" s="1467"/>
    </row>
    <row r="272" spans="1:36" s="1548" customFormat="1" ht="58.5" customHeight="1">
      <c r="A272" s="3166"/>
      <c r="B272" s="3018" t="str">
        <f t="shared" si="4"/>
        <v>2000003326</v>
      </c>
      <c r="C272" s="1630" t="s">
        <v>5628</v>
      </c>
      <c r="D272" s="3020"/>
      <c r="E272" s="3035"/>
      <c r="F272" s="3299" t="s">
        <v>3401</v>
      </c>
      <c r="G272" s="3021"/>
      <c r="H272" s="3021"/>
      <c r="I272" s="1495" t="s">
        <v>5253</v>
      </c>
      <c r="J272" s="1493" t="s">
        <v>19</v>
      </c>
      <c r="K272" s="3021" t="s">
        <v>123</v>
      </c>
      <c r="L272" s="2880" t="s">
        <v>8411</v>
      </c>
      <c r="M272" s="3054">
        <v>1374</v>
      </c>
      <c r="N272" s="2915" t="s">
        <v>5214</v>
      </c>
      <c r="O272" s="3023"/>
      <c r="P272" s="3023"/>
      <c r="Q272" s="3024"/>
      <c r="R272" s="3297" t="s">
        <v>8328</v>
      </c>
      <c r="S272" s="1467"/>
      <c r="T272" s="1467"/>
      <c r="U272" s="1467"/>
      <c r="V272" s="1467"/>
      <c r="W272" s="1467"/>
      <c r="X272" s="1467"/>
      <c r="Y272" s="1467"/>
      <c r="Z272" s="1467"/>
      <c r="AA272" s="1467"/>
      <c r="AB272" s="1467"/>
      <c r="AC272" s="1467"/>
      <c r="AD272" s="1467"/>
    </row>
    <row r="273" spans="1:30" s="1548" customFormat="1" ht="58.5" customHeight="1">
      <c r="A273" s="3184"/>
      <c r="B273" s="3018" t="str">
        <f t="shared" si="4"/>
        <v>2000003327</v>
      </c>
      <c r="C273" s="1869" t="s">
        <v>5628</v>
      </c>
      <c r="D273" s="3146"/>
      <c r="E273" s="3041"/>
      <c r="F273" s="3300" t="s">
        <v>3401</v>
      </c>
      <c r="G273" s="3022"/>
      <c r="H273" s="3022"/>
      <c r="I273" s="1495" t="s">
        <v>5253</v>
      </c>
      <c r="J273" s="3179" t="s">
        <v>19</v>
      </c>
      <c r="K273" s="3022" t="s">
        <v>123</v>
      </c>
      <c r="L273" s="3073" t="s">
        <v>8412</v>
      </c>
      <c r="M273" s="3074">
        <v>3000</v>
      </c>
      <c r="N273" s="2915" t="s">
        <v>5214</v>
      </c>
      <c r="O273" s="3179"/>
      <c r="P273" s="3179"/>
      <c r="Q273" s="3301"/>
      <c r="R273" s="3297" t="s">
        <v>8328</v>
      </c>
      <c r="S273" s="1467"/>
      <c r="T273" s="1467"/>
      <c r="U273" s="1467"/>
      <c r="V273" s="1467"/>
      <c r="W273" s="1467"/>
      <c r="X273" s="1467"/>
      <c r="Y273" s="1467"/>
      <c r="Z273" s="1467"/>
      <c r="AA273" s="1467"/>
      <c r="AB273" s="1467"/>
      <c r="AC273" s="1467"/>
      <c r="AD273" s="1467"/>
    </row>
    <row r="274" spans="1:30" s="1467" customFormat="1" ht="58.5" customHeight="1">
      <c r="A274" s="3062"/>
      <c r="B274" s="3035" t="str">
        <f t="shared" si="4"/>
        <v>2000003366</v>
      </c>
      <c r="C274" s="1493" t="s">
        <v>5628</v>
      </c>
      <c r="D274" s="1494"/>
      <c r="E274" s="1921"/>
      <c r="F274" s="3023" t="s">
        <v>3401</v>
      </c>
      <c r="G274" s="1495"/>
      <c r="H274" s="1495"/>
      <c r="I274" s="1495" t="s">
        <v>5253</v>
      </c>
      <c r="J274" s="3023" t="s">
        <v>19</v>
      </c>
      <c r="K274" s="1495" t="s">
        <v>123</v>
      </c>
      <c r="L274" s="1496" t="s">
        <v>8413</v>
      </c>
      <c r="M274" s="3051">
        <v>2000</v>
      </c>
      <c r="N274" s="2196" t="s">
        <v>8258</v>
      </c>
      <c r="O274" s="1548"/>
      <c r="P274" s="1548"/>
      <c r="Q274" s="2590"/>
      <c r="R274" s="3297" t="s">
        <v>8328</v>
      </c>
    </row>
    <row r="276" spans="1:30" ht="58.5" customHeight="1">
      <c r="B276" s="2910" t="str">
        <f t="shared" ref="B276:B290" si="5">TEXT(LEFT(L276,10),"0000000000")</f>
        <v/>
      </c>
      <c r="I276" s="3"/>
      <c r="J276" s="3"/>
      <c r="K276" s="3"/>
      <c r="L276" s="7"/>
      <c r="M276" s="3"/>
      <c r="N276" s="3"/>
    </row>
    <row r="277" spans="1:30" ht="58.5" customHeight="1">
      <c r="B277" s="2910" t="str">
        <f t="shared" si="5"/>
        <v/>
      </c>
      <c r="I277" s="3"/>
      <c r="J277" s="3"/>
      <c r="K277" s="3"/>
      <c r="L277" s="7"/>
      <c r="M277" s="3"/>
      <c r="N277" s="3"/>
    </row>
    <row r="278" spans="1:30" ht="58.5" customHeight="1">
      <c r="B278" s="2910" t="str">
        <f t="shared" si="5"/>
        <v/>
      </c>
      <c r="I278" s="3"/>
      <c r="J278" s="3"/>
      <c r="K278" s="3"/>
      <c r="L278" s="7"/>
      <c r="M278" s="3"/>
      <c r="N278" s="3"/>
    </row>
    <row r="279" spans="1:30" ht="58.5" customHeight="1">
      <c r="B279" s="2910" t="str">
        <f t="shared" si="5"/>
        <v/>
      </c>
    </row>
    <row r="280" spans="1:30" ht="58.5" customHeight="1">
      <c r="B280" s="2910" t="str">
        <f t="shared" si="5"/>
        <v/>
      </c>
      <c r="I280" s="3"/>
      <c r="J280" s="3"/>
      <c r="K280" s="3"/>
      <c r="L280" s="7"/>
      <c r="M280" s="3"/>
      <c r="N280" s="3"/>
    </row>
    <row r="281" spans="1:30" ht="58.5" customHeight="1">
      <c r="B281" s="2910" t="str">
        <f t="shared" si="5"/>
        <v/>
      </c>
      <c r="I281" s="3"/>
      <c r="J281" s="3"/>
      <c r="K281" s="3"/>
      <c r="L281" s="7"/>
      <c r="M281" s="3"/>
      <c r="N281" s="3"/>
    </row>
    <row r="282" spans="1:30" ht="58.5" customHeight="1">
      <c r="B282" s="2910" t="str">
        <f t="shared" si="5"/>
        <v/>
      </c>
      <c r="I282" s="3"/>
      <c r="J282" s="3"/>
      <c r="K282" s="3"/>
      <c r="L282" s="7"/>
      <c r="M282" s="3"/>
      <c r="N282" s="3"/>
    </row>
    <row r="283" spans="1:30" ht="58.5" customHeight="1">
      <c r="B283" s="2910" t="str">
        <f t="shared" si="5"/>
        <v/>
      </c>
      <c r="I283" s="3"/>
      <c r="J283" s="3"/>
      <c r="K283" s="3"/>
      <c r="L283" s="7"/>
      <c r="M283" s="3"/>
      <c r="N283" s="3"/>
    </row>
    <row r="284" spans="1:30" ht="58.5" customHeight="1">
      <c r="B284" s="2910" t="str">
        <f t="shared" si="5"/>
        <v/>
      </c>
      <c r="I284" s="2886"/>
      <c r="J284" s="102"/>
      <c r="K284" s="109"/>
      <c r="L284" s="670"/>
      <c r="M284" s="1003"/>
      <c r="N284" s="2886"/>
    </row>
    <row r="285" spans="1:30" ht="58.5" customHeight="1">
      <c r="B285" s="2910" t="str">
        <f t="shared" si="5"/>
        <v/>
      </c>
    </row>
    <row r="286" spans="1:30" ht="58.5" customHeight="1">
      <c r="B286" s="2910" t="str">
        <f t="shared" si="5"/>
        <v/>
      </c>
    </row>
    <row r="287" spans="1:30" ht="58.5" customHeight="1">
      <c r="B287" s="2910" t="str">
        <f t="shared" si="5"/>
        <v/>
      </c>
    </row>
    <row r="288" spans="1:30" ht="58.5" customHeight="1">
      <c r="B288" s="2910" t="str">
        <f t="shared" si="5"/>
        <v/>
      </c>
    </row>
    <row r="289" spans="2:2" ht="58.5" customHeight="1">
      <c r="B289" s="2910" t="str">
        <f t="shared" si="5"/>
        <v/>
      </c>
    </row>
    <row r="290" spans="2:2" ht="58.5" customHeight="1">
      <c r="B290" s="2910" t="str">
        <f t="shared" si="5"/>
        <v/>
      </c>
    </row>
  </sheetData>
  <autoFilter ref="A3:AJ3" xr:uid="{5605363C-1AEB-41C7-9B73-03CC587BB0BE}"/>
  <mergeCells count="45">
    <mergeCell ref="A263:A267"/>
    <mergeCell ref="A195:A196"/>
    <mergeCell ref="A197:A199"/>
    <mergeCell ref="A168:A172"/>
    <mergeCell ref="A173:A177"/>
    <mergeCell ref="A187:A194"/>
    <mergeCell ref="A178:A179"/>
    <mergeCell ref="A180:A182"/>
    <mergeCell ref="A183:A186"/>
    <mergeCell ref="A248:A250"/>
    <mergeCell ref="A251:A256"/>
    <mergeCell ref="A257:A260"/>
    <mergeCell ref="A141:A142"/>
    <mergeCell ref="A143:A147"/>
    <mergeCell ref="A154:A155"/>
    <mergeCell ref="A156:A161"/>
    <mergeCell ref="A165:A166"/>
    <mergeCell ref="A148:A153"/>
    <mergeCell ref="A162:A164"/>
    <mergeCell ref="T2:W2"/>
    <mergeCell ref="A54:A58"/>
    <mergeCell ref="A118:A135"/>
    <mergeCell ref="A59:A62"/>
    <mergeCell ref="A65:A72"/>
    <mergeCell ref="A73:A76"/>
    <mergeCell ref="A79:A80"/>
    <mergeCell ref="A81:A90"/>
    <mergeCell ref="A47:A50"/>
    <mergeCell ref="A51:A53"/>
    <mergeCell ref="A63:A64"/>
    <mergeCell ref="A91:A93"/>
    <mergeCell ref="A97:A98"/>
    <mergeCell ref="A99:A105"/>
    <mergeCell ref="A94:A96"/>
    <mergeCell ref="A137:A140"/>
    <mergeCell ref="A1:R1"/>
    <mergeCell ref="A2:C2"/>
    <mergeCell ref="A31:A38"/>
    <mergeCell ref="A4:A6"/>
    <mergeCell ref="A40:A46"/>
    <mergeCell ref="A8:A10"/>
    <mergeCell ref="A11:A14"/>
    <mergeCell ref="A15:A19"/>
    <mergeCell ref="A20:A24"/>
    <mergeCell ref="A25:A30"/>
  </mergeCells>
  <conditionalFormatting sqref="B2:B3">
    <cfRule type="duplicateValues" dxfId="59" priority="3988"/>
  </conditionalFormatting>
  <conditionalFormatting sqref="B3">
    <cfRule type="duplicateValues" dxfId="58" priority="3989"/>
  </conditionalFormatting>
  <conditionalFormatting sqref="B4:B6">
    <cfRule type="duplicateValues" dxfId="57" priority="170"/>
    <cfRule type="duplicateValues" dxfId="56" priority="171"/>
    <cfRule type="duplicateValues" dxfId="55" priority="172"/>
    <cfRule type="duplicateValues" dxfId="54" priority="173"/>
  </conditionalFormatting>
  <conditionalFormatting sqref="B111">
    <cfRule type="duplicateValues" dxfId="53" priority="82"/>
    <cfRule type="duplicateValues" dxfId="52" priority="83"/>
    <cfRule type="duplicateValues" dxfId="51" priority="84"/>
    <cfRule type="duplicateValues" dxfId="50" priority="85"/>
  </conditionalFormatting>
  <conditionalFormatting sqref="B112">
    <cfRule type="duplicateValues" dxfId="49" priority="74"/>
    <cfRule type="duplicateValues" dxfId="48" priority="75"/>
    <cfRule type="duplicateValues" dxfId="47" priority="76"/>
    <cfRule type="duplicateValues" dxfId="46" priority="77"/>
  </conditionalFormatting>
  <conditionalFormatting sqref="B246">
    <cfRule type="duplicateValues" dxfId="45" priority="1"/>
    <cfRule type="duplicateValues" dxfId="44" priority="2"/>
    <cfRule type="duplicateValues" dxfId="43" priority="3"/>
    <cfRule type="duplicateValues" dxfId="42" priority="4"/>
    <cfRule type="duplicateValues" dxfId="41" priority="5"/>
  </conditionalFormatting>
  <conditionalFormatting sqref="B270">
    <cfRule type="duplicateValues" dxfId="40" priority="22"/>
    <cfRule type="duplicateValues" dxfId="39" priority="23"/>
    <cfRule type="duplicateValues" dxfId="38" priority="24"/>
    <cfRule type="duplicateValues" dxfId="37" priority="25"/>
  </conditionalFormatting>
  <conditionalFormatting sqref="B271">
    <cfRule type="duplicateValues" dxfId="36" priority="18"/>
    <cfRule type="duplicateValues" dxfId="35" priority="19"/>
    <cfRule type="duplicateValues" dxfId="34" priority="20"/>
    <cfRule type="duplicateValues" dxfId="33" priority="21"/>
  </conditionalFormatting>
  <conditionalFormatting sqref="B272">
    <cfRule type="duplicateValues" dxfId="32" priority="14"/>
    <cfRule type="duplicateValues" dxfId="31" priority="15"/>
    <cfRule type="duplicateValues" dxfId="30" priority="16"/>
    <cfRule type="duplicateValues" dxfId="29" priority="17"/>
  </conditionalFormatting>
  <conditionalFormatting sqref="B273">
    <cfRule type="duplicateValues" dxfId="28" priority="10"/>
    <cfRule type="duplicateValues" dxfId="27" priority="11"/>
    <cfRule type="duplicateValues" dxfId="26" priority="12"/>
    <cfRule type="duplicateValues" dxfId="25" priority="13"/>
  </conditionalFormatting>
  <conditionalFormatting sqref="B274 R160:T161 L160:M161 O160:P161 X160:XFD161 B7:B110 B276:B290 B247:B269 B113:B245">
    <cfRule type="duplicateValues" dxfId="24" priority="4280"/>
    <cfRule type="duplicateValues" dxfId="23" priority="4281"/>
    <cfRule type="duplicateValues" dxfId="22" priority="4282"/>
    <cfRule type="duplicateValues" dxfId="21" priority="4283"/>
  </conditionalFormatting>
  <pageMargins left="0.7" right="0.7" top="0.75" bottom="0.75" header="0.3" footer="0.3"/>
  <pageSetup paperSize="9" scale="40" orientation="landscape"/>
  <legacyDrawing r:id="rId1"/>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C15350-C97B-42A5-86DA-8C16A2B477E8}">
  <sheetPr>
    <tabColor rgb="FF00B050"/>
    <pageSetUpPr fitToPage="1"/>
  </sheetPr>
  <dimension ref="A1:Z499"/>
  <sheetViews>
    <sheetView zoomScale="70" zoomScaleNormal="70" workbookViewId="0">
      <pane xSplit="3" ySplit="3" topLeftCell="H56" activePane="bottomRight" state="frozen"/>
      <selection pane="topRight"/>
      <selection pane="bottomLeft" activeCell="A4" sqref="A4"/>
      <selection pane="bottomRight" activeCell="K58" sqref="K58"/>
    </sheetView>
  </sheetViews>
  <sheetFormatPr defaultColWidth="32.140625" defaultRowHeight="58.5" customHeight="1"/>
  <cols>
    <col min="1" max="1" width="10" style="359" customWidth="1"/>
    <col min="2" max="2" width="25" style="763" customWidth="1"/>
    <col min="3" max="3" width="31.42578125" style="3" customWidth="1"/>
    <col min="4" max="4" width="19.85546875" style="1138" bestFit="1" customWidth="1"/>
    <col min="5" max="5" width="27.7109375" style="7" bestFit="1" customWidth="1"/>
    <col min="6" max="6" width="26.140625" style="1" customWidth="1"/>
    <col min="7" max="7" width="22.42578125" style="271" customWidth="1"/>
    <col min="8" max="8" width="31.140625" style="271" customWidth="1"/>
    <col min="9" max="9" width="19.28515625" style="271" customWidth="1"/>
    <col min="10" max="10" width="29.42578125" style="271" customWidth="1"/>
    <col min="11" max="11" width="90.42578125" style="9" customWidth="1"/>
    <col min="12" max="12" width="25.5703125" style="2217" customWidth="1"/>
    <col min="13" max="13" width="60.42578125" style="1" customWidth="1"/>
    <col min="14" max="14" width="23.140625" style="1" customWidth="1"/>
    <col min="15" max="15" width="47.7109375" style="2260" customWidth="1"/>
    <col min="16" max="16" width="45.140625" style="2225" customWidth="1"/>
    <col min="17" max="16384" width="32.140625" style="3"/>
  </cols>
  <sheetData>
    <row r="1" spans="1:26" ht="74.25" customHeight="1">
      <c r="A1" s="3760" t="s">
        <v>8414</v>
      </c>
      <c r="B1" s="3760"/>
      <c r="C1" s="3760"/>
      <c r="D1" s="3760"/>
      <c r="E1" s="3760"/>
      <c r="F1" s="3760"/>
      <c r="G1" s="3760"/>
      <c r="H1" s="3760"/>
      <c r="I1" s="3760"/>
      <c r="J1" s="3760"/>
      <c r="K1" s="3760"/>
      <c r="L1" s="3760"/>
      <c r="M1" s="3760"/>
      <c r="N1" s="3760"/>
      <c r="O1" s="3760"/>
      <c r="P1" s="3760"/>
      <c r="Q1" s="2884"/>
    </row>
    <row r="2" spans="1:26" ht="58.5" customHeight="1">
      <c r="A2" s="3774" t="s">
        <v>5186</v>
      </c>
      <c r="B2" s="3774"/>
      <c r="C2" s="3774"/>
      <c r="D2" s="2215">
        <f>SUBTOTAL(9,D3:D335)</f>
        <v>413677</v>
      </c>
      <c r="E2" s="2821"/>
      <c r="F2" s="2092"/>
      <c r="G2" s="2269" t="s">
        <v>5187</v>
      </c>
      <c r="H2" s="1932"/>
      <c r="I2" s="1932"/>
      <c r="J2" s="2765"/>
      <c r="K2" s="2762">
        <f ca="1">TODAY()</f>
        <v>45960</v>
      </c>
      <c r="L2" s="2272">
        <f>SUBTOTAL(9,L4:L518)</f>
        <v>413456</v>
      </c>
      <c r="M2" s="2339" t="s">
        <v>5188</v>
      </c>
      <c r="N2" s="2272">
        <f>SUBTOTAL(9,N4:N518)</f>
        <v>0</v>
      </c>
      <c r="O2" s="2099" t="s">
        <v>5925</v>
      </c>
      <c r="P2" s="2786" t="s">
        <v>5170</v>
      </c>
      <c r="Q2" s="2786"/>
    </row>
    <row r="3" spans="1:26" s="2709" customFormat="1" ht="58.5" customHeight="1">
      <c r="A3" s="2813" t="s">
        <v>1</v>
      </c>
      <c r="B3" s="2704" t="s">
        <v>5190</v>
      </c>
      <c r="C3" s="2707" t="s">
        <v>5191</v>
      </c>
      <c r="D3" s="2706" t="s">
        <v>5423</v>
      </c>
      <c r="E3" s="2707" t="s">
        <v>3389</v>
      </c>
      <c r="F3" s="2705" t="s">
        <v>5</v>
      </c>
      <c r="G3" s="2707" t="s">
        <v>3390</v>
      </c>
      <c r="H3" s="2707" t="s">
        <v>5927</v>
      </c>
      <c r="I3" s="2707" t="s">
        <v>8</v>
      </c>
      <c r="J3" s="2707" t="s">
        <v>9</v>
      </c>
      <c r="K3" s="2707" t="s">
        <v>8415</v>
      </c>
      <c r="L3" s="2711" t="s">
        <v>5197</v>
      </c>
      <c r="M3" s="2710" t="s">
        <v>5929</v>
      </c>
      <c r="N3" s="2755" t="s">
        <v>5199</v>
      </c>
      <c r="O3" s="2704" t="s">
        <v>11</v>
      </c>
      <c r="P3" s="2794" t="s">
        <v>5200</v>
      </c>
      <c r="Q3" s="2794"/>
    </row>
    <row r="4" spans="1:26" s="2643" customFormat="1" ht="58.5" customHeight="1">
      <c r="A4" s="1902">
        <v>1</v>
      </c>
      <c r="B4" s="1900" t="str">
        <f t="shared" ref="B4:B20" si="0">TEXT(LEFT(K4,10),"0000000000")</f>
        <v>2000003117</v>
      </c>
      <c r="C4" s="1902" t="s">
        <v>93</v>
      </c>
      <c r="D4" s="2179">
        <v>2950</v>
      </c>
      <c r="E4" s="1921" t="s">
        <v>8416</v>
      </c>
      <c r="F4" s="1902" t="s">
        <v>84</v>
      </c>
      <c r="G4" s="1921" t="s">
        <v>8417</v>
      </c>
      <c r="H4" s="1909" t="s">
        <v>8418</v>
      </c>
      <c r="I4" s="1902" t="s">
        <v>19</v>
      </c>
      <c r="J4" s="1902" t="s">
        <v>74</v>
      </c>
      <c r="K4" s="2150" t="s">
        <v>8419</v>
      </c>
      <c r="L4" s="2179">
        <v>2950</v>
      </c>
      <c r="M4" s="2429" t="s">
        <v>8420</v>
      </c>
      <c r="N4" s="2150"/>
      <c r="O4" s="1775"/>
      <c r="P4" s="1790">
        <v>1</v>
      </c>
      <c r="Q4" s="1790"/>
    </row>
    <row r="5" spans="1:26" s="2643" customFormat="1" ht="94.5" customHeight="1">
      <c r="A5" s="2436">
        <v>2</v>
      </c>
      <c r="B5" s="1900" t="str">
        <f t="shared" si="0"/>
        <v>2000003120</v>
      </c>
      <c r="C5" s="1902" t="s">
        <v>4786</v>
      </c>
      <c r="D5" s="2624">
        <v>5460</v>
      </c>
      <c r="E5" s="1921" t="s">
        <v>8421</v>
      </c>
      <c r="F5" s="1902" t="s">
        <v>3416</v>
      </c>
      <c r="G5" s="1921" t="s">
        <v>8422</v>
      </c>
      <c r="H5" s="1921"/>
      <c r="I5" s="1902" t="s">
        <v>19</v>
      </c>
      <c r="J5" s="1921" t="s">
        <v>253</v>
      </c>
      <c r="K5" s="1845" t="s">
        <v>8423</v>
      </c>
      <c r="L5" s="2583">
        <v>5562</v>
      </c>
      <c r="M5" s="1921" t="s">
        <v>8424</v>
      </c>
      <c r="N5" s="1902"/>
      <c r="O5" s="1862" t="s">
        <v>8425</v>
      </c>
      <c r="P5" s="1790">
        <v>1</v>
      </c>
      <c r="Q5" s="1790"/>
    </row>
    <row r="6" spans="1:26" s="2643" customFormat="1" ht="58.5" customHeight="1">
      <c r="A6" s="3783">
        <v>3</v>
      </c>
      <c r="B6" s="1900" t="str">
        <f t="shared" si="0"/>
        <v>2000003117</v>
      </c>
      <c r="C6" s="1902" t="s">
        <v>3460</v>
      </c>
      <c r="D6" s="2179">
        <v>4000</v>
      </c>
      <c r="E6" s="1921" t="s">
        <v>8426</v>
      </c>
      <c r="F6" s="1902" t="s">
        <v>61</v>
      </c>
      <c r="G6" s="1902" t="s">
        <v>8427</v>
      </c>
      <c r="H6" s="1902" t="s">
        <v>8428</v>
      </c>
      <c r="I6" s="1902" t="s">
        <v>19</v>
      </c>
      <c r="J6" s="1902" t="s">
        <v>74</v>
      </c>
      <c r="K6" s="2150" t="s">
        <v>8429</v>
      </c>
      <c r="L6" s="2179">
        <v>3900</v>
      </c>
      <c r="M6" s="1909" t="s">
        <v>8430</v>
      </c>
      <c r="N6" s="2150"/>
      <c r="O6" s="1775"/>
      <c r="P6" s="1790">
        <v>1</v>
      </c>
      <c r="Q6" s="1790"/>
    </row>
    <row r="7" spans="1:26" s="1467" customFormat="1" ht="58.5" customHeight="1">
      <c r="A7" s="3783"/>
      <c r="B7" s="1900" t="str">
        <f t="shared" si="0"/>
        <v>2400001259</v>
      </c>
      <c r="C7" s="1493" t="s">
        <v>3460</v>
      </c>
      <c r="D7" s="2183"/>
      <c r="E7" s="1495"/>
      <c r="F7" s="1493" t="s">
        <v>61</v>
      </c>
      <c r="G7" s="1493"/>
      <c r="H7" s="1493"/>
      <c r="I7" s="1493" t="s">
        <v>19</v>
      </c>
      <c r="J7" s="1493" t="s">
        <v>123</v>
      </c>
      <c r="K7" s="1548" t="s">
        <v>8431</v>
      </c>
      <c r="L7" s="2183">
        <v>50</v>
      </c>
      <c r="M7" s="1493" t="s">
        <v>5454</v>
      </c>
      <c r="N7" s="1548"/>
      <c r="O7" s="1859"/>
      <c r="P7" s="1790">
        <v>1</v>
      </c>
      <c r="Q7" s="1790"/>
    </row>
    <row r="8" spans="1:26" s="1467" customFormat="1" ht="58.5" customHeight="1">
      <c r="A8" s="3783"/>
      <c r="B8" s="1900" t="str">
        <f t="shared" si="0"/>
        <v>2400001258</v>
      </c>
      <c r="C8" s="1493" t="s">
        <v>3460</v>
      </c>
      <c r="D8" s="2183"/>
      <c r="E8" s="1495"/>
      <c r="F8" s="1493" t="s">
        <v>61</v>
      </c>
      <c r="G8" s="1493"/>
      <c r="H8" s="1493"/>
      <c r="I8" s="1493" t="s">
        <v>19</v>
      </c>
      <c r="J8" s="1493" t="s">
        <v>123</v>
      </c>
      <c r="K8" s="1548" t="s">
        <v>8432</v>
      </c>
      <c r="L8" s="2183">
        <v>50</v>
      </c>
      <c r="M8" s="1493" t="s">
        <v>5454</v>
      </c>
      <c r="N8" s="1548"/>
      <c r="O8" s="1859"/>
      <c r="P8" s="1790">
        <v>1</v>
      </c>
      <c r="Q8" s="1790"/>
    </row>
    <row r="9" spans="1:26" s="2643" customFormat="1" ht="68.25" customHeight="1">
      <c r="A9" s="3735">
        <v>4</v>
      </c>
      <c r="B9" s="1900" t="str">
        <f t="shared" si="0"/>
        <v>2000003133</v>
      </c>
      <c r="C9" s="2263" t="s">
        <v>112</v>
      </c>
      <c r="D9" s="2624">
        <v>9400</v>
      </c>
      <c r="E9" s="1921" t="s">
        <v>8433</v>
      </c>
      <c r="F9" s="1902" t="s">
        <v>84</v>
      </c>
      <c r="G9" s="1921" t="s">
        <v>8434</v>
      </c>
      <c r="H9" s="1921"/>
      <c r="I9" s="1902" t="s">
        <v>19</v>
      </c>
      <c r="J9" s="1921" t="s">
        <v>1138</v>
      </c>
      <c r="K9" s="1911" t="s">
        <v>8435</v>
      </c>
      <c r="L9" s="2583">
        <v>4800</v>
      </c>
      <c r="M9" s="1921" t="s">
        <v>5454</v>
      </c>
      <c r="N9" s="1902"/>
      <c r="O9" s="1859"/>
      <c r="P9" s="1790">
        <v>1</v>
      </c>
      <c r="Q9" s="1790"/>
    </row>
    <row r="10" spans="1:26" s="2643" customFormat="1" ht="68.25" customHeight="1">
      <c r="A10" s="3735"/>
      <c r="B10" s="1900" t="str">
        <f t="shared" si="0"/>
        <v>2200002074</v>
      </c>
      <c r="C10" s="1545" t="s">
        <v>112</v>
      </c>
      <c r="D10" s="2183"/>
      <c r="E10" s="1493" t="s">
        <v>125</v>
      </c>
      <c r="F10" s="1493" t="s">
        <v>84</v>
      </c>
      <c r="G10" s="1493"/>
      <c r="H10" s="1493"/>
      <c r="I10" s="1493" t="s">
        <v>19</v>
      </c>
      <c r="J10" s="1495" t="s">
        <v>1138</v>
      </c>
      <c r="K10" s="1548" t="s">
        <v>8436</v>
      </c>
      <c r="L10" s="2183">
        <v>2150</v>
      </c>
      <c r="M10" s="2196" t="s">
        <v>5937</v>
      </c>
      <c r="N10" s="1548"/>
      <c r="O10" s="1548"/>
      <c r="P10" s="1790">
        <v>1</v>
      </c>
      <c r="Q10" s="1790"/>
      <c r="R10" s="1548"/>
      <c r="S10" s="1548"/>
      <c r="T10" s="1548"/>
      <c r="U10" s="1548"/>
      <c r="V10" s="1548"/>
      <c r="W10" s="1548"/>
      <c r="X10" s="1548"/>
      <c r="Y10" s="1548"/>
      <c r="Z10" s="1548"/>
    </row>
    <row r="11" spans="1:26" s="2643" customFormat="1" ht="68.25" customHeight="1">
      <c r="A11" s="3735"/>
      <c r="B11" s="1900" t="str">
        <f t="shared" si="0"/>
        <v>2200002083</v>
      </c>
      <c r="C11" s="1545" t="s">
        <v>112</v>
      </c>
      <c r="D11" s="2183"/>
      <c r="E11" s="1493"/>
      <c r="F11" s="1493" t="s">
        <v>84</v>
      </c>
      <c r="G11" s="1493"/>
      <c r="H11" s="1493"/>
      <c r="I11" s="1493" t="s">
        <v>19</v>
      </c>
      <c r="J11" s="1495" t="s">
        <v>1138</v>
      </c>
      <c r="K11" s="1548" t="s">
        <v>8437</v>
      </c>
      <c r="L11" s="2183">
        <v>2330</v>
      </c>
      <c r="M11" s="1790" t="s">
        <v>5214</v>
      </c>
      <c r="N11" s="1548"/>
      <c r="O11" s="1548"/>
      <c r="P11" s="1790">
        <v>1</v>
      </c>
      <c r="Q11" s="1790"/>
      <c r="R11" s="1548"/>
      <c r="S11" s="1548"/>
      <c r="T11" s="1548"/>
      <c r="U11" s="1548"/>
      <c r="V11" s="1548"/>
      <c r="W11" s="1548"/>
      <c r="X11" s="1548"/>
      <c r="Y11" s="1548"/>
      <c r="Z11" s="1548"/>
    </row>
    <row r="12" spans="1:26" s="2643" customFormat="1" ht="68.25" customHeight="1">
      <c r="A12" s="3749">
        <v>5</v>
      </c>
      <c r="B12" s="1900" t="str">
        <f t="shared" si="0"/>
        <v>2000003121</v>
      </c>
      <c r="C12" s="1902" t="s">
        <v>3499</v>
      </c>
      <c r="D12" s="2656">
        <v>8800</v>
      </c>
      <c r="E12" s="2118" t="s">
        <v>8438</v>
      </c>
      <c r="F12" s="1902" t="s">
        <v>3401</v>
      </c>
      <c r="G12" s="2118" t="s">
        <v>8439</v>
      </c>
      <c r="H12" s="2118"/>
      <c r="I12" s="1902" t="s">
        <v>19</v>
      </c>
      <c r="J12" s="1921" t="s">
        <v>123</v>
      </c>
      <c r="K12" s="1845" t="s">
        <v>8440</v>
      </c>
      <c r="L12" s="2583">
        <v>2763</v>
      </c>
      <c r="M12" s="2196" t="s">
        <v>5937</v>
      </c>
      <c r="N12" s="1902"/>
      <c r="O12" s="1775"/>
      <c r="P12" s="1790">
        <v>1</v>
      </c>
      <c r="Q12" s="1790"/>
      <c r="R12" s="1467"/>
      <c r="S12" s="1467"/>
      <c r="T12" s="1467"/>
      <c r="U12" s="1467"/>
      <c r="V12" s="1467"/>
      <c r="W12" s="1467"/>
      <c r="X12" s="1467"/>
      <c r="Y12" s="1467"/>
      <c r="Z12" s="1467"/>
    </row>
    <row r="13" spans="1:26" s="2643" customFormat="1" ht="68.25" customHeight="1">
      <c r="A13" s="3749"/>
      <c r="B13" s="1900" t="str">
        <f t="shared" si="0"/>
        <v>2000003129</v>
      </c>
      <c r="C13" s="1493" t="s">
        <v>3499</v>
      </c>
      <c r="D13" s="2183"/>
      <c r="E13" s="1493"/>
      <c r="F13" s="1493" t="s">
        <v>3401</v>
      </c>
      <c r="G13" s="1493"/>
      <c r="H13" s="1493"/>
      <c r="I13" s="1493" t="s">
        <v>19</v>
      </c>
      <c r="J13" s="1493" t="s">
        <v>63</v>
      </c>
      <c r="K13" s="1770" t="s">
        <v>8441</v>
      </c>
      <c r="L13" s="2183">
        <v>2138</v>
      </c>
      <c r="M13" s="1748" t="s">
        <v>5454</v>
      </c>
      <c r="N13" s="1548"/>
      <c r="O13" s="1548"/>
      <c r="P13" s="1493">
        <v>1</v>
      </c>
      <c r="Q13" s="1493"/>
    </row>
    <row r="14" spans="1:26" s="2643" customFormat="1" ht="68.25" customHeight="1">
      <c r="A14" s="3749"/>
      <c r="B14" s="1900" t="str">
        <f t="shared" si="0"/>
        <v>2000003144</v>
      </c>
      <c r="C14" s="1493" t="s">
        <v>3499</v>
      </c>
      <c r="D14" s="2183"/>
      <c r="E14" s="1493"/>
      <c r="F14" s="1493" t="s">
        <v>3401</v>
      </c>
      <c r="G14" s="1493"/>
      <c r="H14" s="1493"/>
      <c r="I14" s="1493" t="s">
        <v>19</v>
      </c>
      <c r="J14" s="1493" t="s">
        <v>63</v>
      </c>
      <c r="K14" s="1770" t="s">
        <v>8442</v>
      </c>
      <c r="L14" s="2183">
        <v>650</v>
      </c>
      <c r="M14" s="1748" t="s">
        <v>5454</v>
      </c>
      <c r="N14" s="1548"/>
      <c r="O14" s="1548"/>
      <c r="P14" s="1493">
        <v>1</v>
      </c>
      <c r="Q14" s="1493"/>
    </row>
    <row r="15" spans="1:26" s="2643" customFormat="1" ht="68.25" customHeight="1">
      <c r="A15" s="3749"/>
      <c r="B15" s="1900" t="str">
        <f t="shared" si="0"/>
        <v>2000003130</v>
      </c>
      <c r="C15" s="1493" t="s">
        <v>3499</v>
      </c>
      <c r="D15" s="2183"/>
      <c r="E15" s="1493"/>
      <c r="F15" s="1493" t="s">
        <v>3401</v>
      </c>
      <c r="G15" s="1493"/>
      <c r="H15" s="1493"/>
      <c r="I15" s="1493" t="s">
        <v>19</v>
      </c>
      <c r="J15" s="1493" t="s">
        <v>63</v>
      </c>
      <c r="K15" s="1770" t="s">
        <v>8443</v>
      </c>
      <c r="L15" s="2183">
        <v>2600</v>
      </c>
      <c r="M15" s="2196" t="s">
        <v>8444</v>
      </c>
      <c r="N15" s="1548"/>
      <c r="O15" s="1548"/>
      <c r="P15" s="1493">
        <v>1</v>
      </c>
      <c r="Q15" s="1493"/>
    </row>
    <row r="16" spans="1:26" s="2643" customFormat="1" ht="68.25" customHeight="1">
      <c r="A16" s="3749"/>
      <c r="B16" s="1900" t="str">
        <f t="shared" si="0"/>
        <v>2000003157</v>
      </c>
      <c r="C16" s="1493" t="s">
        <v>3499</v>
      </c>
      <c r="D16" s="1826"/>
      <c r="E16" s="1495"/>
      <c r="F16" s="1493" t="s">
        <v>3401</v>
      </c>
      <c r="G16" s="1495"/>
      <c r="H16" s="1495"/>
      <c r="I16" s="2845" t="s">
        <v>19</v>
      </c>
      <c r="J16" s="1495" t="s">
        <v>63</v>
      </c>
      <c r="K16" s="1771" t="s">
        <v>8445</v>
      </c>
      <c r="L16" s="2357">
        <v>717</v>
      </c>
      <c r="M16" s="2196" t="s">
        <v>5937</v>
      </c>
      <c r="N16" s="1493"/>
      <c r="O16" s="1859"/>
      <c r="P16" s="1790">
        <v>1</v>
      </c>
      <c r="Q16" s="1790"/>
      <c r="R16" s="1467"/>
      <c r="S16" s="1467"/>
      <c r="T16" s="1467"/>
      <c r="U16" s="1467"/>
      <c r="V16" s="1467"/>
      <c r="W16" s="1467"/>
      <c r="X16" s="1467"/>
      <c r="Y16" s="1467"/>
      <c r="Z16" s="1467"/>
    </row>
    <row r="17" spans="1:26" s="2643" customFormat="1" ht="68.25" customHeight="1">
      <c r="A17" s="2436">
        <v>6</v>
      </c>
      <c r="B17" s="1900" t="str">
        <f t="shared" si="0"/>
        <v>2200002072</v>
      </c>
      <c r="C17" s="1921" t="s">
        <v>8446</v>
      </c>
      <c r="D17" s="2607">
        <v>1400</v>
      </c>
      <c r="E17" s="1921" t="s">
        <v>8447</v>
      </c>
      <c r="F17" s="1902" t="s">
        <v>89</v>
      </c>
      <c r="G17" s="1921" t="s">
        <v>8448</v>
      </c>
      <c r="H17" s="1921" t="s">
        <v>8449</v>
      </c>
      <c r="I17" s="1902" t="s">
        <v>19</v>
      </c>
      <c r="J17" s="1921" t="s">
        <v>101</v>
      </c>
      <c r="K17" s="2846" t="s">
        <v>8450</v>
      </c>
      <c r="L17" s="2583">
        <v>1400</v>
      </c>
      <c r="M17" s="2196" t="s">
        <v>8451</v>
      </c>
      <c r="N17" s="1902"/>
      <c r="O17" s="1775"/>
      <c r="P17" s="1790">
        <v>1</v>
      </c>
      <c r="Q17" s="1790"/>
      <c r="R17" s="1921"/>
      <c r="S17" s="1921"/>
      <c r="T17" s="1909"/>
      <c r="U17" s="2150"/>
      <c r="V17" s="2150"/>
      <c r="W17" s="2150"/>
      <c r="X17" s="1902"/>
      <c r="Y17" s="1902"/>
      <c r="Z17" s="1902"/>
    </row>
    <row r="18" spans="1:26" s="2643" customFormat="1" ht="58.5" customHeight="1">
      <c r="A18" s="3749">
        <v>7</v>
      </c>
      <c r="B18" s="1900" t="str">
        <f t="shared" si="0"/>
        <v>2400001229</v>
      </c>
      <c r="C18" s="1902" t="s">
        <v>8452</v>
      </c>
      <c r="D18" s="2624">
        <v>35000</v>
      </c>
      <c r="E18" s="1921" t="s">
        <v>8453</v>
      </c>
      <c r="F18" s="1902" t="s">
        <v>4031</v>
      </c>
      <c r="G18" s="1921" t="s">
        <v>8454</v>
      </c>
      <c r="H18" s="1921"/>
      <c r="I18" s="1921" t="s">
        <v>19</v>
      </c>
      <c r="J18" s="1921" t="s">
        <v>8455</v>
      </c>
      <c r="K18" s="1911" t="s">
        <v>8456</v>
      </c>
      <c r="L18" s="2583">
        <v>4500</v>
      </c>
      <c r="M18" s="2196" t="s">
        <v>8457</v>
      </c>
      <c r="N18" s="1902" t="s">
        <v>8458</v>
      </c>
      <c r="O18" s="1775" t="s">
        <v>8459</v>
      </c>
      <c r="P18" s="1790">
        <v>1</v>
      </c>
      <c r="Q18" s="1790"/>
      <c r="R18" s="1921"/>
      <c r="S18" s="1921"/>
      <c r="T18" s="1909"/>
      <c r="U18" s="2150"/>
      <c r="V18" s="2150"/>
      <c r="W18" s="2150"/>
      <c r="X18" s="1902"/>
      <c r="Y18" s="1902"/>
      <c r="Z18" s="1902"/>
    </row>
    <row r="19" spans="1:26" s="2643" customFormat="1" ht="58.5" customHeight="1">
      <c r="A19" s="3749"/>
      <c r="B19" s="1900" t="str">
        <f t="shared" si="0"/>
        <v>2400001237</v>
      </c>
      <c r="C19" s="1493" t="s">
        <v>8452</v>
      </c>
      <c r="D19" s="1826"/>
      <c r="E19" s="1495"/>
      <c r="F19" s="1493" t="s">
        <v>4031</v>
      </c>
      <c r="G19" s="1495"/>
      <c r="H19" s="1495"/>
      <c r="I19" s="1495" t="s">
        <v>19</v>
      </c>
      <c r="J19" s="1495" t="s">
        <v>8455</v>
      </c>
      <c r="K19" s="1547" t="s">
        <v>8460</v>
      </c>
      <c r="L19" s="2357">
        <v>4000</v>
      </c>
      <c r="M19" s="2826" t="s">
        <v>5454</v>
      </c>
      <c r="N19" s="1493" t="s">
        <v>8458</v>
      </c>
      <c r="O19" s="1843" t="s">
        <v>8459</v>
      </c>
      <c r="P19" s="1790">
        <v>1</v>
      </c>
      <c r="Q19" s="1790"/>
      <c r="R19" s="1495"/>
      <c r="S19" s="1495"/>
      <c r="T19" s="1909"/>
      <c r="U19" s="1548"/>
      <c r="V19" s="1548"/>
      <c r="W19" s="1548"/>
      <c r="X19" s="1493"/>
      <c r="Y19" s="1493"/>
      <c r="Z19" s="1493"/>
    </row>
    <row r="20" spans="1:26" s="2643" customFormat="1" ht="58.5" customHeight="1">
      <c r="A20" s="3749"/>
      <c r="B20" s="1900" t="str">
        <f t="shared" si="0"/>
        <v>2400001230</v>
      </c>
      <c r="C20" s="1493" t="s">
        <v>8452</v>
      </c>
      <c r="D20" s="1826"/>
      <c r="E20" s="1495"/>
      <c r="F20" s="1493" t="s">
        <v>4031</v>
      </c>
      <c r="G20" s="1495"/>
      <c r="H20" s="1495"/>
      <c r="I20" s="1495" t="s">
        <v>19</v>
      </c>
      <c r="J20" s="1495" t="s">
        <v>8455</v>
      </c>
      <c r="K20" s="1547" t="s">
        <v>8461</v>
      </c>
      <c r="L20" s="2357">
        <f>35000-8500</f>
        <v>26500</v>
      </c>
      <c r="M20" s="2826" t="s">
        <v>8462</v>
      </c>
      <c r="N20" s="1493" t="s">
        <v>8458</v>
      </c>
      <c r="O20" s="1859"/>
      <c r="P20" s="1790">
        <v>1</v>
      </c>
      <c r="Q20" s="1790"/>
      <c r="R20" s="1495"/>
      <c r="S20" s="1495"/>
      <c r="T20" s="1909"/>
      <c r="U20" s="1548"/>
      <c r="V20" s="1548"/>
      <c r="W20" s="1548"/>
      <c r="X20" s="1493"/>
      <c r="Y20" s="1493"/>
      <c r="Z20" s="1493"/>
    </row>
    <row r="21" spans="1:26" s="2643" customFormat="1" ht="58.5" customHeight="1">
      <c r="A21" s="3735">
        <v>8</v>
      </c>
      <c r="B21" s="1900">
        <v>2200002083</v>
      </c>
      <c r="C21" s="1921" t="s">
        <v>5737</v>
      </c>
      <c r="D21" s="2179">
        <v>4450</v>
      </c>
      <c r="E21" s="1921" t="s">
        <v>8463</v>
      </c>
      <c r="F21" s="1902" t="s">
        <v>54</v>
      </c>
      <c r="G21" s="1902" t="s">
        <v>8464</v>
      </c>
      <c r="H21" s="1902"/>
      <c r="I21" s="1902" t="s">
        <v>19</v>
      </c>
      <c r="J21" s="1902" t="s">
        <v>959</v>
      </c>
      <c r="K21" s="2150" t="s">
        <v>8437</v>
      </c>
      <c r="L21" s="2847">
        <v>570</v>
      </c>
      <c r="M21" s="2429" t="s">
        <v>5214</v>
      </c>
      <c r="N21" s="2150"/>
      <c r="O21" s="1548"/>
      <c r="P21" s="1790">
        <v>1</v>
      </c>
      <c r="Q21" s="1790"/>
      <c r="R21" s="1467"/>
      <c r="S21" s="1467"/>
      <c r="T21" s="1467"/>
      <c r="U21" s="1467"/>
      <c r="V21" s="1467"/>
      <c r="W21" s="1467"/>
      <c r="X21" s="1467"/>
      <c r="Y21" s="1467"/>
      <c r="Z21" s="1467"/>
    </row>
    <row r="22" spans="1:26" s="2643" customFormat="1" ht="58.5" customHeight="1">
      <c r="A22" s="3735"/>
      <c r="B22" s="1900">
        <v>2200002086</v>
      </c>
      <c r="C22" s="1495" t="s">
        <v>5737</v>
      </c>
      <c r="D22" s="2183"/>
      <c r="E22" s="1493"/>
      <c r="F22" s="1493" t="s">
        <v>54</v>
      </c>
      <c r="G22" s="1493"/>
      <c r="H22" s="1493"/>
      <c r="I22" s="1493" t="s">
        <v>19</v>
      </c>
      <c r="J22" s="1493" t="s">
        <v>959</v>
      </c>
      <c r="K22" s="1774" t="s">
        <v>8465</v>
      </c>
      <c r="L22" s="2848">
        <v>2827</v>
      </c>
      <c r="M22" s="2196" t="s">
        <v>5937</v>
      </c>
      <c r="N22" s="1548"/>
      <c r="O22" s="1548"/>
      <c r="P22" s="1790">
        <v>1</v>
      </c>
      <c r="Q22" s="1790"/>
      <c r="R22" s="1467"/>
      <c r="S22" s="1467"/>
      <c r="T22" s="1467"/>
      <c r="U22" s="1467"/>
      <c r="V22" s="1467"/>
      <c r="W22" s="1467"/>
      <c r="X22" s="1467"/>
      <c r="Y22" s="1467"/>
      <c r="Z22" s="1467"/>
    </row>
    <row r="23" spans="1:26" s="2643" customFormat="1" ht="102" customHeight="1">
      <c r="A23" s="3735"/>
      <c r="B23" s="1900">
        <v>2200002065</v>
      </c>
      <c r="C23" s="1495" t="s">
        <v>5737</v>
      </c>
      <c r="D23" s="2183"/>
      <c r="E23" s="1493"/>
      <c r="F23" s="1493" t="s">
        <v>54</v>
      </c>
      <c r="G23" s="1493"/>
      <c r="H23" s="1493"/>
      <c r="I23" s="1493" t="s">
        <v>19</v>
      </c>
      <c r="J23" s="1493" t="s">
        <v>959</v>
      </c>
      <c r="K23" s="1774" t="s">
        <v>8466</v>
      </c>
      <c r="L23" s="2848">
        <v>758</v>
      </c>
      <c r="M23" s="2849" t="s">
        <v>5454</v>
      </c>
      <c r="N23" s="1548"/>
      <c r="O23" s="1548"/>
      <c r="P23" s="1790">
        <v>1</v>
      </c>
      <c r="Q23" s="1790"/>
      <c r="R23" s="1467"/>
      <c r="S23" s="1467"/>
      <c r="T23" s="1467"/>
      <c r="U23" s="1467"/>
      <c r="V23" s="1467"/>
      <c r="W23" s="1467"/>
      <c r="X23" s="1467"/>
      <c r="Y23" s="1467"/>
      <c r="Z23" s="1467"/>
    </row>
    <row r="24" spans="1:26" s="2643" customFormat="1" ht="58.5" customHeight="1">
      <c r="A24" s="3735"/>
      <c r="B24" s="1900">
        <v>2200002066</v>
      </c>
      <c r="C24" s="1495" t="s">
        <v>5737</v>
      </c>
      <c r="D24" s="2850"/>
      <c r="E24" s="1493"/>
      <c r="F24" s="1493" t="s">
        <v>54</v>
      </c>
      <c r="G24" s="1493"/>
      <c r="H24" s="1495"/>
      <c r="I24" s="1493" t="s">
        <v>19</v>
      </c>
      <c r="J24" s="1493" t="s">
        <v>959</v>
      </c>
      <c r="K24" s="1821" t="s">
        <v>8467</v>
      </c>
      <c r="L24" s="2848">
        <v>178</v>
      </c>
      <c r="M24" s="2055" t="s">
        <v>8468</v>
      </c>
      <c r="N24" s="1548"/>
      <c r="O24" s="1548"/>
      <c r="P24" s="1790">
        <v>1</v>
      </c>
      <c r="Q24" s="1790"/>
      <c r="R24" s="1467"/>
      <c r="S24" s="1467"/>
      <c r="T24" s="1467"/>
      <c r="U24" s="1467"/>
      <c r="V24" s="1467"/>
      <c r="W24" s="1467"/>
      <c r="X24" s="1467"/>
      <c r="Y24" s="1467"/>
      <c r="Z24" s="1467"/>
    </row>
    <row r="25" spans="1:26" s="2643" customFormat="1" ht="58.5" customHeight="1">
      <c r="A25" s="3735"/>
      <c r="B25" s="1900">
        <v>2200002069</v>
      </c>
      <c r="C25" s="1495" t="s">
        <v>5737</v>
      </c>
      <c r="D25" s="2850"/>
      <c r="E25" s="1493"/>
      <c r="F25" s="1493" t="s">
        <v>54</v>
      </c>
      <c r="G25" s="1493"/>
      <c r="H25" s="1495"/>
      <c r="I25" s="1493" t="s">
        <v>19</v>
      </c>
      <c r="J25" s="1493" t="s">
        <v>959</v>
      </c>
      <c r="K25" s="2872" t="s">
        <v>8469</v>
      </c>
      <c r="L25" s="2183">
        <v>110</v>
      </c>
      <c r="M25" s="2055" t="s">
        <v>8468</v>
      </c>
      <c r="N25" s="1548"/>
      <c r="O25" s="1548"/>
      <c r="P25" s="1790">
        <v>1</v>
      </c>
      <c r="Q25" s="1790"/>
      <c r="R25" s="1467"/>
      <c r="S25" s="1467"/>
      <c r="T25" s="1467"/>
      <c r="U25" s="1467"/>
      <c r="V25" s="1467"/>
      <c r="W25" s="1467"/>
      <c r="X25" s="1467"/>
      <c r="Y25" s="1467"/>
      <c r="Z25" s="1467"/>
    </row>
    <row r="26" spans="1:26" s="2643" customFormat="1" ht="54" customHeight="1">
      <c r="A26" s="3749">
        <v>9</v>
      </c>
      <c r="B26" s="1900" t="str">
        <f>TEXT(LEFT(K26,10),"0000000000")</f>
        <v>2000003103</v>
      </c>
      <c r="C26" s="1902" t="s">
        <v>5319</v>
      </c>
      <c r="D26" s="2624">
        <v>11900</v>
      </c>
      <c r="E26" s="1921" t="s">
        <v>8470</v>
      </c>
      <c r="F26" s="1902" t="s">
        <v>3401</v>
      </c>
      <c r="G26" s="1921" t="s">
        <v>8471</v>
      </c>
      <c r="H26" s="1921"/>
      <c r="I26" s="1921" t="s">
        <v>19</v>
      </c>
      <c r="J26" s="1561" t="s">
        <v>123</v>
      </c>
      <c r="K26" s="2402" t="s">
        <v>8472</v>
      </c>
      <c r="L26" s="2508">
        <v>1110</v>
      </c>
      <c r="M26" s="2196" t="s">
        <v>5937</v>
      </c>
      <c r="N26" s="1495"/>
      <c r="O26" s="1859"/>
      <c r="P26" s="1790">
        <v>1</v>
      </c>
      <c r="Q26" s="1790"/>
      <c r="R26" s="1467"/>
      <c r="S26" s="1467"/>
      <c r="T26" s="1467"/>
      <c r="U26" s="1467"/>
      <c r="V26" s="1467"/>
      <c r="W26" s="1467"/>
      <c r="X26" s="1467"/>
      <c r="Y26" s="1467"/>
      <c r="Z26" s="1467"/>
    </row>
    <row r="27" spans="1:26" s="2643" customFormat="1" ht="50.25" customHeight="1">
      <c r="A27" s="3749"/>
      <c r="B27" s="1900" t="str">
        <f>TEXT(LEFT(K27,10),"0000000000")</f>
        <v>2200002098</v>
      </c>
      <c r="C27" s="1493" t="s">
        <v>5319</v>
      </c>
      <c r="D27" s="1826"/>
      <c r="E27" s="1495"/>
      <c r="F27" s="1493" t="s">
        <v>3401</v>
      </c>
      <c r="G27" s="1495"/>
      <c r="H27" s="1851"/>
      <c r="I27" s="1495" t="s">
        <v>19</v>
      </c>
      <c r="J27" s="1495" t="s">
        <v>63</v>
      </c>
      <c r="K27" s="1605" t="s">
        <v>8473</v>
      </c>
      <c r="L27" s="2543">
        <v>185</v>
      </c>
      <c r="M27" s="1748" t="s">
        <v>8474</v>
      </c>
      <c r="N27" s="1493"/>
      <c r="O27" s="1859"/>
      <c r="P27" s="1790">
        <v>1</v>
      </c>
      <c r="Q27" s="1790"/>
      <c r="R27" s="1467"/>
      <c r="S27" s="1467"/>
      <c r="T27" s="1467"/>
      <c r="U27" s="1467"/>
      <c r="V27" s="1467"/>
      <c r="W27" s="1467"/>
      <c r="X27" s="1467"/>
      <c r="Y27" s="1467"/>
      <c r="Z27" s="1467"/>
    </row>
    <row r="28" spans="1:26" s="2643" customFormat="1" ht="58.5" customHeight="1">
      <c r="A28" s="3749"/>
      <c r="B28" s="1900">
        <v>2000003136</v>
      </c>
      <c r="C28" s="1493" t="s">
        <v>5319</v>
      </c>
      <c r="D28" s="1826"/>
      <c r="E28" s="1495"/>
      <c r="F28" s="1493" t="s">
        <v>3401</v>
      </c>
      <c r="G28" s="1495"/>
      <c r="H28" s="1495"/>
      <c r="I28" s="1493" t="s">
        <v>19</v>
      </c>
      <c r="J28" s="1495" t="s">
        <v>63</v>
      </c>
      <c r="K28" s="1600" t="s">
        <v>8475</v>
      </c>
      <c r="L28" s="2357">
        <v>4812</v>
      </c>
      <c r="M28" s="1495" t="s">
        <v>8476</v>
      </c>
      <c r="N28" s="1493"/>
      <c r="O28" s="1859"/>
      <c r="P28" s="1790">
        <v>1</v>
      </c>
      <c r="Q28" s="1790"/>
      <c r="R28" s="1467"/>
      <c r="S28" s="1467"/>
      <c r="T28" s="1467"/>
      <c r="U28" s="1467"/>
      <c r="V28" s="1467"/>
      <c r="W28" s="1467"/>
      <c r="X28" s="1467"/>
      <c r="Y28" s="1467"/>
      <c r="Z28" s="1467"/>
    </row>
    <row r="29" spans="1:26" s="2643" customFormat="1" ht="58.5" customHeight="1">
      <c r="A29" s="3749"/>
      <c r="B29" s="1900" t="str">
        <f t="shared" ref="B29:B60" si="1">TEXT(LEFT(K29,10),"0000000000")</f>
        <v>2000003081</v>
      </c>
      <c r="C29" s="1493" t="s">
        <v>5319</v>
      </c>
      <c r="D29" s="1826"/>
      <c r="E29" s="1495"/>
      <c r="F29" s="1493" t="s">
        <v>3401</v>
      </c>
      <c r="G29" s="1495"/>
      <c r="H29" s="1495"/>
      <c r="I29" s="1495" t="s">
        <v>19</v>
      </c>
      <c r="J29" s="1495" t="s">
        <v>63</v>
      </c>
      <c r="K29" s="1600" t="s">
        <v>8477</v>
      </c>
      <c r="L29" s="2357">
        <v>4412</v>
      </c>
      <c r="M29" s="1748" t="s">
        <v>8478</v>
      </c>
      <c r="N29" s="1493"/>
      <c r="O29" s="1859"/>
      <c r="P29" s="1790">
        <v>1</v>
      </c>
      <c r="Q29" s="1790"/>
      <c r="R29" s="1467"/>
      <c r="S29" s="1467"/>
      <c r="T29" s="1467"/>
      <c r="U29" s="1467"/>
      <c r="V29" s="1467"/>
      <c r="W29" s="1467"/>
      <c r="X29" s="1467"/>
      <c r="Y29" s="1467"/>
      <c r="Z29" s="1467"/>
    </row>
    <row r="30" spans="1:26" s="2643" customFormat="1" ht="58.5" customHeight="1">
      <c r="A30" s="3749"/>
      <c r="B30" s="1900" t="str">
        <f t="shared" si="1"/>
        <v>2000003145</v>
      </c>
      <c r="C30" s="1493" t="s">
        <v>5319</v>
      </c>
      <c r="D30" s="1826"/>
      <c r="E30" s="1495"/>
      <c r="F30" s="1493" t="s">
        <v>3401</v>
      </c>
      <c r="G30" s="1495"/>
      <c r="H30" s="1495"/>
      <c r="I30" s="1495" t="s">
        <v>19</v>
      </c>
      <c r="J30" s="1495" t="s">
        <v>63</v>
      </c>
      <c r="K30" s="1600" t="s">
        <v>8479</v>
      </c>
      <c r="L30" s="2357">
        <v>92</v>
      </c>
      <c r="M30" s="1748" t="s">
        <v>5454</v>
      </c>
      <c r="N30" s="1493"/>
      <c r="O30" s="1859"/>
      <c r="P30" s="1790">
        <v>1</v>
      </c>
      <c r="Q30" s="1790"/>
      <c r="R30" s="1467"/>
      <c r="S30" s="1467"/>
      <c r="T30" s="1467"/>
      <c r="U30" s="1467"/>
      <c r="V30" s="1467"/>
      <c r="W30" s="1467"/>
      <c r="X30" s="1467"/>
      <c r="Y30" s="1467"/>
      <c r="Z30" s="1467"/>
    </row>
    <row r="31" spans="1:26" s="2643" customFormat="1" ht="58.5" customHeight="1">
      <c r="A31" s="3749"/>
      <c r="B31" s="1900" t="str">
        <f t="shared" si="1"/>
        <v>2000003174</v>
      </c>
      <c r="C31" s="1493" t="s">
        <v>5319</v>
      </c>
      <c r="D31" s="1826"/>
      <c r="E31" s="1495"/>
      <c r="F31" s="1493" t="s">
        <v>3401</v>
      </c>
      <c r="G31" s="1495"/>
      <c r="H31" s="1495"/>
      <c r="I31" s="1495" t="s">
        <v>19</v>
      </c>
      <c r="J31" s="1495" t="s">
        <v>63</v>
      </c>
      <c r="K31" s="1600" t="s">
        <v>8480</v>
      </c>
      <c r="L31" s="2357">
        <v>506</v>
      </c>
      <c r="M31" s="1748" t="s">
        <v>5214</v>
      </c>
      <c r="N31" s="1493"/>
      <c r="O31" s="1859"/>
      <c r="P31" s="1790">
        <v>1</v>
      </c>
      <c r="Q31" s="1790"/>
      <c r="R31" s="1467"/>
      <c r="S31" s="1467"/>
      <c r="T31" s="1467"/>
      <c r="U31" s="1467"/>
      <c r="V31" s="1467"/>
      <c r="W31" s="1467"/>
      <c r="X31" s="1467"/>
      <c r="Y31" s="1467"/>
      <c r="Z31" s="1467"/>
    </row>
    <row r="32" spans="1:26" s="2643" customFormat="1" ht="58.5" customHeight="1">
      <c r="A32" s="3749"/>
      <c r="B32" s="1900" t="str">
        <f t="shared" si="1"/>
        <v>2000003084</v>
      </c>
      <c r="C32" s="1493" t="s">
        <v>5319</v>
      </c>
      <c r="D32" s="1826"/>
      <c r="E32" s="1495"/>
      <c r="F32" s="1493" t="s">
        <v>3401</v>
      </c>
      <c r="G32" s="1495"/>
      <c r="H32" s="1495"/>
      <c r="I32" s="1495" t="s">
        <v>19</v>
      </c>
      <c r="J32" s="1495" t="s">
        <v>63</v>
      </c>
      <c r="K32" s="1600" t="s">
        <v>8481</v>
      </c>
      <c r="L32" s="2357">
        <v>14</v>
      </c>
      <c r="M32" s="1790" t="s">
        <v>8482</v>
      </c>
      <c r="N32" s="1493"/>
      <c r="O32" s="1859"/>
      <c r="P32" s="1790">
        <v>1</v>
      </c>
      <c r="Q32" s="1790"/>
      <c r="R32" s="1467"/>
      <c r="S32" s="1467"/>
      <c r="T32" s="1467"/>
      <c r="U32" s="1467"/>
      <c r="V32" s="1467"/>
      <c r="W32" s="1467"/>
      <c r="X32" s="1467"/>
      <c r="Y32" s="1467"/>
      <c r="Z32" s="1467"/>
    </row>
    <row r="33" spans="1:26" s="2643" customFormat="1" ht="58.5" customHeight="1">
      <c r="A33" s="3749"/>
      <c r="B33" s="1900" t="str">
        <f t="shared" si="1"/>
        <v>2000003172</v>
      </c>
      <c r="C33" s="1493" t="s">
        <v>5319</v>
      </c>
      <c r="D33" s="1826"/>
      <c r="E33" s="1495"/>
      <c r="F33" s="1493" t="s">
        <v>3401</v>
      </c>
      <c r="G33" s="1495"/>
      <c r="H33" s="1495"/>
      <c r="I33" s="1495" t="s">
        <v>19</v>
      </c>
      <c r="J33" s="1495" t="s">
        <v>63</v>
      </c>
      <c r="K33" s="1600" t="s">
        <v>8483</v>
      </c>
      <c r="L33" s="2357">
        <v>43</v>
      </c>
      <c r="M33" s="1790" t="s">
        <v>5454</v>
      </c>
      <c r="N33" s="1493"/>
      <c r="O33" s="1859"/>
      <c r="P33" s="1790">
        <v>1</v>
      </c>
      <c r="Q33" s="1790"/>
      <c r="R33" s="1467"/>
      <c r="S33" s="1467"/>
      <c r="T33" s="1467"/>
      <c r="U33" s="1467"/>
      <c r="V33" s="1467"/>
      <c r="W33" s="1467"/>
      <c r="X33" s="1467"/>
      <c r="Y33" s="1467"/>
      <c r="Z33" s="1467"/>
    </row>
    <row r="34" spans="1:26" s="2643" customFormat="1" ht="58.5" customHeight="1">
      <c r="A34" s="3749"/>
      <c r="B34" s="1900" t="str">
        <f t="shared" si="1"/>
        <v>2200002094</v>
      </c>
      <c r="C34" s="1493" t="s">
        <v>5319</v>
      </c>
      <c r="D34" s="1826"/>
      <c r="E34" s="1495"/>
      <c r="F34" s="1493" t="s">
        <v>3401</v>
      </c>
      <c r="G34" s="1495"/>
      <c r="H34" s="1495"/>
      <c r="I34" s="1495" t="s">
        <v>19</v>
      </c>
      <c r="J34" s="1495" t="s">
        <v>63</v>
      </c>
      <c r="K34" s="1605" t="s">
        <v>8484</v>
      </c>
      <c r="L34" s="2543">
        <v>202</v>
      </c>
      <c r="M34" s="1790" t="s">
        <v>5454</v>
      </c>
      <c r="N34" s="1493"/>
      <c r="O34" s="1859"/>
      <c r="P34" s="1790">
        <v>1</v>
      </c>
      <c r="Q34" s="1790"/>
      <c r="R34" s="1467"/>
      <c r="S34" s="1467"/>
      <c r="T34" s="1467"/>
      <c r="U34" s="1467"/>
      <c r="V34" s="1467"/>
      <c r="W34" s="1467"/>
      <c r="X34" s="1467"/>
      <c r="Y34" s="1467"/>
      <c r="Z34" s="1467"/>
    </row>
    <row r="35" spans="1:26" s="2643" customFormat="1" ht="81" customHeight="1">
      <c r="A35" s="3749"/>
      <c r="B35" s="1900" t="str">
        <f t="shared" si="1"/>
        <v>2000003150</v>
      </c>
      <c r="C35" s="1493" t="s">
        <v>5319</v>
      </c>
      <c r="D35" s="1868"/>
      <c r="E35" s="1851"/>
      <c r="F35" s="1493" t="s">
        <v>3401</v>
      </c>
      <c r="G35" s="1851"/>
      <c r="H35" s="1851"/>
      <c r="I35" s="1495" t="s">
        <v>19</v>
      </c>
      <c r="J35" s="1495" t="s">
        <v>63</v>
      </c>
      <c r="K35" s="1774" t="s">
        <v>8485</v>
      </c>
      <c r="L35" s="2848">
        <v>500</v>
      </c>
      <c r="M35" s="1748" t="s">
        <v>5454</v>
      </c>
      <c r="N35" s="1493"/>
      <c r="O35" s="1859"/>
      <c r="P35" s="1790">
        <v>1</v>
      </c>
      <c r="Q35" s="1790"/>
      <c r="R35" s="1467"/>
      <c r="S35" s="1467"/>
      <c r="T35" s="1467"/>
      <c r="U35" s="1467"/>
      <c r="V35" s="1467"/>
      <c r="W35" s="1467"/>
      <c r="X35" s="1467"/>
      <c r="Y35" s="1467"/>
      <c r="Z35" s="1467"/>
    </row>
    <row r="36" spans="1:26" s="1467" customFormat="1" ht="58.5" customHeight="1">
      <c r="A36" s="3749">
        <v>10</v>
      </c>
      <c r="B36" s="1900" t="str">
        <f t="shared" si="1"/>
        <v>2000003156</v>
      </c>
      <c r="C36" s="1902" t="s">
        <v>3629</v>
      </c>
      <c r="D36" s="2624">
        <v>24000</v>
      </c>
      <c r="E36" s="1921" t="s">
        <v>8486</v>
      </c>
      <c r="F36" s="1902" t="s">
        <v>3416</v>
      </c>
      <c r="G36" s="1561" t="s">
        <v>8487</v>
      </c>
      <c r="H36" s="2862"/>
      <c r="I36" s="2279" t="s">
        <v>19</v>
      </c>
      <c r="J36" s="1561" t="s">
        <v>20</v>
      </c>
      <c r="K36" s="1845" t="s">
        <v>8488</v>
      </c>
      <c r="L36" s="2583">
        <v>9600</v>
      </c>
      <c r="M36" s="2196" t="s">
        <v>5937</v>
      </c>
      <c r="N36" s="1921"/>
      <c r="O36" s="1859"/>
      <c r="P36" s="1790">
        <v>1</v>
      </c>
      <c r="Q36" s="1790"/>
    </row>
    <row r="37" spans="1:26" s="2643" customFormat="1" ht="58.5" customHeight="1">
      <c r="A37" s="3749"/>
      <c r="B37" s="1900" t="str">
        <f t="shared" si="1"/>
        <v>2200002085</v>
      </c>
      <c r="C37" s="1493" t="s">
        <v>3629</v>
      </c>
      <c r="D37" s="2183"/>
      <c r="E37" s="1493"/>
      <c r="F37" s="1493" t="s">
        <v>3416</v>
      </c>
      <c r="G37" s="1769"/>
      <c r="H37" s="2862"/>
      <c r="I37" s="1626" t="s">
        <v>19</v>
      </c>
      <c r="J37" s="1493" t="s">
        <v>959</v>
      </c>
      <c r="K37" s="1770" t="s">
        <v>8489</v>
      </c>
      <c r="L37" s="2183">
        <v>3500</v>
      </c>
      <c r="M37" s="1748" t="s">
        <v>5454</v>
      </c>
      <c r="N37" s="1548"/>
      <c r="O37" s="1770" t="s">
        <v>8490</v>
      </c>
      <c r="P37" s="1790">
        <v>1</v>
      </c>
      <c r="Q37" s="1790"/>
      <c r="R37" s="1548"/>
      <c r="S37" s="1548"/>
      <c r="T37" s="1548"/>
      <c r="U37" s="1548"/>
      <c r="V37" s="1548"/>
      <c r="W37" s="1548"/>
      <c r="X37" s="1548"/>
      <c r="Y37" s="1548"/>
      <c r="Z37" s="1548"/>
    </row>
    <row r="38" spans="1:26" s="2643" customFormat="1" ht="72" customHeight="1">
      <c r="A38" s="3749"/>
      <c r="B38" s="1900" t="str">
        <f t="shared" si="1"/>
        <v>2200002065</v>
      </c>
      <c r="C38" s="1493" t="s">
        <v>3629</v>
      </c>
      <c r="D38" s="1855"/>
      <c r="E38" s="1495"/>
      <c r="F38" s="1493" t="s">
        <v>3416</v>
      </c>
      <c r="G38" s="1773"/>
      <c r="H38" s="2862"/>
      <c r="I38" s="1626" t="s">
        <v>19</v>
      </c>
      <c r="J38" s="1493" t="s">
        <v>959</v>
      </c>
      <c r="K38" s="1600" t="s">
        <v>8491</v>
      </c>
      <c r="L38" s="2357">
        <v>4800</v>
      </c>
      <c r="M38" s="1748" t="s">
        <v>5454</v>
      </c>
      <c r="N38" s="1493"/>
      <c r="O38" s="1859" t="s">
        <v>8492</v>
      </c>
      <c r="P38" s="1790">
        <v>1</v>
      </c>
      <c r="Q38" s="1790"/>
    </row>
    <row r="39" spans="1:26" s="2643" customFormat="1" ht="58.5" customHeight="1">
      <c r="A39" s="3749"/>
      <c r="B39" s="1900" t="str">
        <f t="shared" si="1"/>
        <v>2200002086</v>
      </c>
      <c r="C39" s="1493" t="s">
        <v>3629</v>
      </c>
      <c r="D39" s="1855"/>
      <c r="E39" s="1495"/>
      <c r="F39" s="1493" t="s">
        <v>3416</v>
      </c>
      <c r="G39" s="1773"/>
      <c r="H39" s="2862"/>
      <c r="I39" s="1626" t="s">
        <v>19</v>
      </c>
      <c r="J39" s="1493" t="s">
        <v>959</v>
      </c>
      <c r="K39" s="1774" t="s">
        <v>8493</v>
      </c>
      <c r="L39" s="2848">
        <v>758</v>
      </c>
      <c r="M39" s="2196" t="s">
        <v>8451</v>
      </c>
      <c r="N39" s="1493"/>
      <c r="O39" s="1859"/>
      <c r="P39" s="1790">
        <v>1</v>
      </c>
      <c r="Q39" s="1790"/>
    </row>
    <row r="40" spans="1:26" s="2643" customFormat="1" ht="91.5" customHeight="1">
      <c r="A40" s="3749"/>
      <c r="B40" s="1900" t="str">
        <f t="shared" si="1"/>
        <v>2000003132</v>
      </c>
      <c r="C40" s="1493" t="s">
        <v>3629</v>
      </c>
      <c r="D40" s="1826"/>
      <c r="E40" s="1495"/>
      <c r="F40" s="1493" t="s">
        <v>3416</v>
      </c>
      <c r="G40" s="1773"/>
      <c r="H40" s="2862"/>
      <c r="I40" s="1626" t="s">
        <v>19</v>
      </c>
      <c r="J40" s="1493" t="s">
        <v>959</v>
      </c>
      <c r="K40" s="1600" t="s">
        <v>8494</v>
      </c>
      <c r="L40" s="2357">
        <v>5334</v>
      </c>
      <c r="M40" s="2196" t="s">
        <v>8495</v>
      </c>
      <c r="N40" s="1493"/>
      <c r="O40" s="1859"/>
      <c r="P40" s="1790">
        <v>1</v>
      </c>
      <c r="Q40" s="1790"/>
      <c r="R40" s="1467"/>
      <c r="S40" s="1467"/>
      <c r="T40" s="1467"/>
      <c r="U40" s="1467"/>
      <c r="V40" s="1467"/>
      <c r="W40" s="1467"/>
      <c r="X40" s="1467"/>
      <c r="Y40" s="1467"/>
      <c r="Z40" s="1467"/>
    </row>
    <row r="41" spans="1:26" s="2643" customFormat="1" ht="66.75" customHeight="1">
      <c r="A41" s="3749">
        <v>11</v>
      </c>
      <c r="B41" s="1900" t="str">
        <f t="shared" si="1"/>
        <v>2000003149</v>
      </c>
      <c r="C41" s="1902" t="s">
        <v>3924</v>
      </c>
      <c r="D41" s="2624">
        <v>7200</v>
      </c>
      <c r="E41" s="1921" t="s">
        <v>8496</v>
      </c>
      <c r="F41" s="1902" t="s">
        <v>3401</v>
      </c>
      <c r="G41" s="1495" t="s">
        <v>8497</v>
      </c>
      <c r="H41" s="1921"/>
      <c r="I41" s="1902" t="s">
        <v>19</v>
      </c>
      <c r="J41" s="1921" t="s">
        <v>123</v>
      </c>
      <c r="K41" s="1845" t="s">
        <v>8498</v>
      </c>
      <c r="L41" s="2583">
        <v>2200</v>
      </c>
      <c r="M41" s="2196" t="s">
        <v>5937</v>
      </c>
      <c r="N41" s="1493"/>
      <c r="O41" s="1859"/>
      <c r="P41" s="1790">
        <v>1</v>
      </c>
      <c r="Q41" s="1790"/>
      <c r="R41" s="1467"/>
      <c r="S41" s="1467"/>
      <c r="T41" s="1467"/>
      <c r="U41" s="1467"/>
      <c r="V41" s="1467"/>
      <c r="W41" s="1467"/>
      <c r="X41" s="1467"/>
      <c r="Y41" s="1467"/>
      <c r="Z41" s="1467"/>
    </row>
    <row r="42" spans="1:26" s="2643" customFormat="1" ht="60" customHeight="1">
      <c r="A42" s="3749"/>
      <c r="B42" s="1900" t="str">
        <f t="shared" si="1"/>
        <v>2000003153</v>
      </c>
      <c r="C42" s="1493" t="s">
        <v>3924</v>
      </c>
      <c r="D42" s="1826"/>
      <c r="E42" s="1495"/>
      <c r="F42" s="1493" t="s">
        <v>3401</v>
      </c>
      <c r="H42" s="1495"/>
      <c r="I42" s="1495" t="s">
        <v>19</v>
      </c>
      <c r="J42" s="1773" t="s">
        <v>123</v>
      </c>
      <c r="K42" s="1547" t="s">
        <v>8499</v>
      </c>
      <c r="L42" s="2357">
        <v>5000</v>
      </c>
      <c r="M42" s="2584" t="s">
        <v>8500</v>
      </c>
      <c r="N42" s="1493"/>
      <c r="O42" s="1859"/>
      <c r="P42" s="1790">
        <v>1</v>
      </c>
      <c r="Q42" s="1790"/>
      <c r="R42" s="1467"/>
      <c r="S42" s="1467"/>
      <c r="T42" s="1467"/>
      <c r="U42" s="1467"/>
      <c r="V42" s="1467"/>
      <c r="W42" s="1467"/>
      <c r="X42" s="1467"/>
      <c r="Y42" s="1467"/>
      <c r="Z42" s="1467"/>
    </row>
    <row r="43" spans="1:26" s="2643" customFormat="1" ht="60" customHeight="1">
      <c r="A43" s="3749">
        <v>12</v>
      </c>
      <c r="B43" s="1900" t="str">
        <f t="shared" si="1"/>
        <v>2200002092</v>
      </c>
      <c r="C43" s="1902" t="s">
        <v>5701</v>
      </c>
      <c r="D43" s="2624">
        <v>4150</v>
      </c>
      <c r="E43" s="1921" t="s">
        <v>8470</v>
      </c>
      <c r="F43" s="1902" t="s">
        <v>89</v>
      </c>
      <c r="G43" s="1921" t="s">
        <v>8501</v>
      </c>
      <c r="H43" s="1909"/>
      <c r="I43" s="2601" t="s">
        <v>19</v>
      </c>
      <c r="J43" s="1561" t="s">
        <v>1138</v>
      </c>
      <c r="K43" s="1845" t="s">
        <v>8502</v>
      </c>
      <c r="L43" s="2851">
        <v>429</v>
      </c>
      <c r="M43" s="1909" t="s">
        <v>5454</v>
      </c>
      <c r="N43" s="1902" t="s">
        <v>6030</v>
      </c>
      <c r="O43" s="1909" t="s">
        <v>8503</v>
      </c>
      <c r="P43" s="1790">
        <v>1</v>
      </c>
      <c r="Q43" s="1790"/>
    </row>
    <row r="44" spans="1:26" s="2643" customFormat="1" ht="60" customHeight="1">
      <c r="A44" s="3749"/>
      <c r="B44" s="1900" t="str">
        <f t="shared" si="1"/>
        <v>2200002093</v>
      </c>
      <c r="C44" s="1493" t="s">
        <v>5701</v>
      </c>
      <c r="D44" s="1826"/>
      <c r="E44" s="1495"/>
      <c r="F44" s="1493" t="s">
        <v>89</v>
      </c>
      <c r="G44" s="1495"/>
      <c r="H44" s="1748"/>
      <c r="I44" s="1601" t="s">
        <v>19</v>
      </c>
      <c r="J44" s="1773" t="s">
        <v>1138</v>
      </c>
      <c r="K44" s="1600" t="s">
        <v>8504</v>
      </c>
      <c r="L44" s="2796">
        <v>666</v>
      </c>
      <c r="M44" s="1748" t="s">
        <v>8505</v>
      </c>
      <c r="N44" s="1493"/>
      <c r="O44" s="1748" t="s">
        <v>8503</v>
      </c>
      <c r="P44" s="1790">
        <v>1</v>
      </c>
      <c r="Q44" s="1790"/>
      <c r="R44" s="1467"/>
      <c r="S44" s="1467"/>
      <c r="T44" s="1467"/>
      <c r="U44" s="1467"/>
      <c r="V44" s="1467"/>
      <c r="W44" s="1467"/>
      <c r="X44" s="1467"/>
      <c r="Y44" s="1467"/>
      <c r="Z44" s="1467"/>
    </row>
    <row r="45" spans="1:26" s="2643" customFormat="1" ht="60" customHeight="1">
      <c r="A45" s="3749"/>
      <c r="B45" s="1900" t="str">
        <f t="shared" si="1"/>
        <v>2200002099</v>
      </c>
      <c r="C45" s="1493" t="s">
        <v>5701</v>
      </c>
      <c r="D45" s="1826"/>
      <c r="E45" s="1495"/>
      <c r="F45" s="1493" t="s">
        <v>89</v>
      </c>
      <c r="G45" s="1748"/>
      <c r="H45" s="1495"/>
      <c r="I45" s="1601" t="s">
        <v>19</v>
      </c>
      <c r="J45" s="1773" t="s">
        <v>1138</v>
      </c>
      <c r="K45" s="1496" t="s">
        <v>8506</v>
      </c>
      <c r="L45" s="2357">
        <v>2205</v>
      </c>
      <c r="M45" s="2196" t="s">
        <v>8507</v>
      </c>
      <c r="N45" s="1493"/>
      <c r="O45" s="1859"/>
      <c r="P45" s="1790">
        <v>1</v>
      </c>
      <c r="Q45" s="1790"/>
      <c r="R45" s="1467"/>
      <c r="S45" s="1467"/>
      <c r="T45" s="1467"/>
      <c r="U45" s="1467"/>
      <c r="V45" s="1467"/>
      <c r="W45" s="1467"/>
      <c r="X45" s="1467"/>
      <c r="Y45" s="1467"/>
      <c r="Z45" s="1467"/>
    </row>
    <row r="46" spans="1:26" s="2643" customFormat="1" ht="60" customHeight="1">
      <c r="A46" s="3749"/>
      <c r="B46" s="1900" t="str">
        <f t="shared" si="1"/>
        <v>2200002100</v>
      </c>
      <c r="C46" s="1493" t="s">
        <v>5701</v>
      </c>
      <c r="D46" s="1826"/>
      <c r="E46" s="1495"/>
      <c r="F46" s="1493" t="s">
        <v>89</v>
      </c>
      <c r="G46" s="1748"/>
      <c r="H46" s="1495"/>
      <c r="I46" s="1601" t="s">
        <v>19</v>
      </c>
      <c r="J46" s="1773" t="s">
        <v>1138</v>
      </c>
      <c r="K46" s="1496" t="s">
        <v>8508</v>
      </c>
      <c r="L46" s="2361">
        <v>850</v>
      </c>
      <c r="M46" s="2196" t="s">
        <v>8507</v>
      </c>
      <c r="N46" s="1493"/>
      <c r="O46" s="1859"/>
      <c r="P46" s="1790">
        <v>1</v>
      </c>
      <c r="Q46" s="1790"/>
      <c r="R46" s="1467"/>
      <c r="S46" s="1467"/>
      <c r="T46" s="1467"/>
      <c r="U46" s="1467"/>
      <c r="V46" s="1467"/>
      <c r="W46" s="1467"/>
      <c r="X46" s="1467"/>
      <c r="Y46" s="1467"/>
      <c r="Z46" s="1467"/>
    </row>
    <row r="47" spans="1:26" s="2643" customFormat="1" ht="59.25" customHeight="1">
      <c r="A47" s="3749">
        <v>13</v>
      </c>
      <c r="B47" s="1900" t="str">
        <f t="shared" si="1"/>
        <v>2000003128</v>
      </c>
      <c r="C47" s="1902" t="s">
        <v>5512</v>
      </c>
      <c r="D47" s="2624">
        <v>4300</v>
      </c>
      <c r="E47" s="1921" t="s">
        <v>8509</v>
      </c>
      <c r="F47" s="1902" t="s">
        <v>89</v>
      </c>
      <c r="G47" s="1495" t="s">
        <v>8510</v>
      </c>
      <c r="H47" s="2187"/>
      <c r="I47" s="2852" t="s">
        <v>19</v>
      </c>
      <c r="J47" s="1921" t="s">
        <v>123</v>
      </c>
      <c r="K47" s="2853" t="s">
        <v>8511</v>
      </c>
      <c r="L47" s="2583">
        <v>2000</v>
      </c>
      <c r="M47" s="2506" t="s">
        <v>6399</v>
      </c>
      <c r="N47" s="1493"/>
      <c r="O47" s="1859"/>
      <c r="P47" s="1790">
        <v>1</v>
      </c>
      <c r="Q47" s="1790"/>
      <c r="R47" s="1467"/>
      <c r="S47" s="1467"/>
      <c r="T47" s="1467"/>
      <c r="U47" s="1467"/>
      <c r="V47" s="1467"/>
      <c r="W47" s="1467"/>
      <c r="X47" s="1467"/>
      <c r="Y47" s="1467"/>
      <c r="Z47" s="1467"/>
    </row>
    <row r="48" spans="1:26" s="2643" customFormat="1" ht="59.25" customHeight="1">
      <c r="A48" s="3749"/>
      <c r="B48" s="1900" t="str">
        <f t="shared" si="1"/>
        <v>2000003103</v>
      </c>
      <c r="C48" s="1545" t="s">
        <v>5512</v>
      </c>
      <c r="D48" s="1827"/>
      <c r="E48" s="1543"/>
      <c r="F48" s="1493" t="s">
        <v>89</v>
      </c>
      <c r="G48" s="1899"/>
      <c r="H48" s="1495"/>
      <c r="I48" s="2845" t="s">
        <v>19</v>
      </c>
      <c r="J48" s="1899" t="s">
        <v>123</v>
      </c>
      <c r="K48" s="1990" t="s">
        <v>8512</v>
      </c>
      <c r="L48" s="2543">
        <v>2500</v>
      </c>
      <c r="M48" s="2196" t="s">
        <v>5937</v>
      </c>
      <c r="N48" s="1493"/>
      <c r="O48" s="1859"/>
      <c r="P48" s="1790">
        <v>1</v>
      </c>
      <c r="Q48" s="1790"/>
    </row>
    <row r="49" spans="1:26" s="2643" customFormat="1" ht="59.25" customHeight="1">
      <c r="A49" s="3749">
        <v>14</v>
      </c>
      <c r="B49" s="1900" t="str">
        <f t="shared" si="1"/>
        <v>2000003164</v>
      </c>
      <c r="C49" s="1902" t="s">
        <v>4786</v>
      </c>
      <c r="D49" s="2624">
        <v>5820</v>
      </c>
      <c r="E49" s="1921" t="s">
        <v>8513</v>
      </c>
      <c r="F49" s="1902" t="s">
        <v>3416</v>
      </c>
      <c r="G49" s="1909" t="s">
        <v>8514</v>
      </c>
      <c r="H49" s="1921"/>
      <c r="I49" s="2601" t="s">
        <v>19</v>
      </c>
      <c r="J49" s="1561" t="s">
        <v>1138</v>
      </c>
      <c r="K49" s="2686" t="s">
        <v>8515</v>
      </c>
      <c r="L49" s="2583">
        <v>2641</v>
      </c>
      <c r="M49" s="2849" t="s">
        <v>5454</v>
      </c>
      <c r="N49" s="1902" t="s">
        <v>6026</v>
      </c>
      <c r="O49" s="1775"/>
      <c r="P49" s="1790">
        <v>1</v>
      </c>
      <c r="Q49" s="1790"/>
    </row>
    <row r="50" spans="1:26" s="2643" customFormat="1" ht="59.25" customHeight="1">
      <c r="A50" s="3749"/>
      <c r="B50" s="1900" t="str">
        <f t="shared" si="1"/>
        <v>2200002100</v>
      </c>
      <c r="C50" s="1493" t="s">
        <v>4786</v>
      </c>
      <c r="D50" s="1826"/>
      <c r="E50" s="1495"/>
      <c r="F50" s="1493" t="s">
        <v>3416</v>
      </c>
      <c r="G50" s="1748"/>
      <c r="H50" s="1543"/>
      <c r="I50" s="1601" t="s">
        <v>19</v>
      </c>
      <c r="J50" s="1773" t="s">
        <v>1138</v>
      </c>
      <c r="K50" s="1496" t="s">
        <v>8508</v>
      </c>
      <c r="L50" s="2361">
        <v>1175</v>
      </c>
      <c r="M50" s="2196" t="s">
        <v>8507</v>
      </c>
      <c r="N50" s="1902"/>
      <c r="O50" s="1775"/>
      <c r="P50" s="1790">
        <v>1</v>
      </c>
      <c r="Q50" s="1790"/>
    </row>
    <row r="51" spans="1:26" s="2643" customFormat="1" ht="59.25" customHeight="1">
      <c r="A51" s="3749"/>
      <c r="B51" s="1900" t="str">
        <f t="shared" si="1"/>
        <v>2200002101</v>
      </c>
      <c r="C51" s="1493" t="s">
        <v>4786</v>
      </c>
      <c r="D51" s="1826"/>
      <c r="E51" s="1495"/>
      <c r="F51" s="1493" t="s">
        <v>3416</v>
      </c>
      <c r="G51" s="2208"/>
      <c r="H51" s="1495"/>
      <c r="I51" s="1601" t="s">
        <v>19</v>
      </c>
      <c r="J51" s="1773" t="s">
        <v>1138</v>
      </c>
      <c r="K51" s="1496" t="s">
        <v>8516</v>
      </c>
      <c r="L51" s="2361">
        <v>1781</v>
      </c>
      <c r="M51" s="2196" t="s">
        <v>8507</v>
      </c>
      <c r="N51" s="1902"/>
      <c r="O51" s="1775"/>
      <c r="P51" s="1790">
        <v>1</v>
      </c>
      <c r="Q51" s="1790"/>
    </row>
    <row r="52" spans="1:26" s="2643" customFormat="1" ht="59.25" customHeight="1">
      <c r="A52" s="3749"/>
      <c r="B52" s="1900" t="str">
        <f t="shared" si="1"/>
        <v>2200002104</v>
      </c>
      <c r="C52" s="1493" t="s">
        <v>4786</v>
      </c>
      <c r="D52" s="1826"/>
      <c r="E52" s="1495"/>
      <c r="F52" s="1493" t="s">
        <v>3416</v>
      </c>
      <c r="G52" s="2208"/>
      <c r="H52" s="1773"/>
      <c r="I52" s="1493" t="s">
        <v>19</v>
      </c>
      <c r="J52" s="1937" t="s">
        <v>1138</v>
      </c>
      <c r="K52" s="1496" t="s">
        <v>8517</v>
      </c>
      <c r="L52" s="2361">
        <v>355</v>
      </c>
      <c r="M52" s="2385" t="s">
        <v>8518</v>
      </c>
      <c r="N52" s="1902"/>
      <c r="O52" s="1775"/>
      <c r="P52" s="1790">
        <v>1</v>
      </c>
      <c r="Q52" s="1790"/>
    </row>
    <row r="53" spans="1:26" s="2643" customFormat="1" ht="59.25" customHeight="1">
      <c r="A53" s="3749">
        <v>15</v>
      </c>
      <c r="B53" s="1900" t="str">
        <f t="shared" si="1"/>
        <v>2000003165</v>
      </c>
      <c r="C53" s="1902" t="s">
        <v>3469</v>
      </c>
      <c r="D53" s="2656">
        <v>4280</v>
      </c>
      <c r="E53" s="2118" t="s">
        <v>8519</v>
      </c>
      <c r="F53" s="2391" t="s">
        <v>16</v>
      </c>
      <c r="G53" s="1632" t="s">
        <v>8520</v>
      </c>
      <c r="H53" s="2118"/>
      <c r="I53" s="2118" t="s">
        <v>19</v>
      </c>
      <c r="J53" s="1773" t="s">
        <v>74</v>
      </c>
      <c r="K53" s="2422" t="s">
        <v>8521</v>
      </c>
      <c r="L53" s="2861">
        <v>3600</v>
      </c>
      <c r="M53" s="2506" t="s">
        <v>6399</v>
      </c>
      <c r="N53" s="1493"/>
      <c r="O53" s="1859"/>
      <c r="P53" s="1790">
        <v>1</v>
      </c>
      <c r="Q53" s="1790"/>
      <c r="R53" s="1467"/>
      <c r="S53" s="1467"/>
      <c r="T53" s="1467"/>
      <c r="U53" s="1467"/>
      <c r="V53" s="1467"/>
      <c r="W53" s="1467"/>
      <c r="X53" s="1467"/>
      <c r="Y53" s="1467"/>
      <c r="Z53" s="1467"/>
    </row>
    <row r="54" spans="1:26" s="2643" customFormat="1" ht="59.25" customHeight="1">
      <c r="A54" s="3749"/>
      <c r="B54" s="1900" t="str">
        <f t="shared" si="1"/>
        <v>2000003166</v>
      </c>
      <c r="C54" s="1630" t="s">
        <v>3469</v>
      </c>
      <c r="D54" s="2624"/>
      <c r="E54" s="1921"/>
      <c r="F54" s="1630" t="s">
        <v>16</v>
      </c>
      <c r="G54" s="1921"/>
      <c r="H54" s="1921"/>
      <c r="I54" s="1543" t="s">
        <v>19</v>
      </c>
      <c r="J54" s="1773" t="s">
        <v>74</v>
      </c>
      <c r="K54" s="1995" t="s">
        <v>8522</v>
      </c>
      <c r="L54" s="2610">
        <v>680</v>
      </c>
      <c r="M54" s="2506" t="s">
        <v>5937</v>
      </c>
      <c r="N54" s="2563"/>
      <c r="O54" s="1775"/>
      <c r="P54" s="1790">
        <v>1</v>
      </c>
      <c r="Q54" s="1790"/>
    </row>
    <row r="55" spans="1:26" s="1467" customFormat="1" ht="58.5" customHeight="1">
      <c r="A55" s="3749">
        <v>16</v>
      </c>
      <c r="B55" s="1900" t="str">
        <f t="shared" si="1"/>
        <v>2000003156</v>
      </c>
      <c r="C55" s="1902" t="s">
        <v>3708</v>
      </c>
      <c r="D55" s="2624">
        <v>5800</v>
      </c>
      <c r="E55" s="1921" t="s">
        <v>8523</v>
      </c>
      <c r="F55" s="1902" t="s">
        <v>3416</v>
      </c>
      <c r="G55" s="1921" t="s">
        <v>8524</v>
      </c>
      <c r="H55" s="2118"/>
      <c r="I55" s="1921" t="s">
        <v>19</v>
      </c>
      <c r="J55" s="1561" t="s">
        <v>20</v>
      </c>
      <c r="K55" s="2617" t="s">
        <v>8525</v>
      </c>
      <c r="L55" s="2583">
        <v>4800</v>
      </c>
      <c r="M55" s="2196" t="s">
        <v>8526</v>
      </c>
      <c r="N55" s="1921"/>
      <c r="O55" s="1859"/>
      <c r="P55" s="1790">
        <v>1</v>
      </c>
      <c r="Q55" s="1790"/>
    </row>
    <row r="56" spans="1:26" s="2643" customFormat="1" ht="58.5" customHeight="1">
      <c r="A56" s="3749"/>
      <c r="B56" s="1900" t="str">
        <f t="shared" si="1"/>
        <v>2000003158</v>
      </c>
      <c r="C56" s="1493" t="s">
        <v>3708</v>
      </c>
      <c r="D56" s="1827"/>
      <c r="E56" s="1543"/>
      <c r="F56" s="1493" t="s">
        <v>3416</v>
      </c>
      <c r="G56" s="1543"/>
      <c r="H56" s="1543"/>
      <c r="I56" s="1543" t="s">
        <v>19</v>
      </c>
      <c r="J56" s="1773" t="s">
        <v>20</v>
      </c>
      <c r="K56" s="1600" t="s">
        <v>8527</v>
      </c>
      <c r="L56" s="2636">
        <v>1000</v>
      </c>
      <c r="M56" s="2506" t="s">
        <v>8528</v>
      </c>
      <c r="N56" s="2263"/>
      <c r="O56" s="2565"/>
      <c r="P56" s="1852">
        <v>1</v>
      </c>
      <c r="Q56" s="1852"/>
    </row>
    <row r="57" spans="1:26" s="2643" customFormat="1" ht="58.5" customHeight="1">
      <c r="A57" s="3749">
        <v>17</v>
      </c>
      <c r="B57" s="1900" t="str">
        <f t="shared" si="1"/>
        <v>2000003159</v>
      </c>
      <c r="C57" s="1921" t="s">
        <v>5984</v>
      </c>
      <c r="D57" s="2858">
        <v>4350</v>
      </c>
      <c r="E57" s="1921" t="s">
        <v>8529</v>
      </c>
      <c r="F57" s="2563" t="s">
        <v>16</v>
      </c>
      <c r="G57" s="1921" t="s">
        <v>8530</v>
      </c>
      <c r="H57" s="1921"/>
      <c r="I57" s="2852" t="s">
        <v>19</v>
      </c>
      <c r="J57" s="1561" t="s">
        <v>1138</v>
      </c>
      <c r="K57" s="2859" t="s">
        <v>8531</v>
      </c>
      <c r="L57" s="2583">
        <v>1066</v>
      </c>
      <c r="M57" s="2849" t="s">
        <v>8532</v>
      </c>
      <c r="N57" s="1495" t="s">
        <v>7940</v>
      </c>
      <c r="O57" s="1859"/>
      <c r="P57" s="1790">
        <v>1</v>
      </c>
      <c r="Q57" s="1790"/>
      <c r="R57" s="1467"/>
      <c r="S57" s="1467"/>
      <c r="T57" s="1467"/>
      <c r="U57" s="1467"/>
      <c r="V57" s="1467"/>
      <c r="W57" s="1467"/>
      <c r="X57" s="1467"/>
      <c r="Y57" s="1467"/>
      <c r="Z57" s="1467"/>
    </row>
    <row r="58" spans="1:26" s="2643" customFormat="1" ht="58.5" customHeight="1">
      <c r="A58" s="3749"/>
      <c r="B58" s="1900" t="str">
        <f t="shared" si="1"/>
        <v>2200002091</v>
      </c>
      <c r="C58" s="1543" t="s">
        <v>5984</v>
      </c>
      <c r="D58" s="1827"/>
      <c r="E58" s="1543"/>
      <c r="F58" s="1601" t="s">
        <v>16</v>
      </c>
      <c r="G58" s="1543"/>
      <c r="H58" s="2051"/>
      <c r="I58" s="1601" t="s">
        <v>19</v>
      </c>
      <c r="J58" s="1899" t="s">
        <v>1138</v>
      </c>
      <c r="K58" s="1605" t="s">
        <v>8533</v>
      </c>
      <c r="L58" s="2860">
        <v>3300</v>
      </c>
      <c r="M58" s="2506" t="s">
        <v>5937</v>
      </c>
      <c r="N58" s="1545"/>
      <c r="O58" s="2051" t="s">
        <v>8503</v>
      </c>
      <c r="P58" s="1852">
        <v>1</v>
      </c>
      <c r="Q58" s="1852"/>
      <c r="R58" s="1467"/>
      <c r="S58" s="1467"/>
      <c r="T58" s="1467"/>
      <c r="U58" s="1467"/>
      <c r="V58" s="1467"/>
      <c r="W58" s="1467"/>
      <c r="X58" s="1467"/>
      <c r="Y58" s="1467"/>
      <c r="Z58" s="1467"/>
    </row>
    <row r="59" spans="1:26" s="2150" customFormat="1" ht="58.5" customHeight="1">
      <c r="A59" s="3783">
        <v>18</v>
      </c>
      <c r="B59" s="1900" t="str">
        <f t="shared" si="1"/>
        <v>2000003090</v>
      </c>
      <c r="C59" s="1902" t="s">
        <v>5661</v>
      </c>
      <c r="D59" s="2854">
        <v>3550</v>
      </c>
      <c r="E59" s="1921" t="s">
        <v>8534</v>
      </c>
      <c r="F59" s="1902" t="s">
        <v>54</v>
      </c>
      <c r="G59" s="1902" t="s">
        <v>8535</v>
      </c>
      <c r="H59" s="1902"/>
      <c r="I59" s="1902" t="s">
        <v>19</v>
      </c>
      <c r="J59" s="1902" t="s">
        <v>101</v>
      </c>
      <c r="K59" s="1916" t="s">
        <v>8536</v>
      </c>
      <c r="L59" s="2179">
        <v>2500</v>
      </c>
      <c r="M59" s="2196" t="s">
        <v>8537</v>
      </c>
      <c r="N59" s="1493" t="s">
        <v>6030</v>
      </c>
      <c r="O59" s="1548"/>
      <c r="P59" s="1790">
        <v>1</v>
      </c>
      <c r="Q59" s="1790"/>
      <c r="R59" s="1548"/>
      <c r="S59" s="1548"/>
      <c r="T59" s="1548"/>
      <c r="U59" s="1548"/>
      <c r="V59" s="1548"/>
      <c r="W59" s="1548"/>
      <c r="X59" s="1548"/>
      <c r="Y59" s="1548"/>
      <c r="Z59" s="1548"/>
    </row>
    <row r="60" spans="1:26" s="1548" customFormat="1" ht="69" customHeight="1">
      <c r="A60" s="3783"/>
      <c r="B60" s="1900" t="str">
        <f t="shared" si="1"/>
        <v>2000003163</v>
      </c>
      <c r="C60" s="1493" t="s">
        <v>5661</v>
      </c>
      <c r="D60" s="1855"/>
      <c r="E60" s="1495"/>
      <c r="F60" s="1493" t="s">
        <v>54</v>
      </c>
      <c r="G60" s="1495"/>
      <c r="H60" s="1495"/>
      <c r="I60" s="1493" t="s">
        <v>19</v>
      </c>
      <c r="J60" s="1495" t="s">
        <v>74</v>
      </c>
      <c r="K60" s="1600" t="s">
        <v>8538</v>
      </c>
      <c r="L60" s="2357">
        <v>1000</v>
      </c>
      <c r="M60" s="1790" t="s">
        <v>5454</v>
      </c>
      <c r="N60" s="1493"/>
      <c r="O60" s="1859"/>
      <c r="P60" s="1790">
        <v>1</v>
      </c>
      <c r="Q60" s="1790"/>
    </row>
    <row r="61" spans="1:26" s="1467" customFormat="1" ht="58.5" customHeight="1">
      <c r="A61" s="3749">
        <v>19</v>
      </c>
      <c r="B61" s="1900" t="str">
        <f t="shared" ref="B61:B92" si="2">TEXT(LEFT(K61,10),"0000000000")</f>
        <v>2000003166</v>
      </c>
      <c r="C61" s="2391" t="s">
        <v>7672</v>
      </c>
      <c r="D61" s="2656">
        <v>4250</v>
      </c>
      <c r="E61" s="2118" t="s">
        <v>8539</v>
      </c>
      <c r="F61" s="2391" t="s">
        <v>84</v>
      </c>
      <c r="G61" s="2855" t="s">
        <v>8540</v>
      </c>
      <c r="H61" s="2118"/>
      <c r="I61" s="2184" t="s">
        <v>19</v>
      </c>
      <c r="J61" s="2120" t="s">
        <v>74</v>
      </c>
      <c r="K61" s="2331" t="s">
        <v>8541</v>
      </c>
      <c r="L61" s="2713">
        <v>4120</v>
      </c>
      <c r="M61" s="2190" t="s">
        <v>5937</v>
      </c>
      <c r="N61" s="1941"/>
      <c r="O61" s="2576"/>
      <c r="P61" s="1882">
        <v>1</v>
      </c>
      <c r="Q61" s="1882"/>
    </row>
    <row r="62" spans="1:26" s="1467" customFormat="1" ht="58.5" customHeight="1">
      <c r="A62" s="3749"/>
      <c r="B62" s="1900" t="str">
        <f t="shared" si="2"/>
        <v>2200002107</v>
      </c>
      <c r="C62" s="1493" t="s">
        <v>7672</v>
      </c>
      <c r="D62" s="1826"/>
      <c r="E62" s="1495"/>
      <c r="F62" s="1493" t="s">
        <v>84</v>
      </c>
      <c r="G62" s="1495"/>
      <c r="H62" s="1495"/>
      <c r="I62" s="1543" t="s">
        <v>19</v>
      </c>
      <c r="J62" s="1773" t="s">
        <v>74</v>
      </c>
      <c r="K62" s="2348" t="s">
        <v>8542</v>
      </c>
      <c r="L62" s="2856">
        <v>46</v>
      </c>
      <c r="M62" s="2857" t="s">
        <v>8543</v>
      </c>
      <c r="N62" s="2563"/>
      <c r="O62" s="1775"/>
      <c r="P62" s="1790">
        <v>2</v>
      </c>
      <c r="Q62" s="1790"/>
      <c r="R62" s="2643"/>
      <c r="S62" s="2643"/>
      <c r="T62" s="2643"/>
      <c r="U62" s="2643"/>
      <c r="V62" s="2643"/>
      <c r="W62" s="2643"/>
      <c r="X62" s="2643"/>
      <c r="Y62" s="2643"/>
      <c r="Z62" s="2643"/>
    </row>
    <row r="63" spans="1:26" s="1467" customFormat="1" ht="58.5" customHeight="1">
      <c r="A63" s="3749">
        <v>20</v>
      </c>
      <c r="B63" s="1900" t="str">
        <f t="shared" si="2"/>
        <v>2200002105</v>
      </c>
      <c r="C63" s="1902" t="s">
        <v>211</v>
      </c>
      <c r="D63" s="2624">
        <v>4000</v>
      </c>
      <c r="E63" s="1921" t="s">
        <v>8544</v>
      </c>
      <c r="F63" s="1902" t="s">
        <v>61</v>
      </c>
      <c r="G63" s="1921" t="s">
        <v>8545</v>
      </c>
      <c r="H63" s="1921"/>
      <c r="I63" s="1902" t="s">
        <v>19</v>
      </c>
      <c r="J63" s="1902" t="s">
        <v>959</v>
      </c>
      <c r="K63" s="2331" t="s">
        <v>8546</v>
      </c>
      <c r="L63" s="2713">
        <v>1537</v>
      </c>
      <c r="M63" s="2684" t="s">
        <v>8547</v>
      </c>
      <c r="N63" s="2563"/>
      <c r="O63" s="1775"/>
      <c r="P63" s="1790">
        <v>2</v>
      </c>
      <c r="Q63" s="1790"/>
      <c r="R63" s="2643"/>
      <c r="S63" s="2643"/>
      <c r="T63" s="2643"/>
      <c r="U63" s="2643"/>
      <c r="V63" s="2643"/>
      <c r="W63" s="2643"/>
      <c r="X63" s="2643"/>
      <c r="Y63" s="2643"/>
      <c r="Z63" s="2643"/>
    </row>
    <row r="64" spans="1:26" s="1467" customFormat="1" ht="58.5" customHeight="1">
      <c r="A64" s="3749"/>
      <c r="B64" s="1900" t="str">
        <f t="shared" si="2"/>
        <v>2200002074</v>
      </c>
      <c r="C64" s="1493" t="s">
        <v>211</v>
      </c>
      <c r="D64" s="1548"/>
      <c r="E64" s="1548"/>
      <c r="F64" s="1493" t="s">
        <v>61</v>
      </c>
      <c r="G64" s="1548"/>
      <c r="H64" s="1548"/>
      <c r="I64" s="1493" t="s">
        <v>19</v>
      </c>
      <c r="J64" s="1493" t="s">
        <v>959</v>
      </c>
      <c r="K64" s="1548" t="s">
        <v>8436</v>
      </c>
      <c r="L64" s="2183">
        <v>2500</v>
      </c>
      <c r="M64" s="2196" t="s">
        <v>5937</v>
      </c>
      <c r="N64" s="1548"/>
      <c r="O64" s="1548"/>
      <c r="P64" s="1790">
        <v>1</v>
      </c>
      <c r="Q64" s="1790"/>
      <c r="R64" s="1548"/>
      <c r="S64" s="1548"/>
      <c r="T64" s="1548"/>
      <c r="U64" s="1548"/>
      <c r="V64" s="1548"/>
      <c r="W64" s="1548"/>
      <c r="X64" s="1548"/>
      <c r="Y64" s="1548"/>
      <c r="Z64" s="1548"/>
    </row>
    <row r="65" spans="1:26" s="1467" customFormat="1" ht="58.5" customHeight="1">
      <c r="A65" s="3749">
        <v>21</v>
      </c>
      <c r="B65" s="1900" t="str">
        <f t="shared" si="2"/>
        <v>2200002106</v>
      </c>
      <c r="C65" s="1902" t="s">
        <v>4831</v>
      </c>
      <c r="D65" s="2624">
        <v>4300</v>
      </c>
      <c r="E65" s="1921" t="s">
        <v>8548</v>
      </c>
      <c r="F65" s="1902" t="s">
        <v>61</v>
      </c>
      <c r="G65" s="1921" t="s">
        <v>8549</v>
      </c>
      <c r="H65" s="1921"/>
      <c r="I65" s="1902" t="s">
        <v>19</v>
      </c>
      <c r="J65" s="1902" t="s">
        <v>1138</v>
      </c>
      <c r="K65" s="2331" t="s">
        <v>8550</v>
      </c>
      <c r="L65" s="2713">
        <v>459</v>
      </c>
      <c r="M65" s="2684" t="s">
        <v>8551</v>
      </c>
      <c r="N65" s="2563"/>
      <c r="O65" s="1775"/>
      <c r="P65" s="1790">
        <v>2</v>
      </c>
      <c r="Q65" s="1790"/>
      <c r="R65" s="2643"/>
      <c r="S65" s="2643"/>
      <c r="T65" s="2643"/>
      <c r="U65" s="2643"/>
      <c r="V65" s="2643"/>
      <c r="W65" s="2643"/>
      <c r="X65" s="2643"/>
      <c r="Y65" s="2643"/>
      <c r="Z65" s="2643"/>
    </row>
    <row r="66" spans="1:26" s="1467" customFormat="1" ht="58.5" customHeight="1">
      <c r="A66" s="3749"/>
      <c r="B66" s="1900" t="str">
        <f t="shared" si="2"/>
        <v>2200002108</v>
      </c>
      <c r="C66" s="1902" t="s">
        <v>4831</v>
      </c>
      <c r="D66" s="1826"/>
      <c r="E66" s="1495"/>
      <c r="F66" s="1493" t="s">
        <v>61</v>
      </c>
      <c r="G66" s="1495"/>
      <c r="H66" s="1495"/>
      <c r="I66" s="1493" t="s">
        <v>19</v>
      </c>
      <c r="J66" s="1493" t="s">
        <v>1138</v>
      </c>
      <c r="K66" s="2348" t="s">
        <v>8552</v>
      </c>
      <c r="L66" s="2856">
        <v>3349</v>
      </c>
      <c r="M66" s="2857" t="s">
        <v>8553</v>
      </c>
      <c r="N66" s="2563"/>
      <c r="O66" s="1775"/>
      <c r="P66" s="1790">
        <v>2</v>
      </c>
      <c r="Q66" s="1790"/>
      <c r="R66" s="2643"/>
      <c r="S66" s="2643"/>
      <c r="T66" s="2643"/>
      <c r="U66" s="2643"/>
      <c r="V66" s="2643"/>
      <c r="W66" s="2643"/>
      <c r="X66" s="2643"/>
      <c r="Y66" s="2643"/>
      <c r="Z66" s="2643"/>
    </row>
    <row r="67" spans="1:26" s="1467" customFormat="1" ht="58.5" customHeight="1">
      <c r="A67" s="3749"/>
      <c r="B67" s="1900" t="str">
        <f t="shared" si="2"/>
        <v>2000003033</v>
      </c>
      <c r="C67" s="1902" t="s">
        <v>4831</v>
      </c>
      <c r="D67" s="1826"/>
      <c r="E67" s="1495"/>
      <c r="F67" s="1493" t="s">
        <v>61</v>
      </c>
      <c r="G67" s="1495"/>
      <c r="H67" s="1495"/>
      <c r="I67" s="1493" t="s">
        <v>19</v>
      </c>
      <c r="J67" s="1493" t="s">
        <v>1138</v>
      </c>
      <c r="K67" s="2348" t="s">
        <v>8554</v>
      </c>
      <c r="L67" s="2856">
        <v>100</v>
      </c>
      <c r="M67" s="2857" t="s">
        <v>5391</v>
      </c>
      <c r="N67" s="2563"/>
      <c r="O67" s="1775"/>
      <c r="P67" s="1790">
        <v>2</v>
      </c>
      <c r="Q67" s="1790"/>
      <c r="R67" s="2643"/>
      <c r="S67" s="2643"/>
      <c r="T67" s="2643"/>
      <c r="U67" s="2643"/>
      <c r="V67" s="2643"/>
      <c r="W67" s="2643"/>
      <c r="X67" s="2643"/>
      <c r="Y67" s="2643"/>
      <c r="Z67" s="2643"/>
    </row>
    <row r="68" spans="1:26" s="1467" customFormat="1" ht="58.5" customHeight="1">
      <c r="A68" s="3749"/>
      <c r="B68" s="1900" t="str">
        <f t="shared" si="2"/>
        <v>2200002065</v>
      </c>
      <c r="C68" s="1902" t="s">
        <v>4831</v>
      </c>
      <c r="D68" s="1826"/>
      <c r="E68" s="1495"/>
      <c r="F68" s="1493" t="s">
        <v>61</v>
      </c>
      <c r="G68" s="1495"/>
      <c r="H68" s="1495"/>
      <c r="I68" s="1493" t="s">
        <v>19</v>
      </c>
      <c r="J68" s="1493" t="s">
        <v>1138</v>
      </c>
      <c r="K68" s="2348" t="s">
        <v>8555</v>
      </c>
      <c r="L68" s="2856">
        <v>423</v>
      </c>
      <c r="M68" s="2857" t="s">
        <v>8556</v>
      </c>
      <c r="N68" s="2563"/>
      <c r="O68" s="1775"/>
      <c r="P68" s="1790">
        <v>2</v>
      </c>
      <c r="Q68" s="1790"/>
      <c r="R68" s="2643"/>
      <c r="S68" s="2643"/>
      <c r="T68" s="2643"/>
      <c r="U68" s="2643"/>
      <c r="V68" s="2643"/>
      <c r="W68" s="2643"/>
      <c r="X68" s="2643"/>
      <c r="Y68" s="2643"/>
      <c r="Z68" s="2643"/>
    </row>
    <row r="69" spans="1:26" s="1467" customFormat="1" ht="58.5" customHeight="1">
      <c r="A69" s="3749">
        <v>22</v>
      </c>
      <c r="B69" s="1900" t="str">
        <f t="shared" si="2"/>
        <v>2000003103</v>
      </c>
      <c r="C69" s="1902" t="s">
        <v>3275</v>
      </c>
      <c r="D69" s="2624">
        <v>10500</v>
      </c>
      <c r="E69" s="1921" t="s">
        <v>8557</v>
      </c>
      <c r="F69" s="1902" t="s">
        <v>3401</v>
      </c>
      <c r="G69" s="1921" t="s">
        <v>8558</v>
      </c>
      <c r="H69" s="1921"/>
      <c r="I69" s="1921" t="s">
        <v>19</v>
      </c>
      <c r="J69" s="1561" t="s">
        <v>123</v>
      </c>
      <c r="K69" s="2402" t="s">
        <v>8559</v>
      </c>
      <c r="L69" s="2508">
        <v>400</v>
      </c>
      <c r="M69" s="2506" t="s">
        <v>5937</v>
      </c>
      <c r="N69" s="1921" t="s">
        <v>6026</v>
      </c>
      <c r="O69" s="1775"/>
      <c r="P69" s="1790">
        <v>2</v>
      </c>
      <c r="Q69" s="1790"/>
    </row>
    <row r="70" spans="1:26" s="1467" customFormat="1" ht="67.5" customHeight="1">
      <c r="A70" s="3749"/>
      <c r="B70" s="1900" t="str">
        <f t="shared" si="2"/>
        <v>2000003143</v>
      </c>
      <c r="C70" s="1493" t="s">
        <v>3275</v>
      </c>
      <c r="D70" s="1494"/>
      <c r="E70" s="1543"/>
      <c r="F70" s="1493" t="s">
        <v>3401</v>
      </c>
      <c r="G70" s="1495"/>
      <c r="H70" s="1495"/>
      <c r="I70" s="1493" t="s">
        <v>19</v>
      </c>
      <c r="J70" s="1495" t="s">
        <v>123</v>
      </c>
      <c r="K70" s="1600" t="s">
        <v>8560</v>
      </c>
      <c r="L70" s="2357">
        <v>2500</v>
      </c>
      <c r="M70" s="2196" t="s">
        <v>5937</v>
      </c>
      <c r="N70" s="1493"/>
      <c r="O70" s="1859"/>
      <c r="P70" s="1790">
        <v>2</v>
      </c>
      <c r="Q70" s="1790"/>
    </row>
    <row r="71" spans="1:26" s="1467" customFormat="1" ht="67.5" customHeight="1">
      <c r="A71" s="3749"/>
      <c r="B71" s="1900" t="str">
        <f t="shared" si="2"/>
        <v>2000003190</v>
      </c>
      <c r="C71" s="1493" t="s">
        <v>3275</v>
      </c>
      <c r="D71" s="2624"/>
      <c r="E71" s="1921"/>
      <c r="F71" s="1493" t="s">
        <v>3401</v>
      </c>
      <c r="G71" s="1921"/>
      <c r="H71" s="1921"/>
      <c r="I71" s="1493" t="s">
        <v>19</v>
      </c>
      <c r="J71" s="1495" t="s">
        <v>123</v>
      </c>
      <c r="K71" s="1600" t="s">
        <v>8561</v>
      </c>
      <c r="L71" s="2583">
        <v>2500</v>
      </c>
      <c r="M71" s="2196" t="s">
        <v>8562</v>
      </c>
      <c r="N71" s="1493"/>
      <c r="O71" s="1859"/>
      <c r="P71" s="1790">
        <v>2</v>
      </c>
      <c r="Q71" s="1790"/>
      <c r="R71" s="2643"/>
      <c r="S71" s="2643"/>
      <c r="T71" s="2643"/>
      <c r="U71" s="2643"/>
      <c r="V71" s="2643"/>
      <c r="W71" s="2643"/>
      <c r="X71" s="2643"/>
      <c r="Y71" s="2643"/>
      <c r="Z71" s="2643"/>
    </row>
    <row r="72" spans="1:26" s="1467" customFormat="1" ht="51" customHeight="1">
      <c r="A72" s="3749"/>
      <c r="B72" s="1900" t="str">
        <f t="shared" si="2"/>
        <v>2000003145</v>
      </c>
      <c r="C72" s="1493" t="s">
        <v>3275</v>
      </c>
      <c r="D72" s="1826"/>
      <c r="E72" s="1495"/>
      <c r="F72" s="1493" t="s">
        <v>3401</v>
      </c>
      <c r="G72" s="1495"/>
      <c r="H72" s="1748"/>
      <c r="I72" s="1495" t="s">
        <v>19</v>
      </c>
      <c r="J72" s="1495" t="s">
        <v>63</v>
      </c>
      <c r="K72" s="1600" t="s">
        <v>8563</v>
      </c>
      <c r="L72" s="2357">
        <v>330</v>
      </c>
      <c r="M72" s="1790" t="s">
        <v>5454</v>
      </c>
      <c r="N72" s="1493"/>
      <c r="O72" s="1859"/>
      <c r="P72" s="1790">
        <v>2</v>
      </c>
      <c r="Q72" s="1790"/>
      <c r="R72" s="2643"/>
      <c r="S72" s="2643"/>
      <c r="T72" s="2643"/>
      <c r="U72" s="2643"/>
      <c r="V72" s="2643"/>
      <c r="W72" s="2643"/>
      <c r="X72" s="2643"/>
      <c r="Y72" s="2643"/>
      <c r="Z72" s="2643"/>
    </row>
    <row r="73" spans="1:26" s="1467" customFormat="1" ht="51" customHeight="1">
      <c r="A73" s="3749"/>
      <c r="B73" s="1900" t="str">
        <f t="shared" si="2"/>
        <v>2000003173</v>
      </c>
      <c r="C73" s="1493" t="s">
        <v>3275</v>
      </c>
      <c r="D73" s="1826"/>
      <c r="E73" s="1495"/>
      <c r="F73" s="1493" t="s">
        <v>3401</v>
      </c>
      <c r="G73" s="1495"/>
      <c r="H73" s="1748"/>
      <c r="I73" s="1495" t="s">
        <v>19</v>
      </c>
      <c r="J73" s="1495" t="s">
        <v>63</v>
      </c>
      <c r="K73" s="1600" t="s">
        <v>8564</v>
      </c>
      <c r="L73" s="2357">
        <v>645</v>
      </c>
      <c r="M73" s="1790" t="s">
        <v>5454</v>
      </c>
      <c r="N73" s="1493"/>
      <c r="O73" s="1859"/>
      <c r="P73" s="1790">
        <v>2</v>
      </c>
      <c r="Q73" s="1790"/>
      <c r="R73" s="2643"/>
      <c r="S73" s="2643"/>
      <c r="T73" s="2643"/>
      <c r="U73" s="2643"/>
      <c r="V73" s="2643"/>
      <c r="W73" s="2643"/>
      <c r="X73" s="2643"/>
      <c r="Y73" s="2643"/>
      <c r="Z73" s="2643"/>
    </row>
    <row r="74" spans="1:26" s="1467" customFormat="1" ht="51" customHeight="1">
      <c r="A74" s="3749"/>
      <c r="B74" s="1900" t="str">
        <f t="shared" si="2"/>
        <v>2000003129</v>
      </c>
      <c r="C74" s="1493" t="s">
        <v>3275</v>
      </c>
      <c r="D74" s="1826"/>
      <c r="E74" s="1495"/>
      <c r="F74" s="1493" t="s">
        <v>3401</v>
      </c>
      <c r="G74" s="1495"/>
      <c r="H74" s="1495"/>
      <c r="I74" s="1495" t="s">
        <v>19</v>
      </c>
      <c r="J74" s="1495" t="s">
        <v>63</v>
      </c>
      <c r="K74" s="1770" t="s">
        <v>8565</v>
      </c>
      <c r="L74" s="1548">
        <v>88</v>
      </c>
      <c r="M74" s="1748" t="s">
        <v>5454</v>
      </c>
      <c r="N74" s="1493"/>
      <c r="O74" s="1859"/>
      <c r="P74" s="1790">
        <v>2</v>
      </c>
      <c r="Q74" s="1790"/>
      <c r="R74" s="2643"/>
      <c r="S74" s="2643"/>
      <c r="T74" s="2643"/>
      <c r="U74" s="2643"/>
      <c r="V74" s="2643"/>
      <c r="W74" s="2643"/>
      <c r="X74" s="2643"/>
      <c r="Y74" s="2643"/>
      <c r="Z74" s="2643"/>
    </row>
    <row r="75" spans="1:26" s="1467" customFormat="1" ht="51" customHeight="1">
      <c r="A75" s="3749"/>
      <c r="B75" s="1900" t="str">
        <f t="shared" si="2"/>
        <v>2000003130</v>
      </c>
      <c r="C75" s="1493" t="s">
        <v>3275</v>
      </c>
      <c r="D75" s="1826"/>
      <c r="E75" s="1495"/>
      <c r="F75" s="1493" t="s">
        <v>3401</v>
      </c>
      <c r="G75" s="1495"/>
      <c r="H75" s="1495"/>
      <c r="I75" s="1495" t="s">
        <v>19</v>
      </c>
      <c r="J75" s="1495" t="s">
        <v>63</v>
      </c>
      <c r="K75" s="1770" t="s">
        <v>8566</v>
      </c>
      <c r="L75" s="1548">
        <v>258</v>
      </c>
      <c r="M75" s="2196" t="s">
        <v>8567</v>
      </c>
      <c r="N75" s="1493"/>
      <c r="O75" s="1859"/>
      <c r="P75" s="1790">
        <v>2</v>
      </c>
      <c r="Q75" s="1790"/>
      <c r="R75" s="2643"/>
      <c r="S75" s="2643"/>
      <c r="T75" s="2643"/>
      <c r="U75" s="2643"/>
      <c r="V75" s="2643"/>
      <c r="W75" s="2643"/>
      <c r="X75" s="2643"/>
      <c r="Y75" s="2643"/>
      <c r="Z75" s="2643"/>
    </row>
    <row r="76" spans="1:26" s="1467" customFormat="1" ht="51" customHeight="1">
      <c r="A76" s="3749"/>
      <c r="B76" s="1900" t="str">
        <f t="shared" si="2"/>
        <v>2200002109</v>
      </c>
      <c r="C76" s="1493" t="s">
        <v>3275</v>
      </c>
      <c r="D76" s="1826"/>
      <c r="E76" s="1495"/>
      <c r="F76" s="1493" t="s">
        <v>3401</v>
      </c>
      <c r="G76" s="1495"/>
      <c r="H76" s="1495"/>
      <c r="I76" s="1495" t="s">
        <v>19</v>
      </c>
      <c r="J76" s="1495" t="s">
        <v>63</v>
      </c>
      <c r="K76" s="1770" t="s">
        <v>8568</v>
      </c>
      <c r="L76" s="1548">
        <v>93</v>
      </c>
      <c r="M76" s="2196" t="s">
        <v>8543</v>
      </c>
      <c r="N76" s="1493"/>
      <c r="O76" s="1859"/>
      <c r="P76" s="1790">
        <v>2</v>
      </c>
      <c r="Q76" s="1790"/>
      <c r="R76" s="2643"/>
      <c r="S76" s="2643"/>
      <c r="T76" s="2643"/>
      <c r="U76" s="2643"/>
      <c r="V76" s="2643"/>
      <c r="W76" s="2643"/>
      <c r="X76" s="2643"/>
      <c r="Y76" s="2643"/>
      <c r="Z76" s="2643"/>
    </row>
    <row r="77" spans="1:26" s="1467" customFormat="1" ht="69" customHeight="1">
      <c r="A77" s="3749"/>
      <c r="B77" s="1900" t="str">
        <f t="shared" si="2"/>
        <v>2000003082</v>
      </c>
      <c r="C77" s="1493" t="s">
        <v>3275</v>
      </c>
      <c r="D77" s="1826"/>
      <c r="E77" s="1495"/>
      <c r="F77" s="1493" t="s">
        <v>3401</v>
      </c>
      <c r="G77" s="1495"/>
      <c r="H77" s="1748"/>
      <c r="I77" s="1601" t="s">
        <v>19</v>
      </c>
      <c r="J77" s="1495" t="s">
        <v>63</v>
      </c>
      <c r="K77" s="1600" t="s">
        <v>8569</v>
      </c>
      <c r="L77" s="2796">
        <v>3500</v>
      </c>
      <c r="M77" s="1748" t="s">
        <v>5454</v>
      </c>
      <c r="N77" s="1493"/>
      <c r="O77" s="1859"/>
      <c r="P77" s="1790">
        <v>2</v>
      </c>
      <c r="Q77" s="1790"/>
    </row>
    <row r="78" spans="1:26" s="1467" customFormat="1" ht="79.5" customHeight="1">
      <c r="A78" s="3749"/>
      <c r="B78" s="1900" t="str">
        <f t="shared" si="2"/>
        <v>2000003174</v>
      </c>
      <c r="C78" s="1493" t="s">
        <v>3275</v>
      </c>
      <c r="D78" s="1826"/>
      <c r="E78" s="1495"/>
      <c r="F78" s="1493" t="s">
        <v>3401</v>
      </c>
      <c r="G78" s="1495"/>
      <c r="H78" s="1748"/>
      <c r="I78" s="1601" t="s">
        <v>19</v>
      </c>
      <c r="J78" s="1495" t="s">
        <v>63</v>
      </c>
      <c r="K78" s="1600" t="s">
        <v>8570</v>
      </c>
      <c r="L78" s="2564">
        <v>28</v>
      </c>
      <c r="M78" s="2261" t="s">
        <v>5522</v>
      </c>
      <c r="N78" s="1493"/>
      <c r="O78" s="1859"/>
      <c r="P78" s="1790">
        <v>2</v>
      </c>
      <c r="Q78" s="1790"/>
    </row>
    <row r="79" spans="1:26" s="1467" customFormat="1" ht="55.5" customHeight="1">
      <c r="A79" s="3749">
        <v>23</v>
      </c>
      <c r="B79" s="1900" t="str">
        <f t="shared" si="2"/>
        <v>2200002108</v>
      </c>
      <c r="C79" s="2263" t="s">
        <v>3455</v>
      </c>
      <c r="D79" s="2624">
        <v>8800</v>
      </c>
      <c r="E79" s="1921" t="s">
        <v>8571</v>
      </c>
      <c r="F79" s="1902" t="s">
        <v>3401</v>
      </c>
      <c r="G79" s="1921" t="s">
        <v>8572</v>
      </c>
      <c r="H79" s="1921"/>
      <c r="I79" s="1902" t="s">
        <v>19</v>
      </c>
      <c r="J79" s="1921" t="s">
        <v>1138</v>
      </c>
      <c r="K79" s="2331" t="s">
        <v>8552</v>
      </c>
      <c r="L79" s="2583">
        <v>1183</v>
      </c>
      <c r="M79" s="2196" t="s">
        <v>8553</v>
      </c>
      <c r="N79" s="1493"/>
      <c r="O79" s="1859"/>
      <c r="P79" s="1790">
        <v>2</v>
      </c>
      <c r="Q79" s="1790"/>
      <c r="R79" s="2643"/>
      <c r="S79" s="2643"/>
      <c r="T79" s="2643"/>
      <c r="U79" s="2643"/>
      <c r="V79" s="2643"/>
      <c r="W79" s="2643"/>
      <c r="X79" s="2643"/>
      <c r="Y79" s="2643"/>
      <c r="Z79" s="2643"/>
    </row>
    <row r="80" spans="1:26" s="1467" customFormat="1" ht="55.5" customHeight="1">
      <c r="A80" s="3749"/>
      <c r="B80" s="1900" t="str">
        <f t="shared" si="2"/>
        <v>2200002074</v>
      </c>
      <c r="C80" s="1545" t="s">
        <v>3455</v>
      </c>
      <c r="D80" s="1826"/>
      <c r="E80" s="1495"/>
      <c r="F80" s="1493" t="s">
        <v>3401</v>
      </c>
      <c r="G80" s="1495"/>
      <c r="H80" s="1495"/>
      <c r="I80" s="1493" t="s">
        <v>19</v>
      </c>
      <c r="J80" s="1495" t="s">
        <v>1138</v>
      </c>
      <c r="K80" s="2348" t="s">
        <v>8436</v>
      </c>
      <c r="L80" s="2357">
        <v>182</v>
      </c>
      <c r="M80" s="2196" t="s">
        <v>8573</v>
      </c>
      <c r="N80" s="1493"/>
      <c r="O80" s="1859"/>
      <c r="P80" s="1790">
        <v>2</v>
      </c>
      <c r="Q80" s="1790"/>
      <c r="R80" s="2643"/>
      <c r="S80" s="2643"/>
      <c r="T80" s="2643"/>
      <c r="U80" s="2643"/>
      <c r="V80" s="2643"/>
      <c r="W80" s="2643"/>
      <c r="X80" s="2643"/>
      <c r="Y80" s="2643"/>
      <c r="Z80" s="2643"/>
    </row>
    <row r="81" spans="1:26" s="1467" customFormat="1" ht="55.5" customHeight="1">
      <c r="A81" s="3749"/>
      <c r="B81" s="1900" t="str">
        <f t="shared" si="2"/>
        <v>2200002091</v>
      </c>
      <c r="C81" s="1545" t="s">
        <v>3455</v>
      </c>
      <c r="D81" s="1826"/>
      <c r="E81" s="1495"/>
      <c r="F81" s="1493" t="s">
        <v>3401</v>
      </c>
      <c r="G81" s="1495"/>
      <c r="H81" s="1495"/>
      <c r="I81" s="1493" t="s">
        <v>19</v>
      </c>
      <c r="J81" s="1495" t="s">
        <v>1138</v>
      </c>
      <c r="K81" s="2348" t="s">
        <v>8574</v>
      </c>
      <c r="L81" s="2357">
        <v>410</v>
      </c>
      <c r="M81" s="2196" t="s">
        <v>8573</v>
      </c>
      <c r="N81" s="1493"/>
      <c r="O81" s="1859"/>
      <c r="P81" s="1790">
        <v>2</v>
      </c>
      <c r="Q81" s="1790"/>
      <c r="R81" s="2643"/>
      <c r="S81" s="2643"/>
      <c r="T81" s="2643"/>
      <c r="U81" s="2643"/>
      <c r="V81" s="2643"/>
      <c r="W81" s="2643"/>
      <c r="X81" s="2643"/>
      <c r="Y81" s="2643"/>
      <c r="Z81" s="2643"/>
    </row>
    <row r="82" spans="1:26" s="1467" customFormat="1" ht="55.5" customHeight="1">
      <c r="A82" s="3749"/>
      <c r="B82" s="1900" t="str">
        <f t="shared" si="2"/>
        <v>2200002101</v>
      </c>
      <c r="C82" s="1545" t="s">
        <v>3455</v>
      </c>
      <c r="D82" s="1826"/>
      <c r="E82" s="1495"/>
      <c r="F82" s="1493" t="s">
        <v>3401</v>
      </c>
      <c r="G82" s="1495"/>
      <c r="H82" s="1495"/>
      <c r="I82" s="1493" t="s">
        <v>19</v>
      </c>
      <c r="J82" s="1495" t="s">
        <v>1138</v>
      </c>
      <c r="K82" s="2348" t="s">
        <v>8575</v>
      </c>
      <c r="L82" s="2357">
        <v>108</v>
      </c>
      <c r="M82" s="2196" t="s">
        <v>8573</v>
      </c>
      <c r="N82" s="1493"/>
      <c r="O82" s="1859"/>
      <c r="P82" s="1790">
        <v>2</v>
      </c>
      <c r="Q82" s="1790"/>
      <c r="R82" s="2643"/>
      <c r="S82" s="2643"/>
      <c r="T82" s="2643"/>
      <c r="U82" s="2643"/>
      <c r="V82" s="2643"/>
      <c r="W82" s="2643"/>
      <c r="X82" s="2643"/>
      <c r="Y82" s="2643"/>
      <c r="Z82" s="2643"/>
    </row>
    <row r="83" spans="1:26" s="1467" customFormat="1" ht="55.5" customHeight="1">
      <c r="A83" s="3749"/>
      <c r="B83" s="1900" t="str">
        <f t="shared" si="2"/>
        <v>2200002115</v>
      </c>
      <c r="C83" s="1545" t="s">
        <v>3455</v>
      </c>
      <c r="D83" s="1826"/>
      <c r="E83" s="1495"/>
      <c r="F83" s="1493" t="s">
        <v>3401</v>
      </c>
      <c r="G83" s="1495"/>
      <c r="H83" s="1495"/>
      <c r="I83" s="1493" t="s">
        <v>19</v>
      </c>
      <c r="J83" s="1495" t="s">
        <v>1138</v>
      </c>
      <c r="K83" s="2348" t="s">
        <v>8576</v>
      </c>
      <c r="L83" s="2357">
        <v>2411</v>
      </c>
      <c r="M83" s="2196" t="s">
        <v>8577</v>
      </c>
      <c r="N83" s="1493"/>
      <c r="O83" s="1859"/>
      <c r="P83" s="1790">
        <v>2</v>
      </c>
      <c r="Q83" s="1790"/>
      <c r="R83" s="2643"/>
      <c r="S83" s="2643"/>
      <c r="T83" s="2643"/>
      <c r="U83" s="2643"/>
      <c r="V83" s="2643"/>
      <c r="W83" s="2643"/>
      <c r="X83" s="2643"/>
      <c r="Y83" s="2643"/>
      <c r="Z83" s="2643"/>
    </row>
    <row r="84" spans="1:26" s="1467" customFormat="1" ht="55.5" customHeight="1">
      <c r="A84" s="3749"/>
      <c r="B84" s="1900" t="str">
        <f t="shared" si="2"/>
        <v>2200002116</v>
      </c>
      <c r="C84" s="1545" t="s">
        <v>3455</v>
      </c>
      <c r="D84" s="1826"/>
      <c r="E84" s="1495"/>
      <c r="F84" s="1493" t="s">
        <v>3401</v>
      </c>
      <c r="G84" s="1495"/>
      <c r="H84" s="1495"/>
      <c r="I84" s="1493" t="s">
        <v>19</v>
      </c>
      <c r="J84" s="1495" t="s">
        <v>1138</v>
      </c>
      <c r="K84" s="2348" t="s">
        <v>8578</v>
      </c>
      <c r="L84" s="2357">
        <v>2127</v>
      </c>
      <c r="M84" s="2196" t="s">
        <v>8579</v>
      </c>
      <c r="N84" s="1493"/>
      <c r="O84" s="1859"/>
      <c r="P84" s="1790">
        <v>2</v>
      </c>
      <c r="Q84" s="1790"/>
      <c r="R84" s="2643"/>
      <c r="S84" s="2643"/>
      <c r="T84" s="2643"/>
      <c r="U84" s="2643"/>
      <c r="V84" s="2643"/>
      <c r="W84" s="2643"/>
      <c r="X84" s="2643"/>
      <c r="Y84" s="2643"/>
      <c r="Z84" s="2643"/>
    </row>
    <row r="85" spans="1:26" s="1467" customFormat="1" ht="55.5" customHeight="1">
      <c r="A85" s="3749"/>
      <c r="B85" s="1900" t="str">
        <f t="shared" si="2"/>
        <v>2200002117</v>
      </c>
      <c r="C85" s="1545" t="s">
        <v>3455</v>
      </c>
      <c r="D85" s="1826"/>
      <c r="E85" s="1495"/>
      <c r="F85" s="1493" t="s">
        <v>3401</v>
      </c>
      <c r="G85" s="1495"/>
      <c r="H85" s="1495"/>
      <c r="I85" s="1493" t="s">
        <v>19</v>
      </c>
      <c r="J85" s="1495" t="s">
        <v>1138</v>
      </c>
      <c r="K85" s="2348" t="s">
        <v>8580</v>
      </c>
      <c r="L85" s="2357">
        <v>1801</v>
      </c>
      <c r="M85" s="2196" t="s">
        <v>8577</v>
      </c>
      <c r="N85" s="1493"/>
      <c r="O85" s="1859"/>
      <c r="P85" s="1790">
        <v>2</v>
      </c>
      <c r="Q85" s="1790"/>
      <c r="R85" s="2643"/>
      <c r="S85" s="2643"/>
      <c r="T85" s="2643"/>
      <c r="U85" s="2643"/>
      <c r="V85" s="2643"/>
      <c r="W85" s="2643"/>
      <c r="X85" s="2643"/>
      <c r="Y85" s="2643"/>
      <c r="Z85" s="2643"/>
    </row>
    <row r="86" spans="1:26" s="1467" customFormat="1" ht="55.5" customHeight="1">
      <c r="A86" s="3749"/>
      <c r="B86" s="1900" t="str">
        <f t="shared" si="2"/>
        <v>2200002118</v>
      </c>
      <c r="C86" s="1545" t="s">
        <v>3455</v>
      </c>
      <c r="D86" s="1826"/>
      <c r="E86" s="1495"/>
      <c r="F86" s="1493" t="s">
        <v>3401</v>
      </c>
      <c r="G86" s="1495"/>
      <c r="H86" s="1495"/>
      <c r="I86" s="1493" t="s">
        <v>19</v>
      </c>
      <c r="J86" s="1495" t="s">
        <v>1138</v>
      </c>
      <c r="K86" s="2348" t="s">
        <v>8581</v>
      </c>
      <c r="L86" s="2357">
        <v>600</v>
      </c>
      <c r="M86" s="2196" t="s">
        <v>8543</v>
      </c>
      <c r="N86" s="1493"/>
      <c r="O86" s="1859"/>
      <c r="P86" s="1790">
        <v>2</v>
      </c>
      <c r="Q86" s="1790"/>
      <c r="R86" s="2643"/>
      <c r="S86" s="2643"/>
      <c r="T86" s="2643"/>
      <c r="U86" s="2643"/>
      <c r="V86" s="2643"/>
      <c r="W86" s="2643"/>
      <c r="X86" s="2643"/>
      <c r="Y86" s="2643"/>
      <c r="Z86" s="2643"/>
    </row>
    <row r="87" spans="1:26" s="1467" customFormat="1" ht="55.5" customHeight="1">
      <c r="A87" s="3736">
        <v>24</v>
      </c>
      <c r="B87" s="1900" t="str">
        <f t="shared" si="2"/>
        <v>2200002110</v>
      </c>
      <c r="C87" s="1902" t="s">
        <v>52</v>
      </c>
      <c r="D87" s="2624">
        <v>4620</v>
      </c>
      <c r="E87" s="1921" t="s">
        <v>8582</v>
      </c>
      <c r="F87" s="1902" t="s">
        <v>16</v>
      </c>
      <c r="G87" s="1921" t="s">
        <v>3806</v>
      </c>
      <c r="H87" s="1921"/>
      <c r="I87" s="1921" t="s">
        <v>19</v>
      </c>
      <c r="J87" s="1921" t="s">
        <v>74</v>
      </c>
      <c r="K87" s="2150" t="s">
        <v>8583</v>
      </c>
      <c r="L87" s="2179">
        <v>187</v>
      </c>
      <c r="M87" s="1921" t="s">
        <v>8584</v>
      </c>
      <c r="N87" s="1493"/>
      <c r="O87" s="1859"/>
      <c r="P87" s="1790">
        <v>2</v>
      </c>
      <c r="Q87" s="1790"/>
    </row>
    <row r="88" spans="1:26" s="1467" customFormat="1" ht="55.5" customHeight="1">
      <c r="A88" s="3736"/>
      <c r="B88" s="1900" t="str">
        <f t="shared" si="2"/>
        <v>2000003177</v>
      </c>
      <c r="C88" s="1493" t="s">
        <v>52</v>
      </c>
      <c r="D88" s="1826"/>
      <c r="E88" s="1495"/>
      <c r="F88" s="1493" t="s">
        <v>16</v>
      </c>
      <c r="G88" s="1495"/>
      <c r="H88" s="1748"/>
      <c r="I88" s="1495" t="s">
        <v>19</v>
      </c>
      <c r="J88" s="1495" t="s">
        <v>74</v>
      </c>
      <c r="K88" s="1600" t="s">
        <v>8585</v>
      </c>
      <c r="L88" s="2357">
        <v>2175</v>
      </c>
      <c r="M88" s="2196" t="s">
        <v>6399</v>
      </c>
      <c r="N88" s="1493"/>
      <c r="O88" s="1859"/>
      <c r="P88" s="1790">
        <v>2</v>
      </c>
      <c r="Q88" s="1790"/>
      <c r="R88" s="2643"/>
      <c r="S88" s="2643"/>
      <c r="T88" s="2643"/>
      <c r="U88" s="2643"/>
      <c r="V88" s="2643"/>
      <c r="W88" s="2643"/>
      <c r="X88" s="2643"/>
      <c r="Y88" s="2643"/>
      <c r="Z88" s="2643"/>
    </row>
    <row r="89" spans="1:26" s="1467" customFormat="1" ht="55.5" customHeight="1">
      <c r="A89" s="3736"/>
      <c r="B89" s="1900" t="str">
        <f t="shared" si="2"/>
        <v>2000003165</v>
      </c>
      <c r="C89" s="1493" t="s">
        <v>52</v>
      </c>
      <c r="D89" s="1868"/>
      <c r="E89" s="1851"/>
      <c r="F89" s="1493" t="s">
        <v>16</v>
      </c>
      <c r="G89" s="1851"/>
      <c r="H89" s="1872"/>
      <c r="I89" s="1495" t="s">
        <v>19</v>
      </c>
      <c r="J89" s="1937" t="s">
        <v>74</v>
      </c>
      <c r="K89" s="1966" t="s">
        <v>8586</v>
      </c>
      <c r="L89" s="2868">
        <v>1000</v>
      </c>
      <c r="M89" s="2506" t="s">
        <v>5937</v>
      </c>
      <c r="N89" s="1493"/>
      <c r="O89" s="1859"/>
      <c r="P89" s="1790">
        <v>2</v>
      </c>
      <c r="Q89" s="1790"/>
    </row>
    <row r="90" spans="1:26" s="1467" customFormat="1" ht="55.5" customHeight="1">
      <c r="A90" s="3736"/>
      <c r="B90" s="1900" t="str">
        <f t="shared" si="2"/>
        <v>2000003166</v>
      </c>
      <c r="C90" s="1493" t="s">
        <v>52</v>
      </c>
      <c r="D90" s="1868"/>
      <c r="E90" s="1851"/>
      <c r="F90" s="1493" t="s">
        <v>16</v>
      </c>
      <c r="G90" s="1921"/>
      <c r="H90" s="1921"/>
      <c r="I90" s="1875" t="s">
        <v>19</v>
      </c>
      <c r="J90" s="1773" t="s">
        <v>74</v>
      </c>
      <c r="K90" s="1995" t="s">
        <v>8587</v>
      </c>
      <c r="L90" s="2610">
        <v>1000</v>
      </c>
      <c r="M90" s="2506" t="s">
        <v>5937</v>
      </c>
      <c r="N90" s="2563"/>
      <c r="O90" s="1775"/>
      <c r="P90" s="1790">
        <v>2</v>
      </c>
      <c r="Q90" s="1790"/>
      <c r="R90" s="2643"/>
      <c r="S90" s="2643"/>
      <c r="T90" s="2643"/>
      <c r="U90" s="2643"/>
      <c r="V90" s="2643"/>
      <c r="W90" s="2643"/>
      <c r="X90" s="2643"/>
      <c r="Y90" s="2643"/>
      <c r="Z90" s="2643"/>
    </row>
    <row r="91" spans="1:26" s="2643" customFormat="1" ht="50.25" customHeight="1">
      <c r="A91" s="3735">
        <v>25</v>
      </c>
      <c r="B91" s="1900" t="str">
        <f t="shared" si="2"/>
        <v>2000003155</v>
      </c>
      <c r="C91" s="1902" t="s">
        <v>3414</v>
      </c>
      <c r="D91" s="2624">
        <v>24000</v>
      </c>
      <c r="E91" s="1921" t="s">
        <v>8588</v>
      </c>
      <c r="F91" s="1902" t="s">
        <v>3416</v>
      </c>
      <c r="G91" s="1921" t="s">
        <v>8589</v>
      </c>
      <c r="H91" s="1921"/>
      <c r="I91" s="1921" t="s">
        <v>19</v>
      </c>
      <c r="J91" s="1921" t="s">
        <v>253</v>
      </c>
      <c r="K91" s="1845" t="s">
        <v>8590</v>
      </c>
      <c r="L91" s="2583">
        <v>5644</v>
      </c>
      <c r="M91" s="2506" t="s">
        <v>5937</v>
      </c>
      <c r="N91" s="1902"/>
      <c r="O91" s="1775"/>
      <c r="P91" s="1790">
        <v>2</v>
      </c>
      <c r="Q91" s="1790"/>
    </row>
    <row r="92" spans="1:26" s="1467" customFormat="1" ht="61.5" customHeight="1">
      <c r="A92" s="3735"/>
      <c r="B92" s="1900" t="str">
        <f t="shared" si="2"/>
        <v>2000003142</v>
      </c>
      <c r="C92" s="1493" t="s">
        <v>3414</v>
      </c>
      <c r="D92" s="1494"/>
      <c r="E92" s="1495"/>
      <c r="F92" s="1493" t="s">
        <v>3416</v>
      </c>
      <c r="G92" s="1495"/>
      <c r="H92" s="1495"/>
      <c r="I92" s="1493" t="s">
        <v>19</v>
      </c>
      <c r="J92" s="1495" t="s">
        <v>123</v>
      </c>
      <c r="K92" s="1600" t="s">
        <v>8591</v>
      </c>
      <c r="L92" s="2543">
        <v>2834</v>
      </c>
      <c r="M92" s="2506" t="s">
        <v>5937</v>
      </c>
      <c r="N92" s="1493"/>
      <c r="O92" s="1859"/>
      <c r="P92" s="1790">
        <v>2</v>
      </c>
      <c r="Q92" s="1790"/>
    </row>
    <row r="93" spans="1:26" s="1467" customFormat="1" ht="52.5" customHeight="1">
      <c r="A93" s="3735"/>
      <c r="B93" s="1900" t="str">
        <f t="shared" ref="B93:B124" si="3">TEXT(LEFT(K93,10),"0000000000")</f>
        <v>2200002095</v>
      </c>
      <c r="C93" s="1493" t="s">
        <v>3414</v>
      </c>
      <c r="D93" s="1826"/>
      <c r="E93" s="1495"/>
      <c r="F93" s="1493" t="s">
        <v>3416</v>
      </c>
      <c r="G93" s="1495"/>
      <c r="H93" s="1495"/>
      <c r="I93" s="1495" t="s">
        <v>19</v>
      </c>
      <c r="J93" s="1495" t="s">
        <v>123</v>
      </c>
      <c r="K93" s="2911" t="s">
        <v>8592</v>
      </c>
      <c r="L93" s="2637">
        <v>438</v>
      </c>
      <c r="M93" s="2055" t="s">
        <v>8593</v>
      </c>
      <c r="N93" s="1493"/>
      <c r="O93" s="1859"/>
      <c r="P93" s="1790">
        <v>2</v>
      </c>
      <c r="Q93" s="1790"/>
    </row>
    <row r="94" spans="1:26" s="1467" customFormat="1" ht="52.5" customHeight="1">
      <c r="A94" s="3735"/>
      <c r="B94" s="1900" t="str">
        <f t="shared" si="3"/>
        <v>2200002097</v>
      </c>
      <c r="C94" s="1493" t="s">
        <v>3414</v>
      </c>
      <c r="D94" s="1826"/>
      <c r="E94" s="1495"/>
      <c r="F94" s="1493" t="s">
        <v>3416</v>
      </c>
      <c r="G94" s="1495"/>
      <c r="H94" s="1495"/>
      <c r="I94" s="1495" t="s">
        <v>19</v>
      </c>
      <c r="J94" s="1495" t="s">
        <v>123</v>
      </c>
      <c r="K94" s="2911" t="s">
        <v>8594</v>
      </c>
      <c r="L94" s="2637">
        <v>562</v>
      </c>
      <c r="M94" s="2055" t="s">
        <v>8595</v>
      </c>
      <c r="N94" s="1493"/>
      <c r="O94" s="1859"/>
      <c r="P94" s="1790">
        <v>2</v>
      </c>
      <c r="Q94" s="1790"/>
    </row>
    <row r="95" spans="1:26" s="1467" customFormat="1" ht="67.5" customHeight="1">
      <c r="A95" s="3735"/>
      <c r="B95" s="1900" t="str">
        <f t="shared" si="3"/>
        <v>2000003095</v>
      </c>
      <c r="C95" s="1493" t="s">
        <v>3414</v>
      </c>
      <c r="D95" s="1826"/>
      <c r="E95" s="1495"/>
      <c r="F95" s="1493" t="s">
        <v>3416</v>
      </c>
      <c r="G95" s="1495"/>
      <c r="H95" s="1495"/>
      <c r="I95" s="1493" t="s">
        <v>19</v>
      </c>
      <c r="J95" s="1495" t="s">
        <v>123</v>
      </c>
      <c r="K95" s="1598" t="s">
        <v>8596</v>
      </c>
      <c r="L95" s="2361">
        <v>3118</v>
      </c>
      <c r="M95" s="2506" t="s">
        <v>5937</v>
      </c>
      <c r="N95" s="1493"/>
      <c r="O95" s="1859"/>
      <c r="P95" s="1790">
        <v>2</v>
      </c>
      <c r="Q95" s="1790"/>
    </row>
    <row r="96" spans="1:26" s="1467" customFormat="1" ht="67.5" customHeight="1">
      <c r="A96" s="3735"/>
      <c r="B96" s="1900" t="str">
        <f t="shared" si="3"/>
        <v>2000003127</v>
      </c>
      <c r="C96" s="1493" t="s">
        <v>3414</v>
      </c>
      <c r="D96" s="1826"/>
      <c r="E96" s="1495"/>
      <c r="F96" s="1493" t="s">
        <v>3416</v>
      </c>
      <c r="G96" s="1495"/>
      <c r="H96" s="1495"/>
      <c r="I96" s="1495" t="s">
        <v>19</v>
      </c>
      <c r="J96" s="1495" t="s">
        <v>123</v>
      </c>
      <c r="K96" s="1600" t="s">
        <v>8597</v>
      </c>
      <c r="L96" s="2357">
        <v>11230</v>
      </c>
      <c r="M96" s="2506" t="s">
        <v>5937</v>
      </c>
      <c r="N96" s="1493"/>
      <c r="O96" s="1859"/>
      <c r="P96" s="1790">
        <v>2</v>
      </c>
      <c r="Q96" s="1790"/>
    </row>
    <row r="97" spans="1:26" s="1467" customFormat="1" ht="67.5" customHeight="1">
      <c r="A97" s="3735">
        <v>26</v>
      </c>
      <c r="B97" s="1900" t="str">
        <f t="shared" si="3"/>
        <v>2000003127</v>
      </c>
      <c r="C97" s="1902" t="s">
        <v>42</v>
      </c>
      <c r="D97" s="2624">
        <v>5950</v>
      </c>
      <c r="E97" s="1921" t="s">
        <v>8598</v>
      </c>
      <c r="F97" s="1902" t="s">
        <v>3401</v>
      </c>
      <c r="G97" s="1921" t="s">
        <v>8599</v>
      </c>
      <c r="H97" s="1921"/>
      <c r="I97" s="1921" t="s">
        <v>19</v>
      </c>
      <c r="J97" s="1921" t="s">
        <v>123</v>
      </c>
      <c r="K97" s="1845" t="s">
        <v>8600</v>
      </c>
      <c r="L97" s="2583">
        <v>3000</v>
      </c>
      <c r="M97" s="2196" t="s">
        <v>5937</v>
      </c>
      <c r="N97" s="1493"/>
      <c r="O97" s="1859"/>
      <c r="P97" s="1790">
        <v>2</v>
      </c>
      <c r="Q97" s="1790"/>
    </row>
    <row r="98" spans="1:26" s="1467" customFormat="1" ht="67.5" customHeight="1">
      <c r="A98" s="3735"/>
      <c r="B98" s="1900" t="str">
        <f t="shared" si="3"/>
        <v>2000003169</v>
      </c>
      <c r="C98" s="1493" t="s">
        <v>42</v>
      </c>
      <c r="D98" s="1826"/>
      <c r="E98" s="1495"/>
      <c r="F98" s="1493" t="s">
        <v>3401</v>
      </c>
      <c r="G98" s="1495"/>
      <c r="H98" s="1495"/>
      <c r="I98" s="1493" t="s">
        <v>19</v>
      </c>
      <c r="J98" s="1495" t="s">
        <v>123</v>
      </c>
      <c r="K98" s="1770" t="s">
        <v>8601</v>
      </c>
      <c r="L98" s="2483">
        <v>3000</v>
      </c>
      <c r="M98" s="2196" t="s">
        <v>5454</v>
      </c>
      <c r="N98" s="1493"/>
      <c r="O98" s="1859"/>
      <c r="P98" s="1790">
        <v>2</v>
      </c>
      <c r="Q98" s="1790"/>
    </row>
    <row r="99" spans="1:26" s="1467" customFormat="1" ht="67.5" customHeight="1">
      <c r="A99" s="2582">
        <v>27</v>
      </c>
      <c r="B99" s="1900" t="str">
        <f t="shared" si="3"/>
        <v>2000003196</v>
      </c>
      <c r="C99" s="1902" t="s">
        <v>7672</v>
      </c>
      <c r="D99" s="2624">
        <v>4250</v>
      </c>
      <c r="E99" s="1921" t="s">
        <v>8602</v>
      </c>
      <c r="F99" s="1902" t="s">
        <v>84</v>
      </c>
      <c r="G99" s="1921" t="s">
        <v>8603</v>
      </c>
      <c r="H99" s="1921" t="s">
        <v>8604</v>
      </c>
      <c r="I99" s="1921" t="s">
        <v>19</v>
      </c>
      <c r="J99" s="1921" t="s">
        <v>199</v>
      </c>
      <c r="K99" s="1911" t="s">
        <v>8605</v>
      </c>
      <c r="L99" s="2583">
        <v>4250</v>
      </c>
      <c r="M99" s="2196" t="s">
        <v>6399</v>
      </c>
      <c r="N99" s="1902" t="s">
        <v>7936</v>
      </c>
      <c r="O99" s="1775"/>
      <c r="P99" s="1790">
        <v>2</v>
      </c>
      <c r="Q99" s="1790"/>
      <c r="R99" s="2643"/>
      <c r="S99" s="2643"/>
      <c r="T99" s="2643"/>
      <c r="U99" s="2643"/>
      <c r="V99" s="2643"/>
      <c r="W99" s="2643"/>
      <c r="X99" s="2643"/>
      <c r="Y99" s="2643"/>
      <c r="Z99" s="2643"/>
    </row>
    <row r="100" spans="1:26" s="1467" customFormat="1" ht="67.5" customHeight="1">
      <c r="A100" s="3735">
        <v>28</v>
      </c>
      <c r="B100" s="1900" t="str">
        <f t="shared" si="3"/>
        <v>2000003195</v>
      </c>
      <c r="C100" s="2263" t="s">
        <v>5664</v>
      </c>
      <c r="D100" s="2870">
        <v>4300</v>
      </c>
      <c r="E100" s="2187" t="s">
        <v>8606</v>
      </c>
      <c r="F100" s="1902" t="s">
        <v>89</v>
      </c>
      <c r="G100" s="1921" t="s">
        <v>8607</v>
      </c>
      <c r="H100" s="1921" t="s">
        <v>8604</v>
      </c>
      <c r="I100" s="1921" t="s">
        <v>19</v>
      </c>
      <c r="J100" s="1921" t="s">
        <v>74</v>
      </c>
      <c r="K100" s="2150" t="s">
        <v>8608</v>
      </c>
      <c r="L100" s="2179">
        <v>1000</v>
      </c>
      <c r="M100" s="2196" t="s">
        <v>6399</v>
      </c>
      <c r="N100" s="1493"/>
      <c r="O100" s="1859"/>
      <c r="P100" s="1790">
        <v>2</v>
      </c>
      <c r="Q100" s="1790"/>
    </row>
    <row r="101" spans="1:26" s="1467" customFormat="1" ht="67.5" customHeight="1">
      <c r="A101" s="3736"/>
      <c r="B101" s="1900" t="str">
        <f t="shared" si="3"/>
        <v>2000003177</v>
      </c>
      <c r="C101" s="1545" t="s">
        <v>5664</v>
      </c>
      <c r="D101" s="1548"/>
      <c r="E101" s="1548"/>
      <c r="F101" s="1493" t="s">
        <v>89</v>
      </c>
      <c r="G101" s="1495"/>
      <c r="H101" s="1495"/>
      <c r="I101" s="1495" t="s">
        <v>19</v>
      </c>
      <c r="J101" s="1495" t="s">
        <v>74</v>
      </c>
      <c r="K101" s="1600" t="s">
        <v>8585</v>
      </c>
      <c r="L101" s="2357">
        <v>937</v>
      </c>
      <c r="M101" s="2196" t="s">
        <v>6399</v>
      </c>
      <c r="N101" s="1493"/>
      <c r="O101" s="1859"/>
      <c r="P101" s="1790">
        <v>2</v>
      </c>
      <c r="Q101" s="1790"/>
    </row>
    <row r="102" spans="1:26" s="1467" customFormat="1" ht="67.5" customHeight="1">
      <c r="A102" s="3736"/>
      <c r="B102" s="1900" t="str">
        <f t="shared" si="3"/>
        <v>2200002120</v>
      </c>
      <c r="C102" s="1545" t="s">
        <v>5664</v>
      </c>
      <c r="D102" s="1548"/>
      <c r="E102" s="1548"/>
      <c r="F102" s="1493" t="s">
        <v>89</v>
      </c>
      <c r="G102" s="1495"/>
      <c r="H102" s="1495"/>
      <c r="I102" s="1495" t="s">
        <v>19</v>
      </c>
      <c r="J102" s="1495" t="s">
        <v>74</v>
      </c>
      <c r="K102" s="1548" t="s">
        <v>8609</v>
      </c>
      <c r="L102" s="2560">
        <v>868</v>
      </c>
      <c r="M102" s="1495" t="s">
        <v>8610</v>
      </c>
      <c r="N102" s="1493"/>
      <c r="O102" s="1859"/>
      <c r="P102" s="1790">
        <v>2</v>
      </c>
      <c r="Q102" s="1790"/>
    </row>
    <row r="103" spans="1:26" s="1467" customFormat="1" ht="67.5" customHeight="1">
      <c r="A103" s="3737"/>
      <c r="B103" s="1900" t="str">
        <f t="shared" si="3"/>
        <v>2200002119</v>
      </c>
      <c r="C103" s="1545" t="s">
        <v>5664</v>
      </c>
      <c r="D103" s="1548"/>
      <c r="E103" s="1548"/>
      <c r="F103" s="1493" t="s">
        <v>89</v>
      </c>
      <c r="G103" s="1495"/>
      <c r="H103" s="1495"/>
      <c r="I103" s="1495" t="s">
        <v>19</v>
      </c>
      <c r="J103" s="1773" t="s">
        <v>101</v>
      </c>
      <c r="K103" s="1548" t="s">
        <v>8611</v>
      </c>
      <c r="L103" s="2560">
        <v>1500</v>
      </c>
      <c r="M103" s="1495" t="s">
        <v>8612</v>
      </c>
      <c r="N103" s="1493"/>
      <c r="O103" s="1859"/>
      <c r="P103" s="1790">
        <v>2</v>
      </c>
      <c r="Q103" s="1790"/>
    </row>
    <row r="104" spans="1:26" s="1467" customFormat="1" ht="67.5" customHeight="1">
      <c r="A104" s="2436">
        <v>29</v>
      </c>
      <c r="B104" s="1900" t="str">
        <f t="shared" si="3"/>
        <v>2000003101</v>
      </c>
      <c r="C104" s="1902" t="s">
        <v>3460</v>
      </c>
      <c r="D104" s="2624">
        <v>4000</v>
      </c>
      <c r="E104" s="1921" t="s">
        <v>8613</v>
      </c>
      <c r="F104" s="1902" t="s">
        <v>61</v>
      </c>
      <c r="G104" s="1921" t="s">
        <v>8614</v>
      </c>
      <c r="H104" s="1921" t="s">
        <v>8604</v>
      </c>
      <c r="I104" s="1902" t="s">
        <v>19</v>
      </c>
      <c r="J104" s="1561" t="s">
        <v>74</v>
      </c>
      <c r="K104" s="1916" t="s">
        <v>8615</v>
      </c>
      <c r="L104" s="2480">
        <v>4000</v>
      </c>
      <c r="M104" s="2196" t="s">
        <v>6399</v>
      </c>
      <c r="N104" s="1902" t="s">
        <v>5983</v>
      </c>
      <c r="O104" s="1775"/>
      <c r="P104" s="1790">
        <v>2</v>
      </c>
      <c r="Q104" s="1790"/>
      <c r="R104" s="2643"/>
      <c r="S104" s="2643"/>
      <c r="T104" s="2643"/>
      <c r="U104" s="2643"/>
      <c r="V104" s="2643"/>
      <c r="W104" s="2643"/>
      <c r="X104" s="2643"/>
      <c r="Y104" s="2643"/>
      <c r="Z104" s="2643"/>
    </row>
    <row r="105" spans="1:26" s="1467" customFormat="1" ht="67.5" customHeight="1">
      <c r="A105" s="3736">
        <v>41</v>
      </c>
      <c r="B105" s="1900" t="str">
        <f t="shared" si="3"/>
        <v>2000003193</v>
      </c>
      <c r="C105" s="1902" t="s">
        <v>5635</v>
      </c>
      <c r="D105" s="2624">
        <v>10600</v>
      </c>
      <c r="E105" s="1921" t="s">
        <v>8616</v>
      </c>
      <c r="F105" s="1902" t="s">
        <v>3401</v>
      </c>
      <c r="G105" s="1921" t="s">
        <v>8617</v>
      </c>
      <c r="H105" s="1921" t="s">
        <v>8618</v>
      </c>
      <c r="I105" s="1921" t="s">
        <v>19</v>
      </c>
      <c r="J105" s="1921" t="s">
        <v>63</v>
      </c>
      <c r="K105" s="1845" t="s">
        <v>8619</v>
      </c>
      <c r="L105" s="2583">
        <v>2000</v>
      </c>
      <c r="M105" s="1909" t="s">
        <v>8620</v>
      </c>
      <c r="N105" s="1902"/>
      <c r="O105" s="1775"/>
      <c r="P105" s="1790">
        <v>2</v>
      </c>
      <c r="Q105" s="1790"/>
      <c r="R105" s="2643"/>
      <c r="S105" s="2643"/>
      <c r="T105" s="2643"/>
      <c r="U105" s="2643"/>
      <c r="V105" s="2643"/>
      <c r="W105" s="2643"/>
      <c r="X105" s="2643"/>
      <c r="Y105" s="2643"/>
      <c r="Z105" s="2643"/>
    </row>
    <row r="106" spans="1:26" s="1467" customFormat="1" ht="67.5" customHeight="1">
      <c r="A106" s="3736"/>
      <c r="B106" s="1900" t="str">
        <f t="shared" si="3"/>
        <v>2000003230</v>
      </c>
      <c r="C106" s="1493" t="s">
        <v>5635</v>
      </c>
      <c r="D106" s="1826"/>
      <c r="E106" s="1495"/>
      <c r="F106" s="1493" t="s">
        <v>3401</v>
      </c>
      <c r="G106" s="1495"/>
      <c r="H106" s="1495"/>
      <c r="I106" s="1493" t="s">
        <v>19</v>
      </c>
      <c r="J106" s="1495" t="s">
        <v>63</v>
      </c>
      <c r="K106" s="1600" t="s">
        <v>8621</v>
      </c>
      <c r="L106" s="2357">
        <v>3000</v>
      </c>
      <c r="M106" s="1790" t="s">
        <v>5214</v>
      </c>
      <c r="N106" s="1493"/>
      <c r="O106" s="1859"/>
      <c r="P106" s="1790">
        <v>2</v>
      </c>
      <c r="Q106" s="1790"/>
      <c r="R106" s="1548"/>
      <c r="S106" s="1548"/>
      <c r="T106" s="1548"/>
      <c r="U106" s="1548"/>
      <c r="V106" s="1548"/>
      <c r="W106" s="1548"/>
      <c r="X106" s="1548"/>
      <c r="Y106" s="1548"/>
      <c r="Z106" s="1548"/>
    </row>
    <row r="107" spans="1:26" s="1467" customFormat="1" ht="57.75" customHeight="1">
      <c r="A107" s="3736"/>
      <c r="B107" s="1900" t="str">
        <f t="shared" si="3"/>
        <v>2000003227</v>
      </c>
      <c r="C107" s="1493" t="s">
        <v>5635</v>
      </c>
      <c r="D107" s="1826"/>
      <c r="E107" s="1495"/>
      <c r="F107" s="1493" t="s">
        <v>3401</v>
      </c>
      <c r="G107" s="1495"/>
      <c r="H107" s="1495"/>
      <c r="I107" s="1493" t="s">
        <v>19</v>
      </c>
      <c r="J107" s="1495" t="s">
        <v>63</v>
      </c>
      <c r="K107" s="1547" t="s">
        <v>8622</v>
      </c>
      <c r="L107" s="2357">
        <v>300</v>
      </c>
      <c r="M107" s="2385" t="s">
        <v>5454</v>
      </c>
      <c r="N107" s="1493"/>
      <c r="O107" s="1547"/>
      <c r="P107" s="1790">
        <v>2</v>
      </c>
      <c r="Q107" s="1790"/>
    </row>
    <row r="108" spans="1:26" s="1467" customFormat="1" ht="86.25" customHeight="1">
      <c r="A108" s="3737"/>
      <c r="B108" s="1900" t="str">
        <f t="shared" si="3"/>
        <v>2000003179</v>
      </c>
      <c r="C108" s="1493" t="s">
        <v>5635</v>
      </c>
      <c r="D108" s="1826"/>
      <c r="E108" s="1495"/>
      <c r="F108" s="1493" t="s">
        <v>3401</v>
      </c>
      <c r="G108" s="1495"/>
      <c r="H108" s="1495"/>
      <c r="I108" s="1495" t="s">
        <v>19</v>
      </c>
      <c r="J108" s="1495" t="s">
        <v>4348</v>
      </c>
      <c r="K108" s="1770" t="s">
        <v>8623</v>
      </c>
      <c r="L108" s="2560">
        <v>5200</v>
      </c>
      <c r="M108" s="2196" t="s">
        <v>8624</v>
      </c>
      <c r="N108" s="1493"/>
      <c r="O108" s="1843"/>
      <c r="P108" s="1790">
        <v>2</v>
      </c>
      <c r="Q108" s="1790"/>
    </row>
    <row r="109" spans="1:26" s="1467" customFormat="1" ht="67.5" customHeight="1">
      <c r="A109" s="3744">
        <v>30</v>
      </c>
      <c r="B109" s="1900" t="str">
        <f t="shared" si="3"/>
        <v>2200002084</v>
      </c>
      <c r="C109" s="2263" t="s">
        <v>3425</v>
      </c>
      <c r="D109" s="2624">
        <v>3726</v>
      </c>
      <c r="E109" s="1921" t="s">
        <v>8625</v>
      </c>
      <c r="F109" s="2263" t="s">
        <v>61</v>
      </c>
      <c r="G109" s="1921" t="s">
        <v>8626</v>
      </c>
      <c r="H109" s="1921" t="s">
        <v>8604</v>
      </c>
      <c r="I109" s="1902" t="s">
        <v>19</v>
      </c>
      <c r="J109" s="1921" t="s">
        <v>1138</v>
      </c>
      <c r="K109" s="1845" t="s">
        <v>8627</v>
      </c>
      <c r="L109" s="2871">
        <v>2200</v>
      </c>
      <c r="M109" s="2196" t="s">
        <v>5257</v>
      </c>
      <c r="N109" s="1493"/>
      <c r="O109" s="1859"/>
      <c r="P109" s="1790">
        <v>2</v>
      </c>
      <c r="Q109" s="1790"/>
      <c r="R109" s="2643"/>
      <c r="S109" s="2643"/>
      <c r="T109" s="2643"/>
      <c r="U109" s="2643"/>
      <c r="V109" s="2643"/>
      <c r="W109" s="2643"/>
      <c r="X109" s="2643"/>
      <c r="Y109" s="2643"/>
      <c r="Z109" s="2643"/>
    </row>
    <row r="110" spans="1:26" s="1467" customFormat="1" ht="67.5" customHeight="1">
      <c r="A110" s="3744"/>
      <c r="B110" s="1900" t="str">
        <f t="shared" si="3"/>
        <v>2200002121</v>
      </c>
      <c r="C110" s="1545" t="s">
        <v>3425</v>
      </c>
      <c r="D110" s="1826"/>
      <c r="E110" s="1495"/>
      <c r="F110" s="1545" t="s">
        <v>61</v>
      </c>
      <c r="G110" s="1495"/>
      <c r="H110" s="1495"/>
      <c r="I110" s="1493" t="s">
        <v>19</v>
      </c>
      <c r="J110" s="1495" t="s">
        <v>1138</v>
      </c>
      <c r="K110" s="2348" t="s">
        <v>8628</v>
      </c>
      <c r="L110" s="2357">
        <v>1195</v>
      </c>
      <c r="M110" s="2196" t="s">
        <v>8629</v>
      </c>
      <c r="N110" s="1493"/>
      <c r="O110" s="1859"/>
      <c r="P110" s="1790">
        <v>2</v>
      </c>
      <c r="Q110" s="1790"/>
      <c r="R110" s="2643"/>
      <c r="S110" s="2643"/>
      <c r="T110" s="2643"/>
      <c r="U110" s="2643"/>
      <c r="V110" s="2643"/>
      <c r="W110" s="2643"/>
      <c r="X110" s="2643"/>
      <c r="Y110" s="2643"/>
      <c r="Z110" s="2643"/>
    </row>
    <row r="111" spans="1:26" s="1467" customFormat="1" ht="67.5" customHeight="1">
      <c r="A111" s="3744"/>
      <c r="B111" s="1900" t="str">
        <f t="shared" si="3"/>
        <v>2200002123</v>
      </c>
      <c r="C111" s="1545" t="s">
        <v>3425</v>
      </c>
      <c r="D111" s="1826"/>
      <c r="E111" s="1495"/>
      <c r="F111" s="1545" t="s">
        <v>61</v>
      </c>
      <c r="G111" s="1495"/>
      <c r="H111" s="1495"/>
      <c r="I111" s="1493" t="s">
        <v>19</v>
      </c>
      <c r="J111" s="1495" t="s">
        <v>1138</v>
      </c>
      <c r="K111" s="2348" t="s">
        <v>8630</v>
      </c>
      <c r="L111" s="2357">
        <v>360</v>
      </c>
      <c r="M111" s="2196" t="s">
        <v>8631</v>
      </c>
      <c r="N111" s="1493"/>
      <c r="O111" s="1859"/>
      <c r="P111" s="1790">
        <v>2</v>
      </c>
      <c r="Q111" s="1790"/>
      <c r="R111" s="2643"/>
      <c r="S111" s="2643"/>
      <c r="T111" s="2643"/>
      <c r="U111" s="2643"/>
      <c r="V111" s="2643"/>
      <c r="W111" s="2643"/>
      <c r="X111" s="2643"/>
      <c r="Y111" s="2643"/>
      <c r="Z111" s="2643"/>
    </row>
    <row r="112" spans="1:26" s="1467" customFormat="1" ht="50.25" customHeight="1">
      <c r="A112" s="3738">
        <v>31</v>
      </c>
      <c r="B112" s="1900" t="str">
        <f t="shared" si="3"/>
        <v>2000003207</v>
      </c>
      <c r="C112" s="1902" t="s">
        <v>5319</v>
      </c>
      <c r="D112" s="2624">
        <v>11940</v>
      </c>
      <c r="E112" s="1921" t="s">
        <v>2951</v>
      </c>
      <c r="F112" s="1902" t="s">
        <v>3401</v>
      </c>
      <c r="G112" s="1921" t="s">
        <v>8632</v>
      </c>
      <c r="H112" s="1921" t="s">
        <v>8618</v>
      </c>
      <c r="I112" s="1921" t="s">
        <v>19</v>
      </c>
      <c r="J112" s="1902" t="s">
        <v>123</v>
      </c>
      <c r="K112" s="1916" t="s">
        <v>8633</v>
      </c>
      <c r="L112" s="2179">
        <v>4510</v>
      </c>
      <c r="M112" s="2196" t="s">
        <v>6399</v>
      </c>
      <c r="N112" s="1493"/>
      <c r="O112" s="1859"/>
      <c r="P112" s="1790">
        <v>3</v>
      </c>
      <c r="Q112" s="1790"/>
    </row>
    <row r="113" spans="1:26" s="2643" customFormat="1" ht="50.25" customHeight="1">
      <c r="A113" s="3738"/>
      <c r="B113" s="1900" t="str">
        <f t="shared" si="3"/>
        <v>2000003191</v>
      </c>
      <c r="C113" s="1493" t="s">
        <v>5319</v>
      </c>
      <c r="D113" s="1826"/>
      <c r="E113" s="1495"/>
      <c r="F113" s="1493" t="s">
        <v>3401</v>
      </c>
      <c r="G113" s="1495"/>
      <c r="H113" s="1495"/>
      <c r="I113" s="1495" t="s">
        <v>19</v>
      </c>
      <c r="J113" s="1493" t="s">
        <v>123</v>
      </c>
      <c r="K113" s="1548" t="s">
        <v>8634</v>
      </c>
      <c r="L113" s="2183">
        <v>5000</v>
      </c>
      <c r="M113" s="2196" t="s">
        <v>6399</v>
      </c>
      <c r="N113" s="1902"/>
      <c r="O113" s="1775"/>
      <c r="P113" s="1790">
        <v>3</v>
      </c>
      <c r="Q113" s="1790"/>
    </row>
    <row r="114" spans="1:26" s="2643" customFormat="1" ht="50.25" customHeight="1">
      <c r="A114" s="3738"/>
      <c r="B114" s="1900" t="str">
        <f t="shared" si="3"/>
        <v>2000003208</v>
      </c>
      <c r="C114" s="1493" t="s">
        <v>5319</v>
      </c>
      <c r="D114" s="1826"/>
      <c r="E114" s="1495"/>
      <c r="F114" s="1493" t="s">
        <v>3401</v>
      </c>
      <c r="G114" s="1495"/>
      <c r="H114" s="1495"/>
      <c r="I114" s="1601" t="s">
        <v>19</v>
      </c>
      <c r="J114" s="1495" t="s">
        <v>63</v>
      </c>
      <c r="K114" s="1600" t="s">
        <v>8635</v>
      </c>
      <c r="L114" s="2357">
        <v>1000</v>
      </c>
      <c r="M114" s="1748" t="s">
        <v>5454</v>
      </c>
      <c r="N114" s="1902"/>
      <c r="O114" s="1775"/>
      <c r="P114" s="1790">
        <v>3</v>
      </c>
      <c r="Q114" s="1790"/>
    </row>
    <row r="115" spans="1:26" s="2643" customFormat="1" ht="50.25" customHeight="1">
      <c r="A115" s="3738"/>
      <c r="B115" s="1900" t="str">
        <f t="shared" si="3"/>
        <v>2000003176</v>
      </c>
      <c r="C115" s="1493" t="s">
        <v>5319</v>
      </c>
      <c r="D115" s="1826"/>
      <c r="E115" s="1495"/>
      <c r="F115" s="1493" t="s">
        <v>3401</v>
      </c>
      <c r="G115" s="1495"/>
      <c r="H115" s="1495"/>
      <c r="I115" s="1495" t="s">
        <v>19</v>
      </c>
      <c r="J115" s="1495" t="s">
        <v>63</v>
      </c>
      <c r="K115" s="1600" t="s">
        <v>8636</v>
      </c>
      <c r="L115" s="2357">
        <v>90</v>
      </c>
      <c r="M115" s="2196" t="s">
        <v>6399</v>
      </c>
      <c r="N115" s="1902"/>
      <c r="O115" s="1775"/>
      <c r="P115" s="1790">
        <v>3</v>
      </c>
      <c r="Q115" s="1790"/>
    </row>
    <row r="116" spans="1:26" s="2643" customFormat="1" ht="91.5" customHeight="1">
      <c r="A116" s="3738"/>
      <c r="B116" s="1900" t="str">
        <f t="shared" si="3"/>
        <v>2000003175</v>
      </c>
      <c r="C116" s="1493" t="s">
        <v>5319</v>
      </c>
      <c r="D116" s="1826"/>
      <c r="E116" s="1495"/>
      <c r="F116" s="1493" t="s">
        <v>3401</v>
      </c>
      <c r="G116" s="1748"/>
      <c r="H116" s="1495"/>
      <c r="I116" s="1495" t="s">
        <v>19</v>
      </c>
      <c r="J116" s="1495" t="s">
        <v>63</v>
      </c>
      <c r="K116" s="1600" t="s">
        <v>8637</v>
      </c>
      <c r="L116" s="2357">
        <v>451</v>
      </c>
      <c r="M116" s="1474" t="s">
        <v>5454</v>
      </c>
      <c r="N116" s="1921"/>
      <c r="O116" s="1775"/>
      <c r="P116" s="1790">
        <v>3</v>
      </c>
      <c r="Q116" s="1790"/>
    </row>
    <row r="117" spans="1:26" s="2643" customFormat="1" ht="57.75" customHeight="1">
      <c r="A117" s="3744">
        <v>40</v>
      </c>
      <c r="B117" s="1900" t="str">
        <f t="shared" si="3"/>
        <v>2000003180</v>
      </c>
      <c r="C117" s="2824" t="s">
        <v>211</v>
      </c>
      <c r="D117" s="2876">
        <v>4000</v>
      </c>
      <c r="E117" s="1902" t="s">
        <v>8638</v>
      </c>
      <c r="F117" s="2563" t="s">
        <v>61</v>
      </c>
      <c r="G117" s="1921" t="s">
        <v>8639</v>
      </c>
      <c r="H117" s="1921" t="s">
        <v>8640</v>
      </c>
      <c r="I117" s="1921" t="s">
        <v>19</v>
      </c>
      <c r="J117" s="1921" t="s">
        <v>74</v>
      </c>
      <c r="K117" s="1916" t="s">
        <v>8641</v>
      </c>
      <c r="L117" s="2150">
        <v>300</v>
      </c>
      <c r="M117" s="1909" t="s">
        <v>5454</v>
      </c>
      <c r="N117" s="1902"/>
      <c r="O117" s="1862"/>
      <c r="P117" s="1790">
        <v>3</v>
      </c>
      <c r="Q117" s="1790"/>
    </row>
    <row r="118" spans="1:26" s="2643" customFormat="1" ht="57.75" customHeight="1">
      <c r="A118" s="3744"/>
      <c r="B118" s="1900" t="str">
        <f t="shared" si="3"/>
        <v>2000003198</v>
      </c>
      <c r="C118" s="1769" t="s">
        <v>211</v>
      </c>
      <c r="D118" s="2183"/>
      <c r="E118" s="1941"/>
      <c r="F118" s="1626" t="s">
        <v>61</v>
      </c>
      <c r="G118" s="1495"/>
      <c r="H118" s="1495"/>
      <c r="I118" s="1495" t="s">
        <v>19</v>
      </c>
      <c r="J118" s="1495" t="s">
        <v>74</v>
      </c>
      <c r="K118" s="1770" t="s">
        <v>8642</v>
      </c>
      <c r="L118" s="2560">
        <v>220</v>
      </c>
      <c r="M118" s="2196" t="s">
        <v>6399</v>
      </c>
      <c r="N118" s="1493"/>
      <c r="O118" s="1843"/>
      <c r="P118" s="1790">
        <v>3</v>
      </c>
      <c r="Q118" s="1790"/>
      <c r="R118" s="1467"/>
      <c r="S118" s="1467"/>
      <c r="T118" s="1467"/>
      <c r="U118" s="1467"/>
      <c r="V118" s="1467"/>
      <c r="W118" s="1467"/>
      <c r="X118" s="1467"/>
      <c r="Y118" s="1467"/>
      <c r="Z118" s="1467"/>
    </row>
    <row r="119" spans="1:26" s="2643" customFormat="1" ht="57.75" customHeight="1">
      <c r="A119" s="3744"/>
      <c r="B119" s="1900" t="str">
        <f t="shared" si="3"/>
        <v>2200002114</v>
      </c>
      <c r="C119" s="1769" t="s">
        <v>211</v>
      </c>
      <c r="D119" s="1868"/>
      <c r="E119" s="1495"/>
      <c r="F119" s="1626" t="s">
        <v>61</v>
      </c>
      <c r="G119" s="1495"/>
      <c r="H119" s="1495"/>
      <c r="I119" s="1493" t="s">
        <v>19</v>
      </c>
      <c r="J119" s="1495" t="s">
        <v>74</v>
      </c>
      <c r="K119" s="2877" t="s">
        <v>8643</v>
      </c>
      <c r="L119" s="2357">
        <v>400</v>
      </c>
      <c r="M119" s="1748" t="s">
        <v>5522</v>
      </c>
      <c r="N119" s="1493"/>
      <c r="O119" s="1859"/>
      <c r="P119" s="1790">
        <v>3</v>
      </c>
      <c r="Q119" s="1790"/>
    </row>
    <row r="120" spans="1:26" s="2643" customFormat="1" ht="57.75" customHeight="1">
      <c r="A120" s="3744"/>
      <c r="B120" s="1900" t="str">
        <f t="shared" si="3"/>
        <v>2000003229</v>
      </c>
      <c r="C120" s="1769" t="s">
        <v>211</v>
      </c>
      <c r="D120" s="1868"/>
      <c r="E120" s="1495"/>
      <c r="F120" s="1626" t="s">
        <v>61</v>
      </c>
      <c r="G120" s="1495"/>
      <c r="H120" s="1495"/>
      <c r="I120" s="1493" t="s">
        <v>19</v>
      </c>
      <c r="J120" s="1495" t="s">
        <v>63</v>
      </c>
      <c r="K120" s="1770" t="s">
        <v>8644</v>
      </c>
      <c r="L120" s="2357">
        <v>700</v>
      </c>
      <c r="M120" s="1790" t="s">
        <v>5454</v>
      </c>
      <c r="N120" s="1493"/>
      <c r="O120" s="1859"/>
      <c r="P120" s="1790">
        <v>3</v>
      </c>
      <c r="Q120" s="1790"/>
    </row>
    <row r="121" spans="1:26" s="2643" customFormat="1" ht="57.75" customHeight="1">
      <c r="A121" s="3744"/>
      <c r="B121" s="1900" t="str">
        <f t="shared" si="3"/>
        <v>2000003231</v>
      </c>
      <c r="C121" s="1769" t="s">
        <v>211</v>
      </c>
      <c r="D121" s="1826"/>
      <c r="E121" s="1495"/>
      <c r="F121" s="1626" t="s">
        <v>61</v>
      </c>
      <c r="G121" s="1495"/>
      <c r="H121" s="1495"/>
      <c r="I121" s="1493" t="s">
        <v>19</v>
      </c>
      <c r="J121" s="1495" t="s">
        <v>63</v>
      </c>
      <c r="K121" s="1600" t="s">
        <v>8645</v>
      </c>
      <c r="L121" s="2357">
        <v>2027</v>
      </c>
      <c r="M121" s="1790" t="s">
        <v>5454</v>
      </c>
      <c r="N121" s="1493"/>
      <c r="O121" s="1859"/>
      <c r="P121" s="1790">
        <v>3</v>
      </c>
      <c r="Q121" s="1790"/>
    </row>
    <row r="122" spans="1:26" s="2643" customFormat="1" ht="72" customHeight="1">
      <c r="A122" s="3744"/>
      <c r="B122" s="1900" t="str">
        <f t="shared" si="3"/>
        <v>2200002119</v>
      </c>
      <c r="C122" s="1769" t="s">
        <v>211</v>
      </c>
      <c r="D122" s="1826"/>
      <c r="E122" s="1495"/>
      <c r="F122" s="1626" t="s">
        <v>61</v>
      </c>
      <c r="G122" s="1495"/>
      <c r="H122" s="1495"/>
      <c r="I122" s="1493" t="s">
        <v>19</v>
      </c>
      <c r="J122" s="1773" t="s">
        <v>63</v>
      </c>
      <c r="K122" s="2877" t="s">
        <v>8646</v>
      </c>
      <c r="L122" s="2560">
        <v>437</v>
      </c>
      <c r="M122" s="1495" t="s">
        <v>8612</v>
      </c>
      <c r="N122" s="1493"/>
      <c r="O122" s="1859"/>
      <c r="P122" s="1790">
        <v>3</v>
      </c>
      <c r="Q122" s="1790"/>
    </row>
    <row r="123" spans="1:26" s="1467" customFormat="1" ht="60.75" customHeight="1">
      <c r="A123" s="3773">
        <v>32</v>
      </c>
      <c r="B123" s="1900" t="str">
        <f t="shared" si="3"/>
        <v>2200002085</v>
      </c>
      <c r="C123" s="1921" t="s">
        <v>193</v>
      </c>
      <c r="D123" s="2767">
        <v>11700</v>
      </c>
      <c r="E123" s="1921" t="s">
        <v>8616</v>
      </c>
      <c r="F123" s="1902" t="s">
        <v>3401</v>
      </c>
      <c r="G123" s="1921" t="s">
        <v>8647</v>
      </c>
      <c r="H123" s="1909" t="s">
        <v>8648</v>
      </c>
      <c r="I123" s="2601" t="s">
        <v>19</v>
      </c>
      <c r="J123" s="1561" t="s">
        <v>959</v>
      </c>
      <c r="K123" s="1845" t="s">
        <v>8649</v>
      </c>
      <c r="L123" s="2871">
        <v>6300</v>
      </c>
      <c r="M123" s="2196" t="s">
        <v>5214</v>
      </c>
      <c r="N123" s="1493" t="s">
        <v>6009</v>
      </c>
      <c r="O123" s="1859"/>
      <c r="P123" s="1493">
        <v>3</v>
      </c>
      <c r="Q123" s="1493"/>
    </row>
    <row r="124" spans="1:26" s="1467" customFormat="1" ht="58.5" customHeight="1">
      <c r="A124" s="3773"/>
      <c r="B124" s="1900" t="str">
        <f t="shared" si="3"/>
        <v>2000003247</v>
      </c>
      <c r="C124" s="1493" t="s">
        <v>193</v>
      </c>
      <c r="D124" s="1826"/>
      <c r="E124" s="1495"/>
      <c r="F124" s="1493" t="s">
        <v>3401</v>
      </c>
      <c r="G124" s="1495"/>
      <c r="H124" s="1495"/>
      <c r="I124" s="1601" t="s">
        <v>19</v>
      </c>
      <c r="J124" s="1773" t="s">
        <v>959</v>
      </c>
      <c r="K124" s="1600" t="s">
        <v>8650</v>
      </c>
      <c r="L124" s="2796">
        <v>1000</v>
      </c>
      <c r="M124" s="1790" t="s">
        <v>5454</v>
      </c>
      <c r="N124" s="1493"/>
      <c r="O124" s="1859"/>
      <c r="P124" s="1790">
        <v>3</v>
      </c>
      <c r="Q124" s="1790"/>
    </row>
    <row r="125" spans="1:26" s="1467" customFormat="1" ht="58.5" customHeight="1">
      <c r="A125" s="3773"/>
      <c r="B125" s="1900" t="str">
        <f t="shared" ref="B125:B156" si="4">TEXT(LEFT(K125,10),"0000000000")</f>
        <v>2000003194</v>
      </c>
      <c r="C125" s="1493" t="s">
        <v>193</v>
      </c>
      <c r="D125" s="1826"/>
      <c r="E125" s="1495"/>
      <c r="F125" s="1493" t="s">
        <v>3401</v>
      </c>
      <c r="G125" s="1495"/>
      <c r="H125" s="1495"/>
      <c r="I125" s="1495" t="s">
        <v>19</v>
      </c>
      <c r="J125" s="1773" t="s">
        <v>959</v>
      </c>
      <c r="K125" s="1600" t="s">
        <v>8651</v>
      </c>
      <c r="L125" s="2357">
        <v>4400</v>
      </c>
      <c r="M125" s="1790" t="s">
        <v>5454</v>
      </c>
      <c r="N125" s="1493"/>
      <c r="O125" s="1859"/>
      <c r="P125" s="1790">
        <v>3</v>
      </c>
      <c r="Q125" s="1790"/>
      <c r="R125" s="2643"/>
      <c r="S125" s="2643"/>
      <c r="T125" s="2643"/>
      <c r="U125" s="2643"/>
      <c r="V125" s="2643"/>
      <c r="W125" s="2643"/>
      <c r="X125" s="2643"/>
      <c r="Y125" s="2643"/>
      <c r="Z125" s="2643"/>
    </row>
    <row r="126" spans="1:26" s="1467" customFormat="1" ht="55.5" customHeight="1">
      <c r="A126" s="2582">
        <v>33</v>
      </c>
      <c r="B126" s="1900" t="str">
        <f t="shared" si="4"/>
        <v>2000003198</v>
      </c>
      <c r="C126" s="1902" t="s">
        <v>3469</v>
      </c>
      <c r="D126" s="2624">
        <v>4280</v>
      </c>
      <c r="E126" s="1921" t="s">
        <v>8652</v>
      </c>
      <c r="F126" s="1902" t="s">
        <v>16</v>
      </c>
      <c r="G126" s="1921" t="s">
        <v>8653</v>
      </c>
      <c r="H126" s="1921" t="s">
        <v>8604</v>
      </c>
      <c r="I126" s="1921" t="s">
        <v>19</v>
      </c>
      <c r="J126" s="1921" t="s">
        <v>74</v>
      </c>
      <c r="K126" s="1916" t="s">
        <v>8654</v>
      </c>
      <c r="L126" s="2882">
        <v>4280</v>
      </c>
      <c r="M126" s="2196" t="s">
        <v>8655</v>
      </c>
      <c r="N126" s="1902"/>
      <c r="O126" s="1862"/>
      <c r="P126" s="1790">
        <v>3</v>
      </c>
      <c r="Q126" s="1790"/>
      <c r="R126" s="2643"/>
      <c r="S126" s="2643"/>
      <c r="T126" s="2643"/>
      <c r="U126" s="2643"/>
      <c r="V126" s="2643"/>
      <c r="W126" s="2643"/>
      <c r="X126" s="2643"/>
      <c r="Y126" s="2643"/>
      <c r="Z126" s="2643"/>
    </row>
    <row r="127" spans="1:26" s="1467" customFormat="1" ht="55.5" customHeight="1">
      <c r="A127" s="3749">
        <v>37</v>
      </c>
      <c r="B127" s="1900" t="str">
        <f t="shared" si="4"/>
        <v>2200002111</v>
      </c>
      <c r="C127" s="2187" t="s">
        <v>3708</v>
      </c>
      <c r="D127" s="2870">
        <v>5950</v>
      </c>
      <c r="E127" s="2187" t="s">
        <v>8656</v>
      </c>
      <c r="F127" s="2263" t="s">
        <v>3401</v>
      </c>
      <c r="G127" s="2187" t="s">
        <v>8657</v>
      </c>
      <c r="H127" s="1909" t="s">
        <v>8648</v>
      </c>
      <c r="I127" s="1902" t="s">
        <v>19</v>
      </c>
      <c r="J127" s="1902" t="s">
        <v>1138</v>
      </c>
      <c r="K127" s="1845" t="s">
        <v>8658</v>
      </c>
      <c r="L127" s="2583">
        <v>300</v>
      </c>
      <c r="M127" s="2196" t="s">
        <v>5214</v>
      </c>
      <c r="N127" s="1493"/>
      <c r="O127" s="1859"/>
      <c r="P127" s="1790">
        <v>3</v>
      </c>
      <c r="Q127" s="1790"/>
    </row>
    <row r="128" spans="1:26" s="1467" customFormat="1" ht="55.5" customHeight="1">
      <c r="A128" s="3751"/>
      <c r="B128" s="1900" t="str">
        <f t="shared" si="4"/>
        <v>2200002122</v>
      </c>
      <c r="C128" s="1543" t="s">
        <v>3708</v>
      </c>
      <c r="D128" s="1826"/>
      <c r="E128" s="1495"/>
      <c r="F128" s="1545" t="s">
        <v>3401</v>
      </c>
      <c r="G128" s="1495"/>
      <c r="H128" s="1495"/>
      <c r="I128" s="1493" t="s">
        <v>19</v>
      </c>
      <c r="J128" s="1493" t="s">
        <v>1138</v>
      </c>
      <c r="K128" s="2348" t="s">
        <v>8659</v>
      </c>
      <c r="L128" s="2357">
        <v>1889</v>
      </c>
      <c r="M128" s="2196" t="s">
        <v>8629</v>
      </c>
      <c r="N128" s="2879"/>
      <c r="O128" s="1859"/>
      <c r="P128" s="1790">
        <v>3</v>
      </c>
      <c r="Q128" s="1790"/>
      <c r="R128" s="2643"/>
      <c r="S128" s="2643"/>
      <c r="T128" s="2643"/>
      <c r="U128" s="2643"/>
      <c r="V128" s="2643"/>
      <c r="W128" s="2643"/>
      <c r="X128" s="2643"/>
      <c r="Y128" s="2643"/>
      <c r="Z128" s="2643"/>
    </row>
    <row r="129" spans="1:26" s="1467" customFormat="1" ht="55.5" customHeight="1">
      <c r="A129" s="3751"/>
      <c r="B129" s="1900" t="str">
        <f t="shared" si="4"/>
        <v>2200002123</v>
      </c>
      <c r="C129" s="1543" t="s">
        <v>3708</v>
      </c>
      <c r="D129" s="1826"/>
      <c r="E129" s="1495"/>
      <c r="F129" s="1545" t="s">
        <v>3401</v>
      </c>
      <c r="G129" s="1495"/>
      <c r="H129" s="1495"/>
      <c r="I129" s="1493" t="s">
        <v>19</v>
      </c>
      <c r="J129" s="1493" t="s">
        <v>1138</v>
      </c>
      <c r="K129" s="2348" t="s">
        <v>8660</v>
      </c>
      <c r="L129" s="2357">
        <v>509</v>
      </c>
      <c r="M129" s="2196" t="s">
        <v>8631</v>
      </c>
      <c r="N129" s="1493"/>
      <c r="O129" s="1859"/>
      <c r="P129" s="1790">
        <v>3</v>
      </c>
      <c r="Q129" s="1790"/>
      <c r="R129" s="2643"/>
      <c r="S129" s="2643"/>
      <c r="T129" s="2643"/>
      <c r="U129" s="2643"/>
      <c r="V129" s="2643"/>
      <c r="W129" s="2643"/>
      <c r="X129" s="2643"/>
      <c r="Y129" s="2643"/>
      <c r="Z129" s="2643"/>
    </row>
    <row r="130" spans="1:26" s="1467" customFormat="1" ht="55.5" customHeight="1">
      <c r="A130" s="3751"/>
      <c r="B130" s="1900" t="str">
        <f t="shared" si="4"/>
        <v>2000003226</v>
      </c>
      <c r="C130" s="1543" t="s">
        <v>3708</v>
      </c>
      <c r="D130" s="1826"/>
      <c r="E130" s="1495"/>
      <c r="F130" s="1545" t="s">
        <v>3401</v>
      </c>
      <c r="G130" s="1495"/>
      <c r="H130" s="1495"/>
      <c r="I130" s="1493" t="s">
        <v>19</v>
      </c>
      <c r="J130" s="1493" t="s">
        <v>1138</v>
      </c>
      <c r="K130" s="1547" t="s">
        <v>8661</v>
      </c>
      <c r="L130" s="2357">
        <v>500</v>
      </c>
      <c r="M130" s="1748" t="s">
        <v>8662</v>
      </c>
      <c r="N130" s="1493"/>
      <c r="O130" s="1859"/>
      <c r="P130" s="1790">
        <v>3</v>
      </c>
      <c r="Q130" s="1790"/>
      <c r="R130" s="1548"/>
      <c r="S130" s="1548"/>
      <c r="T130" s="1548"/>
      <c r="U130" s="1548"/>
      <c r="V130" s="1548"/>
      <c r="W130" s="1548"/>
      <c r="X130" s="1548"/>
      <c r="Y130" s="1548"/>
      <c r="Z130" s="1548"/>
    </row>
    <row r="131" spans="1:26" s="1467" customFormat="1" ht="55.5" customHeight="1">
      <c r="A131" s="3751"/>
      <c r="B131" s="1900" t="str">
        <f t="shared" si="4"/>
        <v>2200002134</v>
      </c>
      <c r="C131" s="1543" t="s">
        <v>3708</v>
      </c>
      <c r="D131" s="1826"/>
      <c r="E131" s="1495"/>
      <c r="F131" s="1545" t="s">
        <v>3401</v>
      </c>
      <c r="G131" s="1495"/>
      <c r="H131" s="1495"/>
      <c r="I131" s="1493" t="s">
        <v>19</v>
      </c>
      <c r="J131" s="1493" t="s">
        <v>1138</v>
      </c>
      <c r="K131" s="1600" t="s">
        <v>8663</v>
      </c>
      <c r="L131" s="2357">
        <v>614</v>
      </c>
      <c r="M131" s="2196" t="s">
        <v>6675</v>
      </c>
      <c r="N131" s="1493"/>
      <c r="O131" s="1859"/>
      <c r="P131" s="1790">
        <v>3</v>
      </c>
      <c r="Q131" s="1790"/>
    </row>
    <row r="132" spans="1:26" s="1467" customFormat="1" ht="55.5" customHeight="1">
      <c r="A132" s="3750"/>
      <c r="B132" s="1900" t="str">
        <f t="shared" si="4"/>
        <v>2000003183</v>
      </c>
      <c r="C132" s="1543" t="s">
        <v>3708</v>
      </c>
      <c r="D132" s="1826"/>
      <c r="E132" s="1495"/>
      <c r="F132" s="1545" t="s">
        <v>3401</v>
      </c>
      <c r="G132" s="1495"/>
      <c r="H132" s="1495"/>
      <c r="I132" s="1493" t="s">
        <v>19</v>
      </c>
      <c r="J132" s="1493" t="s">
        <v>1138</v>
      </c>
      <c r="K132" s="1600" t="s">
        <v>8664</v>
      </c>
      <c r="L132" s="2357">
        <v>2100</v>
      </c>
      <c r="M132" s="1748" t="s">
        <v>5454</v>
      </c>
      <c r="N132" s="1493"/>
      <c r="O132" s="1859"/>
      <c r="P132" s="1790">
        <v>3</v>
      </c>
      <c r="Q132" s="1790"/>
      <c r="R132" s="1548"/>
      <c r="S132" s="1548"/>
      <c r="T132" s="1548"/>
      <c r="U132" s="1548"/>
      <c r="V132" s="1548"/>
      <c r="W132" s="1548"/>
      <c r="X132" s="1548"/>
      <c r="Y132" s="1548"/>
      <c r="Z132" s="1548"/>
    </row>
    <row r="133" spans="1:26" s="2643" customFormat="1" ht="55.5" customHeight="1">
      <c r="A133" s="3744">
        <v>39</v>
      </c>
      <c r="B133" s="1900" t="str">
        <f t="shared" si="4"/>
        <v>2000003224</v>
      </c>
      <c r="C133" s="1902" t="s">
        <v>5737</v>
      </c>
      <c r="D133" s="2881">
        <v>4450</v>
      </c>
      <c r="E133" s="1921" t="s">
        <v>8665</v>
      </c>
      <c r="F133" s="1902" t="s">
        <v>54</v>
      </c>
      <c r="G133" s="1921" t="s">
        <v>8666</v>
      </c>
      <c r="H133" s="1921" t="s">
        <v>8667</v>
      </c>
      <c r="I133" s="1921" t="s">
        <v>19</v>
      </c>
      <c r="J133" s="1921" t="s">
        <v>74</v>
      </c>
      <c r="K133" s="1916" t="s">
        <v>8668</v>
      </c>
      <c r="L133" s="2150">
        <v>450</v>
      </c>
      <c r="M133" s="1909" t="s">
        <v>8669</v>
      </c>
      <c r="N133" s="1902"/>
      <c r="O133" s="1775"/>
      <c r="P133" s="1790">
        <v>3</v>
      </c>
      <c r="Q133" s="1790"/>
    </row>
    <row r="134" spans="1:26" s="1467" customFormat="1" ht="66.75" customHeight="1">
      <c r="A134" s="3749"/>
      <c r="B134" s="1900" t="str">
        <f t="shared" si="4"/>
        <v>2000003163</v>
      </c>
      <c r="C134" s="1493" t="s">
        <v>5737</v>
      </c>
      <c r="D134" s="1826"/>
      <c r="E134" s="1748"/>
      <c r="F134" s="1493" t="s">
        <v>54</v>
      </c>
      <c r="G134" s="1495"/>
      <c r="H134" s="1495"/>
      <c r="I134" s="1495" t="s">
        <v>19</v>
      </c>
      <c r="J134" s="1495" t="s">
        <v>74</v>
      </c>
      <c r="K134" s="1600" t="s">
        <v>8670</v>
      </c>
      <c r="L134" s="2357">
        <v>4000</v>
      </c>
      <c r="M134" s="1748" t="s">
        <v>5454</v>
      </c>
      <c r="N134" s="1493"/>
      <c r="O134" s="1859"/>
      <c r="P134" s="1790">
        <v>3</v>
      </c>
      <c r="Q134" s="1790"/>
    </row>
    <row r="135" spans="1:26" s="1467" customFormat="1" ht="66.75" customHeight="1">
      <c r="A135" s="3735">
        <v>29</v>
      </c>
      <c r="B135" s="2013" t="str">
        <f t="shared" si="4"/>
        <v>2000003196</v>
      </c>
      <c r="C135" s="2263" t="s">
        <v>219</v>
      </c>
      <c r="D135" s="2624">
        <v>3750</v>
      </c>
      <c r="E135" s="2187" t="s">
        <v>8671</v>
      </c>
      <c r="F135" s="1902" t="s">
        <v>61</v>
      </c>
      <c r="G135" s="1921" t="s">
        <v>8672</v>
      </c>
      <c r="H135" s="1921" t="s">
        <v>8604</v>
      </c>
      <c r="I135" s="1921" t="s">
        <v>19</v>
      </c>
      <c r="J135" s="1921" t="s">
        <v>199</v>
      </c>
      <c r="K135" s="1911" t="s">
        <v>8605</v>
      </c>
      <c r="L135" s="2583">
        <v>670</v>
      </c>
      <c r="M135" s="2196" t="s">
        <v>6399</v>
      </c>
      <c r="N135" s="1493"/>
      <c r="O135" s="1859"/>
      <c r="P135" s="1790">
        <v>3</v>
      </c>
      <c r="Q135" s="1790"/>
    </row>
    <row r="136" spans="1:26" s="1467" customFormat="1" ht="66.75" customHeight="1">
      <c r="A136" s="3735"/>
      <c r="B136" s="2013" t="str">
        <f t="shared" si="4"/>
        <v>2000003209</v>
      </c>
      <c r="C136" s="1545" t="s">
        <v>219</v>
      </c>
      <c r="D136" s="1827"/>
      <c r="E136" s="1543"/>
      <c r="F136" s="1545" t="s">
        <v>61</v>
      </c>
      <c r="G136" s="1495"/>
      <c r="H136" s="1495"/>
      <c r="I136" s="1495" t="s">
        <v>19</v>
      </c>
      <c r="J136" s="1495" t="s">
        <v>74</v>
      </c>
      <c r="K136" s="2880" t="s">
        <v>8673</v>
      </c>
      <c r="L136" s="2357">
        <v>3050</v>
      </c>
      <c r="M136" s="1748" t="s">
        <v>5454</v>
      </c>
      <c r="N136" s="1493"/>
      <c r="O136" s="1859"/>
      <c r="P136" s="1790">
        <v>3</v>
      </c>
      <c r="Q136" s="1790"/>
    </row>
    <row r="137" spans="1:26" s="1467" customFormat="1" ht="55.5" customHeight="1">
      <c r="A137" s="3786">
        <v>32</v>
      </c>
      <c r="B137" s="1900" t="str">
        <f t="shared" si="4"/>
        <v>2400001265</v>
      </c>
      <c r="C137" s="1902" t="s">
        <v>8674</v>
      </c>
      <c r="D137" s="2607">
        <f>SUM(L137:L151)</f>
        <v>10275</v>
      </c>
      <c r="E137" s="1921" t="s">
        <v>8675</v>
      </c>
      <c r="F137" s="1902" t="s">
        <v>25</v>
      </c>
      <c r="G137" s="2159" t="s">
        <v>8676</v>
      </c>
      <c r="H137" s="2118"/>
      <c r="I137" s="2187" t="s">
        <v>19</v>
      </c>
      <c r="J137" s="1921" t="s">
        <v>267</v>
      </c>
      <c r="K137" s="2402" t="s">
        <v>8677</v>
      </c>
      <c r="L137" s="2508">
        <v>5000</v>
      </c>
      <c r="M137" s="2429" t="s">
        <v>5454</v>
      </c>
      <c r="N137" s="2391"/>
      <c r="O137" s="2574" t="s">
        <v>8678</v>
      </c>
      <c r="P137" s="1882">
        <v>3</v>
      </c>
      <c r="Q137" s="1882"/>
    </row>
    <row r="138" spans="1:26" s="1467" customFormat="1" ht="55.5" customHeight="1">
      <c r="A138" s="3773"/>
      <c r="B138" s="1900" t="str">
        <f t="shared" si="4"/>
        <v>2400001266</v>
      </c>
      <c r="C138" s="1941" t="s">
        <v>8674</v>
      </c>
      <c r="D138" s="2914"/>
      <c r="E138" s="1851"/>
      <c r="F138" s="1941" t="s">
        <v>25</v>
      </c>
      <c r="G138" s="1851"/>
      <c r="H138" s="1851"/>
      <c r="I138" s="1543" t="s">
        <v>19</v>
      </c>
      <c r="J138" s="1495" t="s">
        <v>267</v>
      </c>
      <c r="K138" s="1497" t="s">
        <v>8679</v>
      </c>
      <c r="L138" s="2361">
        <v>1000</v>
      </c>
      <c r="M138" s="1790" t="s">
        <v>8680</v>
      </c>
      <c r="N138" s="1630"/>
      <c r="O138" s="2576"/>
      <c r="P138" s="1882">
        <v>3</v>
      </c>
      <c r="Q138" s="1882"/>
    </row>
    <row r="139" spans="1:26" s="1467" customFormat="1" ht="55.5" customHeight="1">
      <c r="A139" s="3773"/>
      <c r="B139" s="1900" t="str">
        <f t="shared" si="4"/>
        <v>2400001244</v>
      </c>
      <c r="C139" s="1941" t="s">
        <v>8674</v>
      </c>
      <c r="D139" s="2793"/>
      <c r="E139" s="1495"/>
      <c r="F139" s="1941" t="s">
        <v>25</v>
      </c>
      <c r="G139" s="1495"/>
      <c r="H139" s="1495"/>
      <c r="I139" s="1543" t="s">
        <v>19</v>
      </c>
      <c r="J139" s="1495" t="s">
        <v>267</v>
      </c>
      <c r="K139" s="1547" t="s">
        <v>8681</v>
      </c>
      <c r="L139" s="2357">
        <v>50</v>
      </c>
      <c r="M139" s="1790" t="s">
        <v>8682</v>
      </c>
      <c r="N139" s="1493"/>
      <c r="O139" s="2576" t="s">
        <v>8678</v>
      </c>
      <c r="P139" s="1882">
        <v>3</v>
      </c>
      <c r="Q139" s="1882"/>
    </row>
    <row r="140" spans="1:26" s="1467" customFormat="1" ht="55.5" customHeight="1">
      <c r="A140" s="3773"/>
      <c r="B140" s="1900" t="str">
        <f t="shared" si="4"/>
        <v>2400001247</v>
      </c>
      <c r="C140" s="1941" t="s">
        <v>8674</v>
      </c>
      <c r="D140" s="2793"/>
      <c r="E140" s="1495"/>
      <c r="F140" s="1941" t="s">
        <v>25</v>
      </c>
      <c r="G140" s="1495"/>
      <c r="H140" s="1495"/>
      <c r="I140" s="1543" t="s">
        <v>19</v>
      </c>
      <c r="J140" s="1495" t="s">
        <v>267</v>
      </c>
      <c r="K140" s="1547" t="s">
        <v>8683</v>
      </c>
      <c r="L140" s="2357">
        <v>50</v>
      </c>
      <c r="M140" s="1790" t="s">
        <v>8684</v>
      </c>
      <c r="N140" s="1493"/>
      <c r="O140" s="2576" t="s">
        <v>8678</v>
      </c>
      <c r="P140" s="1882">
        <v>3</v>
      </c>
      <c r="Q140" s="1882"/>
    </row>
    <row r="141" spans="1:26" s="1467" customFormat="1" ht="55.5" customHeight="1">
      <c r="A141" s="3773"/>
      <c r="B141" s="1900" t="str">
        <f t="shared" si="4"/>
        <v>2400001246</v>
      </c>
      <c r="C141" s="1941" t="s">
        <v>8674</v>
      </c>
      <c r="D141" s="2793"/>
      <c r="E141" s="1495"/>
      <c r="F141" s="1941" t="s">
        <v>25</v>
      </c>
      <c r="G141" s="1495"/>
      <c r="H141" s="1495"/>
      <c r="I141" s="1543" t="s">
        <v>19</v>
      </c>
      <c r="J141" s="1495" t="s">
        <v>267</v>
      </c>
      <c r="K141" s="1547" t="s">
        <v>8685</v>
      </c>
      <c r="L141" s="2357">
        <v>175</v>
      </c>
      <c r="M141" s="1790" t="s">
        <v>8686</v>
      </c>
      <c r="N141" s="1493"/>
      <c r="O141" s="2576" t="s">
        <v>8678</v>
      </c>
      <c r="P141" s="1882">
        <v>3</v>
      </c>
      <c r="Q141" s="1882"/>
    </row>
    <row r="142" spans="1:26" s="1467" customFormat="1" ht="55.5" customHeight="1">
      <c r="A142" s="3773"/>
      <c r="B142" s="1900" t="str">
        <f t="shared" si="4"/>
        <v>2400001267</v>
      </c>
      <c r="C142" s="1941" t="s">
        <v>8674</v>
      </c>
      <c r="D142" s="2793"/>
      <c r="E142" s="1495"/>
      <c r="F142" s="1941" t="s">
        <v>25</v>
      </c>
      <c r="G142" s="1495"/>
      <c r="H142" s="1495"/>
      <c r="I142" s="1543" t="s">
        <v>19</v>
      </c>
      <c r="J142" s="1495" t="s">
        <v>267</v>
      </c>
      <c r="K142" s="1600" t="s">
        <v>8687</v>
      </c>
      <c r="L142" s="2357">
        <v>525</v>
      </c>
      <c r="M142" s="1790" t="s">
        <v>8688</v>
      </c>
      <c r="N142" s="1493"/>
      <c r="O142" s="2576" t="s">
        <v>8678</v>
      </c>
      <c r="P142" s="1882">
        <v>3</v>
      </c>
      <c r="Q142" s="1882"/>
    </row>
    <row r="143" spans="1:26" s="1467" customFormat="1" ht="55.5" customHeight="1">
      <c r="A143" s="3773"/>
      <c r="B143" s="1900" t="str">
        <f t="shared" si="4"/>
        <v>2400001268</v>
      </c>
      <c r="C143" s="1941" t="s">
        <v>8674</v>
      </c>
      <c r="D143" s="2793"/>
      <c r="E143" s="1495"/>
      <c r="F143" s="1941" t="s">
        <v>25</v>
      </c>
      <c r="G143" s="1495"/>
      <c r="H143" s="1495"/>
      <c r="I143" s="1543" t="s">
        <v>19</v>
      </c>
      <c r="J143" s="1495" t="s">
        <v>267</v>
      </c>
      <c r="K143" s="1600" t="s">
        <v>8689</v>
      </c>
      <c r="L143" s="2357">
        <v>875</v>
      </c>
      <c r="M143" s="1790" t="s">
        <v>8690</v>
      </c>
      <c r="N143" s="1493"/>
      <c r="O143" s="2576"/>
      <c r="P143" s="1882">
        <v>3</v>
      </c>
      <c r="Q143" s="1882"/>
    </row>
    <row r="144" spans="1:26" s="1467" customFormat="1" ht="55.5" customHeight="1">
      <c r="A144" s="3773"/>
      <c r="B144" s="1900" t="str">
        <f t="shared" si="4"/>
        <v>2400001255</v>
      </c>
      <c r="C144" s="1941" t="s">
        <v>8674</v>
      </c>
      <c r="D144" s="2793"/>
      <c r="E144" s="1495"/>
      <c r="F144" s="1941" t="s">
        <v>25</v>
      </c>
      <c r="G144" s="1495"/>
      <c r="H144" s="1495"/>
      <c r="I144" s="1543" t="s">
        <v>19</v>
      </c>
      <c r="J144" s="1495" t="s">
        <v>267</v>
      </c>
      <c r="K144" s="1547" t="s">
        <v>8691</v>
      </c>
      <c r="L144" s="2357">
        <v>200</v>
      </c>
      <c r="M144" s="1790" t="s">
        <v>5454</v>
      </c>
      <c r="N144" s="1493"/>
      <c r="O144" s="2576"/>
      <c r="P144" s="1882">
        <v>3</v>
      </c>
      <c r="Q144" s="1882"/>
    </row>
    <row r="145" spans="1:26" s="1467" customFormat="1" ht="55.5" customHeight="1">
      <c r="A145" s="3773"/>
      <c r="B145" s="1900" t="str">
        <f t="shared" si="4"/>
        <v>2400001262</v>
      </c>
      <c r="C145" s="1941" t="s">
        <v>8674</v>
      </c>
      <c r="D145" s="2793"/>
      <c r="E145" s="1495"/>
      <c r="F145" s="1941" t="s">
        <v>25</v>
      </c>
      <c r="G145" s="1495"/>
      <c r="H145" s="1495"/>
      <c r="I145" s="1543" t="s">
        <v>19</v>
      </c>
      <c r="J145" s="1495" t="s">
        <v>267</v>
      </c>
      <c r="K145" s="1547" t="s">
        <v>8692</v>
      </c>
      <c r="L145" s="2357">
        <v>700</v>
      </c>
      <c r="M145" s="1790" t="s">
        <v>8693</v>
      </c>
      <c r="N145" s="1493"/>
      <c r="O145" s="2576"/>
      <c r="P145" s="1882">
        <v>3</v>
      </c>
      <c r="Q145" s="1882"/>
    </row>
    <row r="146" spans="1:26" s="1467" customFormat="1" ht="55.5" customHeight="1">
      <c r="A146" s="3773"/>
      <c r="B146" s="1900" t="str">
        <f t="shared" si="4"/>
        <v>2400001256</v>
      </c>
      <c r="C146" s="1941" t="s">
        <v>8674</v>
      </c>
      <c r="D146" s="2793"/>
      <c r="E146" s="1495"/>
      <c r="F146" s="1941" t="s">
        <v>25</v>
      </c>
      <c r="G146" s="1495"/>
      <c r="H146" s="1495"/>
      <c r="I146" s="1543" t="s">
        <v>19</v>
      </c>
      <c r="J146" s="1495" t="s">
        <v>267</v>
      </c>
      <c r="K146" s="1547" t="s">
        <v>8694</v>
      </c>
      <c r="L146" s="2357">
        <v>200</v>
      </c>
      <c r="M146" s="1790" t="s">
        <v>5454</v>
      </c>
      <c r="N146" s="1493"/>
      <c r="O146" s="2576"/>
      <c r="P146" s="1882">
        <v>3</v>
      </c>
      <c r="Q146" s="1882"/>
    </row>
    <row r="147" spans="1:26" s="1467" customFormat="1" ht="55.5" customHeight="1">
      <c r="A147" s="3773"/>
      <c r="B147" s="1900" t="str">
        <f t="shared" si="4"/>
        <v>2400001263</v>
      </c>
      <c r="C147" s="1941" t="s">
        <v>8674</v>
      </c>
      <c r="D147" s="2793"/>
      <c r="E147" s="1495"/>
      <c r="F147" s="1941" t="s">
        <v>25</v>
      </c>
      <c r="G147" s="1495"/>
      <c r="H147" s="1495"/>
      <c r="I147" s="1543" t="s">
        <v>19</v>
      </c>
      <c r="J147" s="1495" t="s">
        <v>267</v>
      </c>
      <c r="K147" s="1547" t="s">
        <v>8695</v>
      </c>
      <c r="L147" s="2357">
        <v>300</v>
      </c>
      <c r="M147" s="1790" t="s">
        <v>8696</v>
      </c>
      <c r="N147" s="1493"/>
      <c r="O147" s="2576"/>
      <c r="P147" s="1882">
        <v>3</v>
      </c>
      <c r="Q147" s="1882"/>
    </row>
    <row r="148" spans="1:26" s="1467" customFormat="1" ht="55.5" customHeight="1">
      <c r="A148" s="3773"/>
      <c r="B148" s="1900" t="str">
        <f t="shared" si="4"/>
        <v>2400001264</v>
      </c>
      <c r="C148" s="1941" t="s">
        <v>8674</v>
      </c>
      <c r="D148" s="2793"/>
      <c r="E148" s="1495"/>
      <c r="F148" s="1941" t="s">
        <v>25</v>
      </c>
      <c r="G148" s="1495"/>
      <c r="H148" s="1495"/>
      <c r="I148" s="1543" t="s">
        <v>19</v>
      </c>
      <c r="J148" s="1495" t="s">
        <v>267</v>
      </c>
      <c r="K148" s="1547" t="s">
        <v>8697</v>
      </c>
      <c r="L148" s="2357">
        <v>200</v>
      </c>
      <c r="M148" s="1790" t="s">
        <v>8698</v>
      </c>
      <c r="N148" s="1493"/>
      <c r="O148" s="2576"/>
      <c r="P148" s="1882">
        <v>3</v>
      </c>
      <c r="Q148" s="1882"/>
    </row>
    <row r="149" spans="1:26" s="1467" customFormat="1" ht="55.5" customHeight="1">
      <c r="A149" s="3773"/>
      <c r="B149" s="1900" t="str">
        <f t="shared" si="4"/>
        <v>2400001257</v>
      </c>
      <c r="C149" s="1941" t="s">
        <v>8674</v>
      </c>
      <c r="D149" s="2793"/>
      <c r="E149" s="1495"/>
      <c r="F149" s="1941" t="s">
        <v>25</v>
      </c>
      <c r="G149" s="1495"/>
      <c r="H149" s="1495"/>
      <c r="I149" s="1543" t="s">
        <v>19</v>
      </c>
      <c r="J149" s="1495" t="s">
        <v>267</v>
      </c>
      <c r="K149" s="1547" t="s">
        <v>8699</v>
      </c>
      <c r="L149" s="2357">
        <v>600</v>
      </c>
      <c r="M149" s="1790" t="s">
        <v>8700</v>
      </c>
      <c r="N149" s="1493"/>
      <c r="O149" s="2576"/>
      <c r="P149" s="1882">
        <v>3</v>
      </c>
      <c r="Q149" s="1882"/>
    </row>
    <row r="150" spans="1:26" s="1467" customFormat="1" ht="55.5" customHeight="1">
      <c r="A150" s="3773"/>
      <c r="B150" s="1900" t="str">
        <f t="shared" si="4"/>
        <v>2400001245</v>
      </c>
      <c r="C150" s="1941" t="s">
        <v>8674</v>
      </c>
      <c r="D150" s="2793"/>
      <c r="E150" s="1495"/>
      <c r="F150" s="1941" t="s">
        <v>25</v>
      </c>
      <c r="G150" s="1495"/>
      <c r="H150" s="1495"/>
      <c r="I150" s="1543" t="s">
        <v>19</v>
      </c>
      <c r="J150" s="1495" t="s">
        <v>267</v>
      </c>
      <c r="K150" s="1600" t="s">
        <v>8701</v>
      </c>
      <c r="L150" s="2357">
        <v>200</v>
      </c>
      <c r="M150" s="1790" t="s">
        <v>8702</v>
      </c>
      <c r="N150" s="1495"/>
      <c r="O150" s="2576"/>
      <c r="P150" s="1882">
        <v>3</v>
      </c>
      <c r="Q150" s="1882"/>
    </row>
    <row r="151" spans="1:26" s="1467" customFormat="1" ht="55.5" customHeight="1">
      <c r="A151" s="3773"/>
      <c r="B151" s="1900" t="str">
        <f t="shared" si="4"/>
        <v>2400001249</v>
      </c>
      <c r="C151" s="1941" t="s">
        <v>8674</v>
      </c>
      <c r="D151" s="2793"/>
      <c r="E151" s="1495"/>
      <c r="F151" s="1941" t="s">
        <v>25</v>
      </c>
      <c r="G151" s="1495"/>
      <c r="H151" s="1495"/>
      <c r="I151" s="1543" t="s">
        <v>19</v>
      </c>
      <c r="J151" s="1495" t="s">
        <v>267</v>
      </c>
      <c r="K151" s="1600" t="s">
        <v>8703</v>
      </c>
      <c r="L151" s="2357">
        <v>200</v>
      </c>
      <c r="M151" s="1790" t="s">
        <v>8704</v>
      </c>
      <c r="N151" s="1495"/>
      <c r="O151" s="2576"/>
      <c r="P151" s="1882">
        <v>3</v>
      </c>
      <c r="Q151" s="1882"/>
    </row>
    <row r="152" spans="1:26" s="1467" customFormat="1" ht="55.5" customHeight="1">
      <c r="A152" s="3773">
        <v>43</v>
      </c>
      <c r="B152" s="1900" t="str">
        <f t="shared" si="4"/>
        <v>2200002112</v>
      </c>
      <c r="C152" s="1902" t="s">
        <v>3499</v>
      </c>
      <c r="D152" s="2907">
        <v>8800</v>
      </c>
      <c r="E152" s="1921" t="s">
        <v>8705</v>
      </c>
      <c r="F152" s="2433" t="s">
        <v>3401</v>
      </c>
      <c r="G152" s="1921" t="s">
        <v>8706</v>
      </c>
      <c r="H152" s="1921" t="s">
        <v>8707</v>
      </c>
      <c r="I152" s="2601" t="s">
        <v>19</v>
      </c>
      <c r="J152" s="1561" t="s">
        <v>1138</v>
      </c>
      <c r="K152" s="2908" t="s">
        <v>8708</v>
      </c>
      <c r="L152" s="2583">
        <v>6500</v>
      </c>
      <c r="M152" s="2196" t="s">
        <v>8709</v>
      </c>
      <c r="N152" s="1495"/>
      <c r="O152" s="2576"/>
      <c r="P152" s="1790">
        <v>3</v>
      </c>
      <c r="Q152" s="1790"/>
    </row>
    <row r="153" spans="1:26" s="1467" customFormat="1" ht="55.5" customHeight="1">
      <c r="A153" s="3768"/>
      <c r="B153" s="2013" t="str">
        <f t="shared" si="4"/>
        <v>2200002133</v>
      </c>
      <c r="C153" s="1941" t="s">
        <v>3499</v>
      </c>
      <c r="D153" s="2909"/>
      <c r="E153" s="1495"/>
      <c r="F153" s="1941" t="s">
        <v>3401</v>
      </c>
      <c r="G153" s="1495"/>
      <c r="H153" s="1495"/>
      <c r="I153" s="1601" t="s">
        <v>19</v>
      </c>
      <c r="J153" s="1773" t="s">
        <v>1138</v>
      </c>
      <c r="K153" s="2880" t="s">
        <v>8710</v>
      </c>
      <c r="L153" s="2357">
        <v>2300</v>
      </c>
      <c r="M153" s="1495" t="s">
        <v>7947</v>
      </c>
      <c r="N153" s="1495"/>
      <c r="O153" s="2576"/>
      <c r="P153" s="1790">
        <v>3</v>
      </c>
      <c r="Q153" s="1790"/>
    </row>
    <row r="154" spans="1:26" s="2643" customFormat="1" ht="55.5" customHeight="1">
      <c r="A154" s="3773">
        <v>44</v>
      </c>
      <c r="B154" s="2013" t="str">
        <f t="shared" si="4"/>
        <v>2000003202</v>
      </c>
      <c r="C154" s="1902" t="s">
        <v>3629</v>
      </c>
      <c r="D154" s="2624">
        <v>24000</v>
      </c>
      <c r="E154" s="1921" t="s">
        <v>8711</v>
      </c>
      <c r="F154" s="1902" t="s">
        <v>3416</v>
      </c>
      <c r="G154" s="1921" t="s">
        <v>8712</v>
      </c>
      <c r="H154" s="1921" t="s">
        <v>8713</v>
      </c>
      <c r="I154" s="1902" t="s">
        <v>19</v>
      </c>
      <c r="J154" s="1921" t="s">
        <v>959</v>
      </c>
      <c r="K154" s="2912" t="s">
        <v>8714</v>
      </c>
      <c r="L154" s="2583">
        <v>3800</v>
      </c>
      <c r="M154" s="2196" t="s">
        <v>6399</v>
      </c>
      <c r="N154" s="1921"/>
      <c r="O154" s="2574"/>
      <c r="P154" s="1790">
        <v>3</v>
      </c>
      <c r="Q154" s="1790"/>
    </row>
    <row r="155" spans="1:26" s="1467" customFormat="1" ht="55.5" customHeight="1">
      <c r="A155" s="3767"/>
      <c r="B155" s="2013" t="str">
        <f t="shared" si="4"/>
        <v>2000003182</v>
      </c>
      <c r="C155" s="1493" t="s">
        <v>3629</v>
      </c>
      <c r="D155" s="1826"/>
      <c r="E155" s="1495"/>
      <c r="F155" s="1493" t="s">
        <v>3416</v>
      </c>
      <c r="G155" s="1495"/>
      <c r="H155" s="1495"/>
      <c r="I155" s="1493" t="s">
        <v>19</v>
      </c>
      <c r="J155" s="1495" t="s">
        <v>959</v>
      </c>
      <c r="K155" s="1600" t="s">
        <v>8715</v>
      </c>
      <c r="L155" s="2357">
        <v>5000</v>
      </c>
      <c r="M155" s="2196" t="s">
        <v>6399</v>
      </c>
      <c r="N155" s="1493"/>
      <c r="O155" s="1843"/>
      <c r="P155" s="1790">
        <v>3</v>
      </c>
      <c r="Q155" s="1790"/>
      <c r="R155" s="1548"/>
      <c r="S155" s="1548"/>
      <c r="T155" s="1548"/>
      <c r="U155" s="1548"/>
      <c r="V155" s="1548"/>
      <c r="W155" s="1548"/>
      <c r="X155" s="1548"/>
      <c r="Y155" s="1548"/>
      <c r="Z155" s="1548"/>
    </row>
    <row r="156" spans="1:26" s="1467" customFormat="1" ht="55.5" customHeight="1">
      <c r="A156" s="3767"/>
      <c r="B156" s="2013" t="str">
        <f t="shared" si="4"/>
        <v>2200002118</v>
      </c>
      <c r="C156" s="1493" t="s">
        <v>3629</v>
      </c>
      <c r="D156" s="2909"/>
      <c r="E156" s="1495"/>
      <c r="F156" s="1493" t="s">
        <v>3416</v>
      </c>
      <c r="G156" s="1495"/>
      <c r="H156" s="1495"/>
      <c r="I156" s="1601" t="s">
        <v>19</v>
      </c>
      <c r="J156" s="1495" t="s">
        <v>959</v>
      </c>
      <c r="K156" s="2348" t="s">
        <v>8581</v>
      </c>
      <c r="L156" s="2357">
        <v>2200</v>
      </c>
      <c r="M156" s="2385" t="s">
        <v>8543</v>
      </c>
      <c r="N156" s="1495"/>
      <c r="O156" s="2576"/>
      <c r="P156" s="1790">
        <v>3</v>
      </c>
      <c r="Q156" s="1790"/>
    </row>
    <row r="157" spans="1:26" s="1467" customFormat="1" ht="55.5" customHeight="1">
      <c r="A157" s="3767"/>
      <c r="B157" s="2013" t="str">
        <f t="shared" ref="B157:B188" si="5">TEXT(LEFT(K157,10),"0000000000")</f>
        <v>2200002121</v>
      </c>
      <c r="C157" s="1493" t="s">
        <v>3629</v>
      </c>
      <c r="D157" s="2909"/>
      <c r="E157" s="1495"/>
      <c r="F157" s="1493" t="s">
        <v>3416</v>
      </c>
      <c r="G157" s="1495"/>
      <c r="H157" s="1495"/>
      <c r="I157" s="1493" t="s">
        <v>19</v>
      </c>
      <c r="J157" s="1495" t="s">
        <v>959</v>
      </c>
      <c r="K157" s="2913" t="s">
        <v>8716</v>
      </c>
      <c r="L157" s="2357">
        <v>113</v>
      </c>
      <c r="M157" s="2385" t="s">
        <v>5214</v>
      </c>
      <c r="N157" s="1495"/>
      <c r="O157" s="2576"/>
      <c r="P157" s="1790">
        <v>3</v>
      </c>
      <c r="Q157" s="1790"/>
    </row>
    <row r="158" spans="1:26" s="1467" customFormat="1" ht="55.5" customHeight="1">
      <c r="A158" s="3767"/>
      <c r="B158" s="1900" t="str">
        <f t="shared" si="5"/>
        <v>2200002130</v>
      </c>
      <c r="C158" s="1493" t="s">
        <v>3629</v>
      </c>
      <c r="D158" s="2909"/>
      <c r="E158" s="1495"/>
      <c r="F158" s="1493" t="s">
        <v>3416</v>
      </c>
      <c r="G158" s="1495"/>
      <c r="H158" s="1495"/>
      <c r="I158" s="1493" t="s">
        <v>19</v>
      </c>
      <c r="J158" s="1495" t="s">
        <v>959</v>
      </c>
      <c r="K158" s="1547" t="s">
        <v>8717</v>
      </c>
      <c r="L158" s="2357">
        <v>1043</v>
      </c>
      <c r="M158" s="2196" t="s">
        <v>8507</v>
      </c>
      <c r="N158" s="1495"/>
      <c r="O158" s="2576"/>
      <c r="P158" s="1790">
        <v>3</v>
      </c>
      <c r="Q158" s="1790"/>
    </row>
    <row r="159" spans="1:26" s="1467" customFormat="1" ht="55.5" customHeight="1">
      <c r="A159" s="3767"/>
      <c r="B159" s="1900" t="str">
        <f t="shared" si="5"/>
        <v>2200002131</v>
      </c>
      <c r="C159" s="1493" t="s">
        <v>3629</v>
      </c>
      <c r="D159" s="2909"/>
      <c r="E159" s="1495"/>
      <c r="F159" s="1493" t="s">
        <v>3416</v>
      </c>
      <c r="G159" s="1495"/>
      <c r="H159" s="1495"/>
      <c r="I159" s="1493" t="s">
        <v>19</v>
      </c>
      <c r="J159" s="1495" t="s">
        <v>959</v>
      </c>
      <c r="K159" s="1547" t="s">
        <v>8718</v>
      </c>
      <c r="L159" s="2357">
        <v>2035</v>
      </c>
      <c r="M159" s="1921" t="s">
        <v>7947</v>
      </c>
      <c r="N159" s="1495"/>
      <c r="O159" s="2576"/>
      <c r="P159" s="1790">
        <v>3</v>
      </c>
      <c r="Q159" s="1790"/>
    </row>
    <row r="160" spans="1:26" s="1467" customFormat="1" ht="55.5" customHeight="1">
      <c r="A160" s="3767"/>
      <c r="B160" s="1900" t="str">
        <f t="shared" si="5"/>
        <v>2200002132</v>
      </c>
      <c r="C160" s="1493" t="s">
        <v>3629</v>
      </c>
      <c r="D160" s="2909"/>
      <c r="E160" s="1495"/>
      <c r="F160" s="1493" t="s">
        <v>3416</v>
      </c>
      <c r="G160" s="1495"/>
      <c r="H160" s="1495"/>
      <c r="I160" s="1493" t="s">
        <v>19</v>
      </c>
      <c r="J160" s="1495" t="s">
        <v>959</v>
      </c>
      <c r="K160" s="1547" t="s">
        <v>8719</v>
      </c>
      <c r="L160" s="2357">
        <v>236</v>
      </c>
      <c r="M160" s="2196" t="s">
        <v>8507</v>
      </c>
      <c r="N160" s="1495"/>
      <c r="O160" s="2576"/>
      <c r="P160" s="1790">
        <v>3</v>
      </c>
      <c r="Q160" s="1790"/>
    </row>
    <row r="161" spans="1:26" s="1467" customFormat="1" ht="55.5" customHeight="1">
      <c r="A161" s="3767"/>
      <c r="B161" s="1900" t="str">
        <f t="shared" si="5"/>
        <v>2200002127</v>
      </c>
      <c r="C161" s="1493" t="s">
        <v>3629</v>
      </c>
      <c r="D161" s="2909"/>
      <c r="E161" s="1495"/>
      <c r="F161" s="1493" t="s">
        <v>3416</v>
      </c>
      <c r="G161" s="1495"/>
      <c r="H161" s="1495"/>
      <c r="I161" s="1601" t="s">
        <v>19</v>
      </c>
      <c r="J161" s="1495" t="s">
        <v>959</v>
      </c>
      <c r="K161" s="1600" t="s">
        <v>8720</v>
      </c>
      <c r="L161" s="2357">
        <v>1578</v>
      </c>
      <c r="M161" s="1495" t="s">
        <v>7947</v>
      </c>
      <c r="N161" s="1495"/>
      <c r="O161" s="2576"/>
      <c r="P161" s="1790">
        <v>3</v>
      </c>
      <c r="Q161" s="1790"/>
    </row>
    <row r="162" spans="1:26" s="1467" customFormat="1" ht="55.5" customHeight="1">
      <c r="A162" s="3767"/>
      <c r="B162" s="1900" t="str">
        <f t="shared" si="5"/>
        <v>2200002126</v>
      </c>
      <c r="C162" s="1493" t="s">
        <v>3629</v>
      </c>
      <c r="D162" s="2909"/>
      <c r="E162" s="1495"/>
      <c r="F162" s="1493" t="s">
        <v>3416</v>
      </c>
      <c r="G162" s="1495"/>
      <c r="H162" s="1495"/>
      <c r="I162" s="1601" t="s">
        <v>19</v>
      </c>
      <c r="J162" s="1495" t="s">
        <v>959</v>
      </c>
      <c r="K162" s="1600" t="s">
        <v>8721</v>
      </c>
      <c r="L162" s="2658">
        <v>2300</v>
      </c>
      <c r="M162" s="2196" t="s">
        <v>8507</v>
      </c>
      <c r="N162" s="1495"/>
      <c r="O162" s="2576"/>
      <c r="P162" s="1790">
        <v>3</v>
      </c>
      <c r="Q162" s="1790"/>
    </row>
    <row r="163" spans="1:26" s="1467" customFormat="1" ht="55.5" customHeight="1">
      <c r="A163" s="3767"/>
      <c r="B163" s="1900" t="str">
        <f t="shared" si="5"/>
        <v>2200002084</v>
      </c>
      <c r="C163" s="1493" t="s">
        <v>3629</v>
      </c>
      <c r="D163" s="2909"/>
      <c r="E163" s="1495"/>
      <c r="F163" s="1493" t="s">
        <v>3416</v>
      </c>
      <c r="G163" s="1495"/>
      <c r="H163" s="1495"/>
      <c r="I163" s="1601" t="s">
        <v>19</v>
      </c>
      <c r="J163" s="1495" t="s">
        <v>959</v>
      </c>
      <c r="K163" s="1600" t="s">
        <v>8722</v>
      </c>
      <c r="L163" s="2658">
        <v>4800</v>
      </c>
      <c r="M163" s="2196" t="s">
        <v>6399</v>
      </c>
      <c r="N163" s="1495"/>
      <c r="O163" s="2576"/>
      <c r="P163" s="1790">
        <v>3</v>
      </c>
      <c r="Q163" s="1790"/>
    </row>
    <row r="164" spans="1:26" s="1467" customFormat="1" ht="55.5" customHeight="1">
      <c r="A164" s="3767"/>
      <c r="B164" s="1900" t="str">
        <f t="shared" si="5"/>
        <v>2000003206</v>
      </c>
      <c r="C164" s="1493" t="s">
        <v>3629</v>
      </c>
      <c r="D164" s="2909"/>
      <c r="E164" s="1495"/>
      <c r="F164" s="1493" t="s">
        <v>3416</v>
      </c>
      <c r="G164" s="1495"/>
      <c r="H164" s="1495"/>
      <c r="I164" s="1493" t="s">
        <v>19</v>
      </c>
      <c r="J164" s="1495" t="s">
        <v>959</v>
      </c>
      <c r="K164" s="1600" t="s">
        <v>8723</v>
      </c>
      <c r="L164" s="2357">
        <v>1000</v>
      </c>
      <c r="M164" s="2385" t="s">
        <v>8724</v>
      </c>
      <c r="N164" s="1495"/>
      <c r="O164" s="2576"/>
      <c r="P164" s="1790">
        <v>3</v>
      </c>
      <c r="Q164" s="1790"/>
    </row>
    <row r="165" spans="1:26" s="1467" customFormat="1" ht="55.5" customHeight="1">
      <c r="A165" s="3768"/>
      <c r="B165" s="1900" t="str">
        <f t="shared" si="5"/>
        <v>2000003211</v>
      </c>
      <c r="C165" s="1493" t="s">
        <v>3629</v>
      </c>
      <c r="D165" s="2909"/>
      <c r="E165" s="1495"/>
      <c r="F165" s="1493" t="s">
        <v>3416</v>
      </c>
      <c r="G165" s="1495"/>
      <c r="H165" s="1495"/>
      <c r="I165" s="1493" t="s">
        <v>19</v>
      </c>
      <c r="J165" s="1495" t="s">
        <v>959</v>
      </c>
      <c r="K165" s="2880" t="s">
        <v>8725</v>
      </c>
      <c r="L165" s="2357">
        <v>22</v>
      </c>
      <c r="M165" s="2385" t="s">
        <v>5454</v>
      </c>
      <c r="N165" s="1495"/>
      <c r="O165" s="2576"/>
      <c r="P165" s="1790">
        <v>3</v>
      </c>
      <c r="Q165" s="1790"/>
    </row>
    <row r="166" spans="1:26" s="1467" customFormat="1" ht="55.5" customHeight="1">
      <c r="A166" s="3773">
        <v>43</v>
      </c>
      <c r="B166" s="2013" t="str">
        <f t="shared" si="5"/>
        <v>2200002124</v>
      </c>
      <c r="C166" s="1902" t="s">
        <v>3924</v>
      </c>
      <c r="D166" s="2767">
        <v>7200</v>
      </c>
      <c r="E166" s="1921" t="s">
        <v>8726</v>
      </c>
      <c r="F166" s="1902" t="s">
        <v>3401</v>
      </c>
      <c r="G166" s="1921" t="s">
        <v>8727</v>
      </c>
      <c r="H166" s="1921" t="s">
        <v>8728</v>
      </c>
      <c r="I166" s="1902" t="s">
        <v>19</v>
      </c>
      <c r="J166" s="1921" t="s">
        <v>1138</v>
      </c>
      <c r="K166" s="1845" t="s">
        <v>8729</v>
      </c>
      <c r="L166" s="2583">
        <v>3000</v>
      </c>
      <c r="M166" s="2196" t="s">
        <v>6399</v>
      </c>
      <c r="N166" s="1902"/>
      <c r="O166" s="1862"/>
      <c r="P166" s="1790">
        <v>3</v>
      </c>
      <c r="Q166" s="1790"/>
      <c r="R166" s="2643"/>
      <c r="S166" s="2643"/>
      <c r="T166" s="2643"/>
      <c r="U166" s="2643"/>
      <c r="V166" s="2643"/>
      <c r="W166" s="2643"/>
      <c r="X166" s="2643"/>
      <c r="Y166" s="2643"/>
      <c r="Z166" s="2643"/>
    </row>
    <row r="167" spans="1:26" s="1467" customFormat="1" ht="55.5" customHeight="1">
      <c r="A167" s="3767"/>
      <c r="B167" s="2013" t="str">
        <f t="shared" si="5"/>
        <v>2200002125</v>
      </c>
      <c r="C167" s="1493" t="s">
        <v>3924</v>
      </c>
      <c r="D167" s="1668"/>
      <c r="E167" s="2051"/>
      <c r="F167" s="1493" t="s">
        <v>3401</v>
      </c>
      <c r="G167" s="1748" t="s">
        <v>8730</v>
      </c>
      <c r="H167" s="1495"/>
      <c r="I167" s="1493" t="s">
        <v>19</v>
      </c>
      <c r="J167" s="1495" t="s">
        <v>1138</v>
      </c>
      <c r="K167" s="1845" t="s">
        <v>8731</v>
      </c>
      <c r="L167" s="2583">
        <v>3700</v>
      </c>
      <c r="M167" s="2196" t="s">
        <v>8732</v>
      </c>
      <c r="N167" s="1902"/>
      <c r="O167" s="1862"/>
      <c r="P167" s="1790">
        <v>3</v>
      </c>
      <c r="Q167" s="1790"/>
      <c r="R167" s="2643"/>
      <c r="S167" s="2643"/>
      <c r="T167" s="2643"/>
      <c r="U167" s="2643"/>
      <c r="V167" s="2643"/>
      <c r="W167" s="2643"/>
      <c r="X167" s="2643"/>
      <c r="Y167" s="2643"/>
      <c r="Z167" s="2643"/>
    </row>
    <row r="168" spans="1:26" s="1467" customFormat="1" ht="55.5" customHeight="1">
      <c r="A168" s="3768"/>
      <c r="B168" s="2013" t="str">
        <f t="shared" si="5"/>
        <v>2200002085</v>
      </c>
      <c r="C168" s="1493" t="s">
        <v>3924</v>
      </c>
      <c r="D168" s="1668"/>
      <c r="E168" s="1543"/>
      <c r="F168" s="1493" t="s">
        <v>3401</v>
      </c>
      <c r="G168" s="1495"/>
      <c r="H168" s="1495"/>
      <c r="I168" s="1493" t="s">
        <v>19</v>
      </c>
      <c r="J168" s="1495" t="s">
        <v>1138</v>
      </c>
      <c r="K168" s="1600" t="s">
        <v>8733</v>
      </c>
      <c r="L168" s="2357">
        <v>415</v>
      </c>
      <c r="M168" s="2385" t="s">
        <v>8734</v>
      </c>
      <c r="N168" s="1902"/>
      <c r="O168" s="1862"/>
      <c r="P168" s="1790">
        <v>3</v>
      </c>
      <c r="Q168" s="1790"/>
      <c r="R168" s="2643"/>
      <c r="S168" s="2643"/>
      <c r="T168" s="2643"/>
      <c r="U168" s="2643"/>
      <c r="V168" s="2643"/>
      <c r="W168" s="2643"/>
      <c r="X168" s="2643"/>
      <c r="Y168" s="2643"/>
      <c r="Z168" s="2643"/>
    </row>
    <row r="169" spans="1:26" s="1467" customFormat="1" ht="55.5" customHeight="1">
      <c r="A169" s="2414">
        <v>40</v>
      </c>
      <c r="B169" s="1900" t="str">
        <f t="shared" si="5"/>
        <v>2000003250</v>
      </c>
      <c r="C169" s="1902" t="s">
        <v>7672</v>
      </c>
      <c r="D169" s="2624">
        <v>4250</v>
      </c>
      <c r="E169" s="1921" t="s">
        <v>8726</v>
      </c>
      <c r="F169" s="1902" t="s">
        <v>84</v>
      </c>
      <c r="G169" s="2118" t="s">
        <v>8735</v>
      </c>
      <c r="H169" s="1921"/>
      <c r="I169" s="1902" t="s">
        <v>19</v>
      </c>
      <c r="J169" s="1921" t="s">
        <v>20</v>
      </c>
      <c r="K169" s="1845" t="s">
        <v>8736</v>
      </c>
      <c r="L169" s="2583">
        <v>4250</v>
      </c>
      <c r="M169" s="2196" t="s">
        <v>6399</v>
      </c>
      <c r="N169" s="2882"/>
      <c r="O169" s="1775"/>
      <c r="P169" s="2429">
        <v>3</v>
      </c>
      <c r="Q169" s="2429"/>
      <c r="R169" s="2643"/>
      <c r="S169" s="2643"/>
      <c r="T169" s="2643"/>
      <c r="U169" s="2643"/>
      <c r="V169" s="2643"/>
      <c r="W169" s="2643"/>
      <c r="X169" s="2643"/>
      <c r="Y169" s="2643"/>
      <c r="Z169" s="2643"/>
    </row>
    <row r="170" spans="1:26" s="1467" customFormat="1" ht="55.5" customHeight="1">
      <c r="A170" s="3749">
        <v>37</v>
      </c>
      <c r="B170" s="1900" t="str">
        <f t="shared" si="5"/>
        <v>2200002142</v>
      </c>
      <c r="C170" s="1902" t="s">
        <v>5476</v>
      </c>
      <c r="D170" s="2624">
        <v>3250</v>
      </c>
      <c r="E170" s="1921" t="s">
        <v>8737</v>
      </c>
      <c r="F170" s="1902" t="s">
        <v>89</v>
      </c>
      <c r="G170" s="1921" t="s">
        <v>8738</v>
      </c>
      <c r="H170" s="1921" t="s">
        <v>8739</v>
      </c>
      <c r="I170" s="1902" t="s">
        <v>19</v>
      </c>
      <c r="J170" s="1921" t="s">
        <v>1138</v>
      </c>
      <c r="K170" s="1845" t="s">
        <v>8740</v>
      </c>
      <c r="L170" s="2583">
        <v>1103</v>
      </c>
      <c r="M170" s="2196" t="s">
        <v>8741</v>
      </c>
      <c r="N170" s="1902"/>
      <c r="O170" s="1775"/>
      <c r="P170" s="1790">
        <v>3</v>
      </c>
      <c r="Q170" s="1790"/>
      <c r="R170" s="2643"/>
      <c r="S170" s="2643"/>
      <c r="T170" s="2643"/>
      <c r="U170" s="2643"/>
      <c r="V170" s="2643"/>
      <c r="W170" s="2643"/>
      <c r="X170" s="2643"/>
      <c r="Y170" s="2643"/>
      <c r="Z170" s="2643"/>
    </row>
    <row r="171" spans="1:26" s="1467" customFormat="1" ht="55.5" customHeight="1">
      <c r="A171" s="3751"/>
      <c r="B171" s="1900" t="str">
        <f t="shared" si="5"/>
        <v>2200002141</v>
      </c>
      <c r="C171" s="1493" t="s">
        <v>5476</v>
      </c>
      <c r="D171" s="1826"/>
      <c r="E171" s="1495"/>
      <c r="F171" s="1493" t="s">
        <v>89</v>
      </c>
      <c r="G171" s="1495"/>
      <c r="H171" s="1495"/>
      <c r="I171" s="1493" t="s">
        <v>19</v>
      </c>
      <c r="J171" s="1495" t="s">
        <v>1138</v>
      </c>
      <c r="K171" s="1600" t="s">
        <v>8742</v>
      </c>
      <c r="L171" s="2357">
        <v>1486</v>
      </c>
      <c r="M171" s="2915" t="s">
        <v>8743</v>
      </c>
      <c r="N171" s="1902"/>
      <c r="O171" s="1775"/>
      <c r="P171" s="1790">
        <v>3</v>
      </c>
      <c r="Q171" s="1790"/>
      <c r="R171" s="2643"/>
      <c r="S171" s="2643"/>
      <c r="T171" s="2643"/>
      <c r="U171" s="2643"/>
      <c r="V171" s="2643"/>
      <c r="W171" s="2643"/>
      <c r="X171" s="2643"/>
      <c r="Y171" s="2643"/>
      <c r="Z171" s="2643"/>
    </row>
    <row r="172" spans="1:26" s="1467" customFormat="1" ht="55.5" customHeight="1">
      <c r="A172" s="3751"/>
      <c r="B172" s="1900" t="str">
        <f t="shared" si="5"/>
        <v>2200002143</v>
      </c>
      <c r="C172" s="1545" t="s">
        <v>5476</v>
      </c>
      <c r="D172" s="1827"/>
      <c r="E172" s="1543"/>
      <c r="F172" s="1545" t="s">
        <v>89</v>
      </c>
      <c r="G172" s="1543"/>
      <c r="H172" s="1543"/>
      <c r="I172" s="1545" t="s">
        <v>19</v>
      </c>
      <c r="J172" s="1543" t="s">
        <v>1138</v>
      </c>
      <c r="K172" s="1605" t="s">
        <v>8744</v>
      </c>
      <c r="L172" s="2543">
        <v>819</v>
      </c>
      <c r="M172" s="2506" t="s">
        <v>8745</v>
      </c>
      <c r="N172" s="1902"/>
      <c r="O172" s="1775"/>
      <c r="P172" s="1790">
        <v>3</v>
      </c>
      <c r="Q172" s="1790"/>
      <c r="R172" s="2643"/>
      <c r="S172" s="2643"/>
      <c r="T172" s="2643"/>
      <c r="U172" s="2643"/>
      <c r="V172" s="2643"/>
      <c r="W172" s="2643"/>
      <c r="X172" s="2643"/>
      <c r="Y172" s="2643"/>
      <c r="Z172" s="2643"/>
    </row>
    <row r="173" spans="1:26" s="1467" customFormat="1" ht="66.75" customHeight="1">
      <c r="A173" s="3744">
        <v>46</v>
      </c>
      <c r="B173" s="1900" t="str">
        <f t="shared" si="5"/>
        <v>2000003162</v>
      </c>
      <c r="C173" s="1902" t="s">
        <v>4064</v>
      </c>
      <c r="D173" s="2624">
        <v>13300</v>
      </c>
      <c r="E173" s="1921" t="s">
        <v>8746</v>
      </c>
      <c r="F173" s="1902" t="s">
        <v>3416</v>
      </c>
      <c r="G173" s="1921" t="s">
        <v>8747</v>
      </c>
      <c r="H173" s="1921" t="s">
        <v>8728</v>
      </c>
      <c r="I173" s="1902" t="s">
        <v>19</v>
      </c>
      <c r="J173" s="1921" t="s">
        <v>123</v>
      </c>
      <c r="K173" s="1916" t="s">
        <v>8748</v>
      </c>
      <c r="L173" s="2583">
        <v>3000</v>
      </c>
      <c r="M173" s="2196" t="s">
        <v>6399</v>
      </c>
      <c r="N173" s="1626"/>
      <c r="O173" s="1859"/>
      <c r="P173" s="1790">
        <v>3</v>
      </c>
      <c r="Q173" s="1790"/>
    </row>
    <row r="174" spans="1:26" s="1467" customFormat="1" ht="92.25" customHeight="1">
      <c r="A174" s="3744"/>
      <c r="B174" s="1900" t="str">
        <f t="shared" si="5"/>
        <v>2000003210</v>
      </c>
      <c r="C174" s="1493" t="s">
        <v>4064</v>
      </c>
      <c r="D174" s="2624"/>
      <c r="E174" s="1921"/>
      <c r="F174" s="1493" t="s">
        <v>3416</v>
      </c>
      <c r="G174" s="1748" t="s">
        <v>8749</v>
      </c>
      <c r="H174" s="1921"/>
      <c r="I174" s="1495" t="s">
        <v>19</v>
      </c>
      <c r="J174" s="1495" t="s">
        <v>123</v>
      </c>
      <c r="K174" s="1600" t="s">
        <v>8750</v>
      </c>
      <c r="L174" s="2357">
        <v>5540</v>
      </c>
      <c r="M174" s="2915" t="s">
        <v>8751</v>
      </c>
      <c r="N174" s="1626"/>
      <c r="O174" s="1859"/>
      <c r="P174" s="1790">
        <v>3</v>
      </c>
      <c r="Q174" s="1790"/>
    </row>
    <row r="175" spans="1:26" s="1467" customFormat="1" ht="81" customHeight="1">
      <c r="A175" s="3744"/>
      <c r="B175" s="1900" t="str">
        <f t="shared" si="5"/>
        <v>2200002095</v>
      </c>
      <c r="C175" s="1493" t="s">
        <v>4064</v>
      </c>
      <c r="D175" s="1826"/>
      <c r="E175" s="1495"/>
      <c r="F175" s="1493" t="s">
        <v>3416</v>
      </c>
      <c r="G175" s="1748"/>
      <c r="H175" s="1495"/>
      <c r="I175" s="1493" t="s">
        <v>19</v>
      </c>
      <c r="J175" s="1495" t="s">
        <v>123</v>
      </c>
      <c r="K175" s="1600" t="s">
        <v>8752</v>
      </c>
      <c r="L175" s="2357">
        <v>1200</v>
      </c>
      <c r="M175" s="2196" t="s">
        <v>5454</v>
      </c>
      <c r="N175" s="1626"/>
      <c r="O175" s="1859"/>
      <c r="P175" s="1790">
        <v>3</v>
      </c>
      <c r="Q175" s="1790"/>
    </row>
    <row r="176" spans="1:26" s="1467" customFormat="1" ht="55.5" customHeight="1">
      <c r="A176" s="3744"/>
      <c r="B176" s="1900" t="str">
        <f t="shared" si="5"/>
        <v>2200002097</v>
      </c>
      <c r="C176" s="1493" t="s">
        <v>4064</v>
      </c>
      <c r="D176" s="1826"/>
      <c r="E176" s="1495"/>
      <c r="F176" s="1493" t="s">
        <v>3416</v>
      </c>
      <c r="G176" s="1748"/>
      <c r="H176" s="1495"/>
      <c r="I176" s="1493" t="s">
        <v>19</v>
      </c>
      <c r="J176" s="1495" t="s">
        <v>123</v>
      </c>
      <c r="K176" s="1547" t="s">
        <v>8753</v>
      </c>
      <c r="L176" s="2357">
        <v>3560</v>
      </c>
      <c r="M176" s="1748" t="s">
        <v>8754</v>
      </c>
      <c r="N176" s="1626"/>
      <c r="O176" s="1843" t="s">
        <v>8755</v>
      </c>
      <c r="P176" s="1790">
        <v>3</v>
      </c>
      <c r="Q176" s="1790"/>
    </row>
    <row r="177" spans="1:26" s="2643" customFormat="1" ht="55.5" customHeight="1">
      <c r="A177" s="3767">
        <v>43</v>
      </c>
      <c r="B177" s="1900" t="str">
        <f t="shared" si="5"/>
        <v>2000003202</v>
      </c>
      <c r="C177" s="2118" t="s">
        <v>3957</v>
      </c>
      <c r="D177" s="2929">
        <v>12900</v>
      </c>
      <c r="E177" s="2118" t="s">
        <v>8756</v>
      </c>
      <c r="F177" s="2391" t="s">
        <v>3401</v>
      </c>
      <c r="G177" s="2118" t="s">
        <v>8757</v>
      </c>
      <c r="H177" s="2118" t="s">
        <v>8728</v>
      </c>
      <c r="I177" s="2391" t="s">
        <v>19</v>
      </c>
      <c r="J177" s="2120" t="s">
        <v>1138</v>
      </c>
      <c r="K177" s="2930" t="s">
        <v>8714</v>
      </c>
      <c r="L177" s="2931">
        <v>5500</v>
      </c>
      <c r="M177" s="2196" t="s">
        <v>6399</v>
      </c>
      <c r="N177" s="1902"/>
      <c r="O177" s="1862"/>
      <c r="P177" s="1790">
        <v>3</v>
      </c>
      <c r="Q177" s="1790"/>
    </row>
    <row r="178" spans="1:26" s="2643" customFormat="1" ht="55.5" customHeight="1">
      <c r="A178" s="3767"/>
      <c r="B178" s="1900" t="str">
        <f t="shared" si="5"/>
        <v>2000003182</v>
      </c>
      <c r="C178" s="1493" t="s">
        <v>3957</v>
      </c>
      <c r="D178" s="2909"/>
      <c r="E178" s="1495"/>
      <c r="F178" s="1493" t="s">
        <v>3401</v>
      </c>
      <c r="G178" s="1851"/>
      <c r="H178" s="1495"/>
      <c r="I178" s="1493" t="s">
        <v>19</v>
      </c>
      <c r="J178" s="1495" t="s">
        <v>1138</v>
      </c>
      <c r="K178" s="1497" t="s">
        <v>8715</v>
      </c>
      <c r="L178" s="2357">
        <v>1440</v>
      </c>
      <c r="M178" s="2196" t="s">
        <v>6399</v>
      </c>
      <c r="N178" s="1493"/>
      <c r="O178" s="1859"/>
      <c r="P178" s="1790">
        <v>3</v>
      </c>
      <c r="Q178" s="1790"/>
    </row>
    <row r="179" spans="1:26" s="2643" customFormat="1" ht="55.5" customHeight="1">
      <c r="A179" s="3767"/>
      <c r="B179" s="1900" t="str">
        <f t="shared" si="5"/>
        <v>2200002133</v>
      </c>
      <c r="C179" s="1493" t="s">
        <v>3957</v>
      </c>
      <c r="D179" s="2909"/>
      <c r="E179" s="1495"/>
      <c r="F179" s="1493" t="s">
        <v>3401</v>
      </c>
      <c r="G179" s="1851"/>
      <c r="H179" s="1495"/>
      <c r="I179" s="1601" t="s">
        <v>19</v>
      </c>
      <c r="J179" s="1495" t="s">
        <v>1138</v>
      </c>
      <c r="K179" s="1600" t="s">
        <v>8758</v>
      </c>
      <c r="L179" s="2357">
        <v>1100</v>
      </c>
      <c r="M179" s="2196" t="s">
        <v>7947</v>
      </c>
      <c r="N179" s="1493"/>
      <c r="O179" s="1859"/>
      <c r="P179" s="1790">
        <v>3</v>
      </c>
      <c r="Q179" s="1790"/>
    </row>
    <row r="180" spans="1:26" s="2643" customFormat="1" ht="55.5" customHeight="1">
      <c r="A180" s="3768"/>
      <c r="B180" s="1900" t="str">
        <f t="shared" si="5"/>
        <v>2200002124</v>
      </c>
      <c r="C180" s="1493" t="s">
        <v>3957</v>
      </c>
      <c r="D180" s="2907"/>
      <c r="E180" s="1921"/>
      <c r="F180" s="1493" t="s">
        <v>3401</v>
      </c>
      <c r="G180" s="1921"/>
      <c r="H180" s="1921"/>
      <c r="I180" s="1493" t="s">
        <v>19</v>
      </c>
      <c r="J180" s="1495" t="s">
        <v>1138</v>
      </c>
      <c r="K180" s="1600" t="s">
        <v>8729</v>
      </c>
      <c r="L180" s="2357">
        <v>4900</v>
      </c>
      <c r="M180" s="2196" t="s">
        <v>6399</v>
      </c>
      <c r="N180" s="1902"/>
      <c r="O180" s="1775"/>
      <c r="P180" s="1790">
        <v>3</v>
      </c>
      <c r="Q180" s="1790"/>
    </row>
    <row r="181" spans="1:26" s="2643" customFormat="1" ht="65.25" customHeight="1">
      <c r="A181" s="3749">
        <v>45</v>
      </c>
      <c r="B181" s="1900" t="str">
        <f t="shared" si="5"/>
        <v>2000003161</v>
      </c>
      <c r="C181" s="1902" t="s">
        <v>3320</v>
      </c>
      <c r="D181" s="2624">
        <v>8800</v>
      </c>
      <c r="E181" s="2187" t="s">
        <v>8759</v>
      </c>
      <c r="F181" s="1902" t="s">
        <v>3416</v>
      </c>
      <c r="G181" s="1921" t="s">
        <v>8760</v>
      </c>
      <c r="H181" s="1921" t="s">
        <v>8728</v>
      </c>
      <c r="I181" s="1902" t="s">
        <v>19</v>
      </c>
      <c r="J181" s="1921" t="s">
        <v>123</v>
      </c>
      <c r="K181" s="1916" t="s">
        <v>8761</v>
      </c>
      <c r="L181" s="2583">
        <v>3700</v>
      </c>
      <c r="M181" s="2196" t="s">
        <v>6399</v>
      </c>
      <c r="N181" s="1902"/>
      <c r="O181" s="1775"/>
      <c r="P181" s="1790">
        <v>3</v>
      </c>
      <c r="Q181" s="1790"/>
    </row>
    <row r="182" spans="1:26" s="2643" customFormat="1" ht="50.25" customHeight="1">
      <c r="A182" s="3751"/>
      <c r="B182" s="1900" t="str">
        <f t="shared" si="5"/>
        <v>2000003168</v>
      </c>
      <c r="C182" s="1493" t="s">
        <v>3320</v>
      </c>
      <c r="D182" s="2928"/>
      <c r="E182" s="2150"/>
      <c r="F182" s="1626" t="s">
        <v>3416</v>
      </c>
      <c r="G182" s="1495"/>
      <c r="H182" s="1495"/>
      <c r="I182" s="1493" t="s">
        <v>19</v>
      </c>
      <c r="J182" s="1495" t="s">
        <v>123</v>
      </c>
      <c r="K182" s="1770" t="s">
        <v>8762</v>
      </c>
      <c r="L182" s="2357">
        <v>1000</v>
      </c>
      <c r="M182" s="2196" t="s">
        <v>5454</v>
      </c>
      <c r="N182" s="1493"/>
      <c r="O182" s="1859"/>
      <c r="P182" s="1790">
        <v>3</v>
      </c>
      <c r="Q182" s="1790"/>
      <c r="R182" s="1467"/>
      <c r="S182" s="1467"/>
      <c r="T182" s="1467"/>
      <c r="U182" s="1467"/>
      <c r="V182" s="1467"/>
      <c r="W182" s="1467"/>
      <c r="X182" s="1467"/>
      <c r="Y182" s="1467"/>
      <c r="Z182" s="1467"/>
    </row>
    <row r="183" spans="1:26" s="2643" customFormat="1" ht="50.25" customHeight="1">
      <c r="A183" s="3751"/>
      <c r="B183" s="1900" t="str">
        <f t="shared" si="5"/>
        <v>2000003249</v>
      </c>
      <c r="C183" s="1493" t="s">
        <v>3320</v>
      </c>
      <c r="D183" s="1826"/>
      <c r="E183" s="1851"/>
      <c r="F183" s="1493" t="s">
        <v>3416</v>
      </c>
      <c r="G183" s="1921"/>
      <c r="H183" s="1921"/>
      <c r="I183" s="1493" t="s">
        <v>19</v>
      </c>
      <c r="J183" s="1495" t="s">
        <v>123</v>
      </c>
      <c r="K183" s="1547" t="s">
        <v>8763</v>
      </c>
      <c r="L183" s="2357">
        <v>100</v>
      </c>
      <c r="M183" s="2196" t="s">
        <v>6399</v>
      </c>
      <c r="N183" s="1902"/>
      <c r="O183" s="1775"/>
      <c r="P183" s="1790">
        <v>3</v>
      </c>
      <c r="Q183" s="1790"/>
      <c r="R183" s="2150"/>
      <c r="S183" s="2150"/>
      <c r="T183" s="2150"/>
      <c r="U183" s="2150"/>
      <c r="V183" s="2150"/>
      <c r="W183" s="2150"/>
      <c r="X183" s="2150"/>
      <c r="Y183" s="2150"/>
      <c r="Z183" s="2150"/>
    </row>
    <row r="184" spans="1:26" s="2643" customFormat="1" ht="50.25" customHeight="1">
      <c r="A184" s="3751"/>
      <c r="B184" s="1900" t="str">
        <f t="shared" si="5"/>
        <v>2000003280</v>
      </c>
      <c r="C184" s="1493" t="s">
        <v>3320</v>
      </c>
      <c r="D184" s="1826"/>
      <c r="E184" s="1495"/>
      <c r="F184" s="1493" t="s">
        <v>3416</v>
      </c>
      <c r="G184" s="1921"/>
      <c r="H184" s="1921"/>
      <c r="I184" s="1493" t="s">
        <v>19</v>
      </c>
      <c r="J184" s="1495" t="s">
        <v>63</v>
      </c>
      <c r="K184" s="1547" t="s">
        <v>8764</v>
      </c>
      <c r="L184" s="2357">
        <v>1000</v>
      </c>
      <c r="M184" s="2385" t="s">
        <v>5454</v>
      </c>
      <c r="N184" s="1902"/>
      <c r="O184" s="1775"/>
      <c r="P184" s="1790">
        <v>3</v>
      </c>
      <c r="Q184" s="1790"/>
    </row>
    <row r="185" spans="1:26" s="2643" customFormat="1" ht="50.25" customHeight="1">
      <c r="A185" s="3751"/>
      <c r="B185" s="1900" t="str">
        <f t="shared" si="5"/>
        <v>2200002144</v>
      </c>
      <c r="C185" s="1493" t="s">
        <v>3320</v>
      </c>
      <c r="D185" s="1826"/>
      <c r="E185" s="1495"/>
      <c r="F185" s="1493" t="s">
        <v>3416</v>
      </c>
      <c r="G185" s="1495"/>
      <c r="H185" s="1495"/>
      <c r="I185" s="1493" t="s">
        <v>19</v>
      </c>
      <c r="J185" s="1495" t="s">
        <v>63</v>
      </c>
      <c r="K185" s="1770" t="s">
        <v>8765</v>
      </c>
      <c r="L185" s="2357">
        <v>1903</v>
      </c>
      <c r="M185" s="2196" t="s">
        <v>7947</v>
      </c>
      <c r="N185" s="1493"/>
      <c r="O185" s="1843" t="s">
        <v>8766</v>
      </c>
      <c r="P185" s="1790">
        <v>3</v>
      </c>
      <c r="Q185" s="1790"/>
      <c r="R185" s="1467"/>
      <c r="S185" s="1467"/>
      <c r="T185" s="1467"/>
      <c r="U185" s="1467"/>
      <c r="V185" s="1467"/>
      <c r="W185" s="1467"/>
      <c r="X185" s="1467"/>
      <c r="Y185" s="1467"/>
      <c r="Z185" s="1467"/>
    </row>
    <row r="186" spans="1:26" s="2643" customFormat="1" ht="50.25" customHeight="1">
      <c r="A186" s="3751"/>
      <c r="B186" s="1900" t="str">
        <f t="shared" si="5"/>
        <v>2200002140</v>
      </c>
      <c r="C186" s="1493" t="s">
        <v>3320</v>
      </c>
      <c r="D186" s="1826"/>
      <c r="E186" s="1495"/>
      <c r="F186" s="1493" t="s">
        <v>3416</v>
      </c>
      <c r="G186" s="1495"/>
      <c r="H186" s="1495"/>
      <c r="I186" s="1493" t="s">
        <v>19</v>
      </c>
      <c r="J186" s="1495" t="s">
        <v>63</v>
      </c>
      <c r="K186" s="1770" t="s">
        <v>8767</v>
      </c>
      <c r="L186" s="2357">
        <v>724</v>
      </c>
      <c r="M186" s="2196" t="s">
        <v>8507</v>
      </c>
      <c r="N186" s="1493"/>
      <c r="O186" s="1843"/>
      <c r="P186" s="1790">
        <v>3</v>
      </c>
      <c r="Q186" s="1790"/>
      <c r="R186" s="1467"/>
      <c r="S186" s="1467"/>
      <c r="T186" s="1467"/>
      <c r="U186" s="1467"/>
      <c r="V186" s="1467"/>
      <c r="W186" s="1467"/>
      <c r="X186" s="1467"/>
      <c r="Y186" s="1467"/>
      <c r="Z186" s="1467"/>
    </row>
    <row r="187" spans="1:26" s="2643" customFormat="1" ht="57" customHeight="1">
      <c r="A187" s="3750"/>
      <c r="B187" s="1900" t="str">
        <f t="shared" si="5"/>
        <v>2000003178</v>
      </c>
      <c r="C187" s="1493" t="s">
        <v>3320</v>
      </c>
      <c r="D187" s="1826"/>
      <c r="E187" s="1495"/>
      <c r="F187" s="1493" t="s">
        <v>3416</v>
      </c>
      <c r="G187" s="1495"/>
      <c r="H187" s="1495"/>
      <c r="I187" s="1493" t="s">
        <v>19</v>
      </c>
      <c r="J187" s="1495" t="s">
        <v>63</v>
      </c>
      <c r="K187" s="2880" t="s">
        <v>8768</v>
      </c>
      <c r="L187" s="2357">
        <v>500</v>
      </c>
      <c r="M187" s="2385" t="s">
        <v>5454</v>
      </c>
      <c r="N187" s="1493"/>
      <c r="O187" s="1843"/>
      <c r="P187" s="1790">
        <v>3</v>
      </c>
      <c r="Q187" s="1790"/>
      <c r="R187" s="1467"/>
      <c r="S187" s="1467"/>
      <c r="T187" s="1467"/>
      <c r="U187" s="1467"/>
      <c r="V187" s="1467"/>
      <c r="W187" s="1467"/>
      <c r="X187" s="1467"/>
      <c r="Y187" s="1467"/>
      <c r="Z187" s="1467"/>
    </row>
    <row r="188" spans="1:26" s="1467" customFormat="1" ht="58.5" customHeight="1">
      <c r="A188" s="3735">
        <v>35</v>
      </c>
      <c r="B188" s="1900" t="str">
        <f t="shared" si="5"/>
        <v>2000003254</v>
      </c>
      <c r="C188" s="2391" t="s">
        <v>3507</v>
      </c>
      <c r="D188" s="2656">
        <v>4400</v>
      </c>
      <c r="E188" s="2118" t="s">
        <v>8769</v>
      </c>
      <c r="F188" s="2391" t="s">
        <v>54</v>
      </c>
      <c r="G188" s="2118" t="s">
        <v>8770</v>
      </c>
      <c r="H188" s="1921" t="s">
        <v>8728</v>
      </c>
      <c r="I188" s="2433" t="s">
        <v>19</v>
      </c>
      <c r="J188" s="2118" t="s">
        <v>5325</v>
      </c>
      <c r="K188" s="2402" t="s">
        <v>8771</v>
      </c>
      <c r="L188" s="2508">
        <v>400</v>
      </c>
      <c r="M188" s="2196" t="s">
        <v>5454</v>
      </c>
      <c r="N188" s="1902"/>
      <c r="O188" s="1775"/>
      <c r="P188" s="1790">
        <v>3</v>
      </c>
      <c r="Q188" s="1790"/>
      <c r="R188" s="1548"/>
      <c r="S188" s="1548"/>
      <c r="T188" s="1548"/>
      <c r="U188" s="1548"/>
      <c r="V188" s="1548"/>
      <c r="W188" s="1548"/>
      <c r="X188" s="1548"/>
      <c r="Y188" s="1548"/>
      <c r="Z188" s="1548"/>
    </row>
    <row r="189" spans="1:26" s="1467" customFormat="1" ht="58.5" customHeight="1">
      <c r="A189" s="3737"/>
      <c r="B189" s="1900" t="str">
        <f t="shared" ref="B189:B212" si="6">TEXT(LEFT(K189,10),"0000000000")</f>
        <v>2000003281</v>
      </c>
      <c r="C189" s="1630" t="s">
        <v>3507</v>
      </c>
      <c r="D189" s="1826"/>
      <c r="E189" s="1748"/>
      <c r="F189" s="1630" t="s">
        <v>54</v>
      </c>
      <c r="G189" s="1495"/>
      <c r="H189" s="1495"/>
      <c r="I189" s="1493" t="s">
        <v>19</v>
      </c>
      <c r="J189" s="1495" t="s">
        <v>63</v>
      </c>
      <c r="K189" s="2880" t="s">
        <v>8772</v>
      </c>
      <c r="L189" s="2357">
        <v>4000</v>
      </c>
      <c r="M189" s="2584" t="s">
        <v>8773</v>
      </c>
      <c r="N189" s="1902"/>
      <c r="O189" s="1775"/>
      <c r="P189" s="1790">
        <v>3</v>
      </c>
      <c r="Q189" s="1790"/>
      <c r="R189" s="2643"/>
      <c r="S189" s="2643"/>
      <c r="T189" s="2643"/>
      <c r="U189" s="2643"/>
      <c r="V189" s="2643"/>
      <c r="W189" s="2643"/>
      <c r="X189" s="2643"/>
      <c r="Y189" s="2643"/>
      <c r="Z189" s="2643"/>
    </row>
    <row r="190" spans="1:26" s="1467" customFormat="1" ht="58.5" customHeight="1">
      <c r="A190" s="3744">
        <v>38</v>
      </c>
      <c r="B190" s="1900" t="str">
        <f t="shared" si="6"/>
        <v>2000003225</v>
      </c>
      <c r="C190" s="1902" t="s">
        <v>4831</v>
      </c>
      <c r="D190" s="2624">
        <v>4350</v>
      </c>
      <c r="E190" s="1921" t="s">
        <v>8774</v>
      </c>
      <c r="F190" s="1902" t="s">
        <v>16</v>
      </c>
      <c r="G190" s="1921" t="s">
        <v>8775</v>
      </c>
      <c r="H190" s="1921" t="s">
        <v>8728</v>
      </c>
      <c r="I190" s="1902" t="s">
        <v>19</v>
      </c>
      <c r="J190" s="1921" t="s">
        <v>1138</v>
      </c>
      <c r="K190" s="1911" t="s">
        <v>8776</v>
      </c>
      <c r="L190" s="2583">
        <v>200</v>
      </c>
      <c r="M190" s="2496" t="s">
        <v>5454</v>
      </c>
      <c r="N190" s="2563"/>
      <c r="O190" s="1775"/>
      <c r="P190" s="2429">
        <v>3</v>
      </c>
      <c r="Q190" s="2429"/>
      <c r="R190" s="2643"/>
      <c r="S190" s="2643"/>
      <c r="T190" s="2643"/>
      <c r="U190" s="2643"/>
      <c r="V190" s="2643"/>
      <c r="W190" s="2643"/>
      <c r="X190" s="2643"/>
      <c r="Y190" s="2643"/>
      <c r="Z190" s="2643"/>
    </row>
    <row r="191" spans="1:26" s="1467" customFormat="1" ht="58.5" customHeight="1">
      <c r="A191" s="3744"/>
      <c r="B191" s="1900" t="str">
        <f t="shared" si="6"/>
        <v>2000003259</v>
      </c>
      <c r="C191" s="1493" t="s">
        <v>4831</v>
      </c>
      <c r="D191" s="1826"/>
      <c r="E191" s="1495"/>
      <c r="F191" s="1493" t="s">
        <v>16</v>
      </c>
      <c r="G191" s="1495" t="s">
        <v>8777</v>
      </c>
      <c r="H191" s="1495"/>
      <c r="I191" s="1493" t="s">
        <v>19</v>
      </c>
      <c r="J191" s="1495" t="s">
        <v>1138</v>
      </c>
      <c r="K191" s="1600" t="s">
        <v>8778</v>
      </c>
      <c r="L191" s="2357">
        <v>485</v>
      </c>
      <c r="M191" s="2927" t="s">
        <v>8779</v>
      </c>
      <c r="N191" s="1626"/>
      <c r="O191" s="1859"/>
      <c r="P191" s="1790">
        <v>3</v>
      </c>
      <c r="Q191" s="1790"/>
    </row>
    <row r="192" spans="1:26" s="1467" customFormat="1" ht="58.5" customHeight="1">
      <c r="A192" s="3744"/>
      <c r="B192" s="1900" t="str">
        <f t="shared" si="6"/>
        <v>2000003260</v>
      </c>
      <c r="C192" s="1493" t="s">
        <v>4831</v>
      </c>
      <c r="D192" s="1826"/>
      <c r="E192" s="1495"/>
      <c r="F192" s="1493" t="s">
        <v>16</v>
      </c>
      <c r="G192" s="1495"/>
      <c r="H192" s="1495"/>
      <c r="I192" s="1493" t="s">
        <v>19</v>
      </c>
      <c r="J192" s="1495" t="s">
        <v>1138</v>
      </c>
      <c r="K192" s="1600" t="s">
        <v>8780</v>
      </c>
      <c r="L192" s="2357">
        <v>105</v>
      </c>
      <c r="M192" s="2196" t="s">
        <v>8781</v>
      </c>
      <c r="N192" s="1626"/>
      <c r="O192" s="1859"/>
      <c r="P192" s="1790">
        <v>3</v>
      </c>
      <c r="Q192" s="1790"/>
    </row>
    <row r="193" spans="1:26" s="1467" customFormat="1" ht="58.5" customHeight="1">
      <c r="A193" s="3744"/>
      <c r="B193" s="1900" t="str">
        <f t="shared" si="6"/>
        <v>2000003182</v>
      </c>
      <c r="C193" s="1493" t="s">
        <v>4831</v>
      </c>
      <c r="D193" s="1826"/>
      <c r="E193" s="1495"/>
      <c r="F193" s="1493" t="s">
        <v>16</v>
      </c>
      <c r="G193" s="1495"/>
      <c r="H193" s="1495"/>
      <c r="I193" s="1493" t="s">
        <v>19</v>
      </c>
      <c r="J193" s="1495" t="s">
        <v>1138</v>
      </c>
      <c r="K193" s="1600" t="s">
        <v>8782</v>
      </c>
      <c r="L193" s="2357">
        <v>3560</v>
      </c>
      <c r="M193" s="2196" t="s">
        <v>6399</v>
      </c>
      <c r="N193" s="1626"/>
      <c r="O193" s="1859"/>
      <c r="P193" s="1790">
        <v>3</v>
      </c>
      <c r="Q193" s="1790"/>
    </row>
    <row r="194" spans="1:26" s="1467" customFormat="1" ht="58.5" customHeight="1">
      <c r="A194" s="3837">
        <v>35</v>
      </c>
      <c r="B194" s="1900" t="str">
        <f t="shared" si="6"/>
        <v>2000003261</v>
      </c>
      <c r="C194" s="2563" t="s">
        <v>5984</v>
      </c>
      <c r="D194" s="2907">
        <v>4330</v>
      </c>
      <c r="E194" s="1921" t="s">
        <v>8783</v>
      </c>
      <c r="F194" s="2439" t="s">
        <v>16</v>
      </c>
      <c r="G194" s="1921" t="s">
        <v>8784</v>
      </c>
      <c r="H194" s="1921" t="s">
        <v>8728</v>
      </c>
      <c r="I194" s="2433" t="s">
        <v>19</v>
      </c>
      <c r="J194" s="2118" t="s">
        <v>74</v>
      </c>
      <c r="K194" s="2402" t="s">
        <v>8785</v>
      </c>
      <c r="L194" s="2508">
        <v>2330</v>
      </c>
      <c r="M194" s="2196" t="s">
        <v>5454</v>
      </c>
      <c r="N194" s="1902"/>
      <c r="O194" s="1775"/>
      <c r="P194" s="1790">
        <v>3</v>
      </c>
      <c r="Q194" s="1790"/>
      <c r="R194" s="1548"/>
      <c r="S194" s="1548"/>
      <c r="T194" s="1548"/>
      <c r="U194" s="1548"/>
      <c r="V194" s="1548"/>
      <c r="W194" s="1548"/>
      <c r="X194" s="1548"/>
      <c r="Y194" s="1548"/>
      <c r="Z194" s="1548"/>
    </row>
    <row r="195" spans="1:26" s="1467" customFormat="1" ht="58.5" customHeight="1">
      <c r="A195" s="3737"/>
      <c r="B195" s="1900" t="str">
        <f t="shared" si="6"/>
        <v>2000003287</v>
      </c>
      <c r="C195" s="1941" t="s">
        <v>5984</v>
      </c>
      <c r="D195" s="2909"/>
      <c r="E195" s="1495"/>
      <c r="F195" s="1941" t="s">
        <v>16</v>
      </c>
      <c r="G195" s="1851"/>
      <c r="H195" s="1495"/>
      <c r="I195" s="1493" t="s">
        <v>19</v>
      </c>
      <c r="J195" s="1495" t="s">
        <v>74</v>
      </c>
      <c r="K195" s="1600" t="s">
        <v>8786</v>
      </c>
      <c r="L195" s="2357">
        <v>2000</v>
      </c>
      <c r="M195" s="2196" t="s">
        <v>5454</v>
      </c>
      <c r="N195" s="1493"/>
      <c r="O195" s="1843"/>
      <c r="P195" s="1790">
        <v>3</v>
      </c>
      <c r="Q195" s="1790"/>
      <c r="R195" s="1548"/>
      <c r="S195" s="1548"/>
      <c r="T195" s="1548"/>
      <c r="U195" s="1548"/>
      <c r="V195" s="1548"/>
      <c r="W195" s="1548"/>
      <c r="X195" s="1548"/>
      <c r="Y195" s="1548"/>
      <c r="Z195" s="1548"/>
    </row>
    <row r="196" spans="1:26" s="2643" customFormat="1" ht="58.5" customHeight="1">
      <c r="A196" s="3749">
        <v>36</v>
      </c>
      <c r="B196" s="1900" t="str">
        <f t="shared" si="6"/>
        <v>2200002125</v>
      </c>
      <c r="C196" s="1902" t="s">
        <v>98</v>
      </c>
      <c r="D196" s="2624">
        <v>4400</v>
      </c>
      <c r="E196" s="1921" t="s">
        <v>8787</v>
      </c>
      <c r="F196" s="1902" t="s">
        <v>16</v>
      </c>
      <c r="G196" s="1921" t="s">
        <v>8788</v>
      </c>
      <c r="H196" s="1921" t="s">
        <v>8728</v>
      </c>
      <c r="I196" s="1902" t="s">
        <v>19</v>
      </c>
      <c r="J196" s="1921" t="s">
        <v>1138</v>
      </c>
      <c r="K196" s="1845" t="s">
        <v>8789</v>
      </c>
      <c r="L196" s="2583">
        <v>760</v>
      </c>
      <c r="M196" s="2496" t="s">
        <v>5454</v>
      </c>
      <c r="N196" s="1902" t="s">
        <v>6166</v>
      </c>
      <c r="O196" s="1775"/>
      <c r="P196" s="1790">
        <v>3</v>
      </c>
      <c r="Q196" s="1790"/>
      <c r="R196" s="2150"/>
      <c r="S196" s="2150"/>
      <c r="T196" s="2150"/>
      <c r="U196" s="2150"/>
      <c r="V196" s="2150"/>
      <c r="W196" s="2150"/>
      <c r="X196" s="2150"/>
      <c r="Y196" s="2150"/>
      <c r="Z196" s="2150"/>
    </row>
    <row r="197" spans="1:26" s="2643" customFormat="1" ht="58.5" customHeight="1">
      <c r="A197" s="3750"/>
      <c r="B197" s="1900" t="str">
        <f t="shared" si="6"/>
        <v>2000003202</v>
      </c>
      <c r="C197" s="1493" t="s">
        <v>98</v>
      </c>
      <c r="D197" s="1826"/>
      <c r="E197" s="1495"/>
      <c r="F197" s="1493" t="s">
        <v>16</v>
      </c>
      <c r="G197" s="1495"/>
      <c r="H197" s="1495"/>
      <c r="I197" s="1493" t="s">
        <v>19</v>
      </c>
      <c r="J197" s="1495" t="s">
        <v>1138</v>
      </c>
      <c r="K197" s="2880" t="s">
        <v>8790</v>
      </c>
      <c r="L197" s="2357">
        <v>3800</v>
      </c>
      <c r="M197" s="2196" t="s">
        <v>6399</v>
      </c>
      <c r="N197" s="1902"/>
      <c r="O197" s="1862"/>
      <c r="P197" s="1790">
        <v>3</v>
      </c>
      <c r="Q197" s="1790"/>
    </row>
    <row r="198" spans="1:26" s="2643" customFormat="1" ht="58.5" customHeight="1">
      <c r="A198" s="3749">
        <v>38</v>
      </c>
      <c r="B198" s="1900" t="str">
        <f t="shared" si="6"/>
        <v>2200002135</v>
      </c>
      <c r="C198" s="1921" t="s">
        <v>4898</v>
      </c>
      <c r="D198" s="2624">
        <v>3600</v>
      </c>
      <c r="E198" s="1921" t="s">
        <v>8791</v>
      </c>
      <c r="F198" s="1902" t="s">
        <v>84</v>
      </c>
      <c r="G198" s="1921" t="s">
        <v>8792</v>
      </c>
      <c r="H198" s="2187" t="s">
        <v>8728</v>
      </c>
      <c r="I198" s="2563" t="s">
        <v>19</v>
      </c>
      <c r="J198" s="1921" t="s">
        <v>1138</v>
      </c>
      <c r="K198" s="1845" t="s">
        <v>8016</v>
      </c>
      <c r="L198" s="2583">
        <v>800</v>
      </c>
      <c r="M198" s="2496" t="s">
        <v>5454</v>
      </c>
      <c r="N198" s="2127"/>
      <c r="O198" s="1775"/>
      <c r="P198" s="2429">
        <v>3</v>
      </c>
      <c r="Q198" s="2429"/>
    </row>
    <row r="199" spans="1:26" s="2643" customFormat="1" ht="58.5" customHeight="1">
      <c r="A199" s="3750"/>
      <c r="B199" s="1900" t="str">
        <f t="shared" si="6"/>
        <v>2200002136</v>
      </c>
      <c r="C199" s="1495" t="s">
        <v>4898</v>
      </c>
      <c r="D199" s="1826"/>
      <c r="E199" s="1495"/>
      <c r="F199" s="1493" t="s">
        <v>84</v>
      </c>
      <c r="G199" s="1899"/>
      <c r="H199" s="1495"/>
      <c r="I199" s="1626" t="s">
        <v>19</v>
      </c>
      <c r="J199" s="1921" t="s">
        <v>1138</v>
      </c>
      <c r="K199" s="1600" t="s">
        <v>8793</v>
      </c>
      <c r="L199" s="2357">
        <v>2800</v>
      </c>
      <c r="M199" s="2496" t="s">
        <v>6399</v>
      </c>
      <c r="N199" s="2150"/>
      <c r="O199" s="2675"/>
      <c r="P199" s="1790">
        <v>3</v>
      </c>
      <c r="Q199" s="2429"/>
    </row>
    <row r="200" spans="1:26" s="2643" customFormat="1" ht="58.5" customHeight="1">
      <c r="A200" s="3749">
        <v>40</v>
      </c>
      <c r="B200" s="1900" t="str">
        <f t="shared" si="6"/>
        <v>2000003254</v>
      </c>
      <c r="C200" s="1902" t="s">
        <v>71</v>
      </c>
      <c r="D200" s="2624">
        <v>3700</v>
      </c>
      <c r="E200" s="1921" t="s">
        <v>8794</v>
      </c>
      <c r="F200" s="2824" t="s">
        <v>84</v>
      </c>
      <c r="G200" s="1921" t="s">
        <v>8795</v>
      </c>
      <c r="H200" s="2159" t="s">
        <v>8796</v>
      </c>
      <c r="I200" s="1902" t="s">
        <v>19</v>
      </c>
      <c r="J200" s="2118" t="s">
        <v>5325</v>
      </c>
      <c r="K200" s="2194" t="s">
        <v>8797</v>
      </c>
      <c r="L200" s="2583">
        <v>700</v>
      </c>
      <c r="M200" s="2496" t="s">
        <v>5454</v>
      </c>
      <c r="N200" s="2150"/>
      <c r="O200" s="2675"/>
      <c r="P200" s="1790">
        <v>3</v>
      </c>
      <c r="Q200" s="2429"/>
    </row>
    <row r="201" spans="1:26" s="2643" customFormat="1" ht="58.5" customHeight="1">
      <c r="A201" s="3750"/>
      <c r="B201" s="1900" t="str">
        <f t="shared" si="6"/>
        <v>2000003294</v>
      </c>
      <c r="C201" s="1493" t="s">
        <v>71</v>
      </c>
      <c r="D201" s="1826"/>
      <c r="E201" s="1495"/>
      <c r="F201" s="1769" t="s">
        <v>84</v>
      </c>
      <c r="G201" s="1495"/>
      <c r="H201" s="1947"/>
      <c r="I201" s="1493" t="s">
        <v>19</v>
      </c>
      <c r="J201" s="1495" t="s">
        <v>63</v>
      </c>
      <c r="K201" s="1496" t="s">
        <v>8798</v>
      </c>
      <c r="L201" s="2357">
        <v>3000</v>
      </c>
      <c r="M201" s="2496" t="s">
        <v>5454</v>
      </c>
      <c r="N201" s="2150"/>
      <c r="O201" s="2675"/>
      <c r="P201" s="1790">
        <v>3</v>
      </c>
      <c r="Q201" s="2429"/>
    </row>
    <row r="202" spans="1:26" s="2643" customFormat="1" ht="67.5" customHeight="1">
      <c r="A202" s="3738">
        <v>41</v>
      </c>
      <c r="B202" s="1900" t="str">
        <f t="shared" si="6"/>
        <v>2000003209</v>
      </c>
      <c r="C202" s="1902" t="s">
        <v>5701</v>
      </c>
      <c r="D202" s="2624">
        <v>4150</v>
      </c>
      <c r="E202" s="1921" t="s">
        <v>8799</v>
      </c>
      <c r="F202" s="1902" t="s">
        <v>89</v>
      </c>
      <c r="G202" s="1921"/>
      <c r="H202" s="1921"/>
      <c r="I202" s="1902" t="s">
        <v>19</v>
      </c>
      <c r="J202" s="1921" t="s">
        <v>74</v>
      </c>
      <c r="K202" s="2932" t="s">
        <v>8800</v>
      </c>
      <c r="L202" s="2583">
        <v>766</v>
      </c>
      <c r="M202" s="2496" t="s">
        <v>5454</v>
      </c>
      <c r="N202" s="2391"/>
      <c r="O202" s="1775" t="s">
        <v>8801</v>
      </c>
      <c r="P202" s="1790">
        <v>3</v>
      </c>
      <c r="Q202" s="1790"/>
    </row>
    <row r="203" spans="1:26" s="2643" customFormat="1" ht="58.5" customHeight="1">
      <c r="A203" s="3738"/>
      <c r="B203" s="1900" t="str">
        <f t="shared" si="6"/>
        <v>2200002113</v>
      </c>
      <c r="C203" s="1493" t="s">
        <v>5701</v>
      </c>
      <c r="D203" s="1826"/>
      <c r="E203" s="1495"/>
      <c r="F203" s="1493" t="s">
        <v>89</v>
      </c>
      <c r="G203" s="1495"/>
      <c r="H203" s="1495"/>
      <c r="I203" s="1493" t="s">
        <v>19</v>
      </c>
      <c r="J203" s="1493" t="s">
        <v>101</v>
      </c>
      <c r="K203" s="1600" t="s">
        <v>8802</v>
      </c>
      <c r="L203" s="2357">
        <v>3800</v>
      </c>
      <c r="M203" s="2749" t="s">
        <v>8803</v>
      </c>
      <c r="N203" s="1493"/>
      <c r="O203" s="1843"/>
      <c r="P203" s="1790">
        <v>3</v>
      </c>
      <c r="Q203" s="1790"/>
      <c r="R203" s="1467"/>
      <c r="S203" s="1467"/>
      <c r="T203" s="1467"/>
      <c r="U203" s="1467"/>
      <c r="V203" s="1467"/>
      <c r="W203" s="1467"/>
      <c r="X203" s="1467"/>
      <c r="Y203" s="1467"/>
      <c r="Z203" s="1467"/>
    </row>
    <row r="204" spans="1:26" s="2920" customFormat="1" ht="58.5" customHeight="1">
      <c r="A204" s="2917"/>
      <c r="B204" s="2918" t="str">
        <f t="shared" si="6"/>
        <v>2000003171</v>
      </c>
      <c r="C204" s="2733" t="s">
        <v>2468</v>
      </c>
      <c r="D204" s="2919">
        <v>100</v>
      </c>
      <c r="E204" s="2735" t="s">
        <v>8804</v>
      </c>
      <c r="F204" s="2733" t="s">
        <v>89</v>
      </c>
      <c r="G204" s="2735"/>
      <c r="H204" s="2735" t="s">
        <v>251</v>
      </c>
      <c r="I204" s="2735" t="s">
        <v>19</v>
      </c>
      <c r="J204" s="2733" t="s">
        <v>1612</v>
      </c>
      <c r="K204" s="2736" t="s">
        <v>8805</v>
      </c>
      <c r="L204" s="2737">
        <v>100</v>
      </c>
      <c r="M204" s="2818" t="s">
        <v>5454</v>
      </c>
      <c r="N204" s="2733"/>
      <c r="O204" s="2738"/>
      <c r="P204" s="2739">
        <v>3</v>
      </c>
      <c r="Q204" s="2739"/>
    </row>
    <row r="205" spans="1:26" s="2920" customFormat="1" ht="58.5" customHeight="1">
      <c r="A205" s="2921"/>
      <c r="B205" s="2918" t="str">
        <f t="shared" si="6"/>
        <v>2000003170</v>
      </c>
      <c r="C205" s="2733" t="s">
        <v>2468</v>
      </c>
      <c r="D205" s="2919">
        <v>550</v>
      </c>
      <c r="E205" s="2735" t="s">
        <v>8804</v>
      </c>
      <c r="F205" s="2733" t="s">
        <v>89</v>
      </c>
      <c r="G205" s="2735"/>
      <c r="H205" s="2735" t="s">
        <v>251</v>
      </c>
      <c r="I205" s="2735" t="s">
        <v>19</v>
      </c>
      <c r="J205" s="2733" t="s">
        <v>1612</v>
      </c>
      <c r="K205" s="2740" t="s">
        <v>8806</v>
      </c>
      <c r="L205" s="2740">
        <v>550</v>
      </c>
      <c r="M205" s="2818" t="s">
        <v>5454</v>
      </c>
      <c r="N205" s="2733"/>
      <c r="O205" s="2738"/>
      <c r="P205" s="2739">
        <v>3</v>
      </c>
      <c r="Q205" s="2739"/>
    </row>
    <row r="206" spans="1:26" s="2924" customFormat="1" ht="58.5" customHeight="1">
      <c r="A206" s="2922"/>
      <c r="B206" s="2918" t="str">
        <f t="shared" si="6"/>
        <v>2000003022</v>
      </c>
      <c r="C206" s="2733" t="s">
        <v>2468</v>
      </c>
      <c r="D206" s="2919">
        <v>300</v>
      </c>
      <c r="E206" s="2735" t="s">
        <v>8807</v>
      </c>
      <c r="F206" s="2733" t="s">
        <v>89</v>
      </c>
      <c r="G206" s="2735"/>
      <c r="H206" s="2735" t="s">
        <v>251</v>
      </c>
      <c r="I206" s="2735" t="s">
        <v>19</v>
      </c>
      <c r="J206" s="2733" t="s">
        <v>1612</v>
      </c>
      <c r="K206" s="2736" t="s">
        <v>8808</v>
      </c>
      <c r="L206" s="2737">
        <v>300</v>
      </c>
      <c r="M206" s="2818" t="s">
        <v>5454</v>
      </c>
      <c r="N206" s="2733"/>
      <c r="O206" s="2923"/>
      <c r="P206" s="2739">
        <v>1</v>
      </c>
      <c r="Q206" s="2739"/>
    </row>
    <row r="207" spans="1:26" s="2924" customFormat="1" ht="58.5" customHeight="1">
      <c r="A207" s="2922"/>
      <c r="B207" s="2918" t="str">
        <f t="shared" si="6"/>
        <v>2200002102</v>
      </c>
      <c r="C207" s="2733" t="s">
        <v>2468</v>
      </c>
      <c r="D207" s="2737">
        <v>1038</v>
      </c>
      <c r="E207" s="2735" t="s">
        <v>8809</v>
      </c>
      <c r="F207" s="2733" t="s">
        <v>89</v>
      </c>
      <c r="G207" s="2735"/>
      <c r="H207" s="2735" t="s">
        <v>251</v>
      </c>
      <c r="I207" s="2735" t="s">
        <v>19</v>
      </c>
      <c r="J207" s="2733" t="s">
        <v>234</v>
      </c>
      <c r="K207" s="2736" t="s">
        <v>8810</v>
      </c>
      <c r="L207" s="2737">
        <v>1038</v>
      </c>
      <c r="M207" s="2818" t="s">
        <v>8507</v>
      </c>
      <c r="N207" s="2733"/>
      <c r="O207" s="2923"/>
      <c r="P207" s="2739">
        <v>1</v>
      </c>
      <c r="Q207" s="2739"/>
    </row>
    <row r="208" spans="1:26" s="2924" customFormat="1" ht="58.5" customHeight="1">
      <c r="A208" s="2922"/>
      <c r="B208" s="2918" t="str">
        <f t="shared" si="6"/>
        <v>2200002103</v>
      </c>
      <c r="C208" s="2733" t="s">
        <v>2468</v>
      </c>
      <c r="D208" s="2737">
        <v>1093</v>
      </c>
      <c r="E208" s="2735" t="s">
        <v>8811</v>
      </c>
      <c r="F208" s="2733" t="s">
        <v>89</v>
      </c>
      <c r="G208" s="2735"/>
      <c r="H208" s="2735" t="s">
        <v>251</v>
      </c>
      <c r="I208" s="2735" t="s">
        <v>19</v>
      </c>
      <c r="J208" s="2733" t="s">
        <v>234</v>
      </c>
      <c r="K208" s="2736" t="s">
        <v>8812</v>
      </c>
      <c r="L208" s="2737">
        <v>1093</v>
      </c>
      <c r="M208" s="2818" t="s">
        <v>5454</v>
      </c>
      <c r="N208" s="2733"/>
      <c r="O208" s="2923"/>
      <c r="P208" s="2739">
        <v>1</v>
      </c>
      <c r="Q208" s="2739"/>
    </row>
    <row r="209" spans="1:26" s="2924" customFormat="1" ht="58.5" customHeight="1">
      <c r="A209" s="2922"/>
      <c r="B209" s="2918" t="str">
        <f t="shared" si="6"/>
        <v>2000003236</v>
      </c>
      <c r="C209" s="2733" t="s">
        <v>2468</v>
      </c>
      <c r="D209" s="2737">
        <v>400</v>
      </c>
      <c r="E209" s="2735" t="s">
        <v>8813</v>
      </c>
      <c r="F209" s="2733" t="s">
        <v>89</v>
      </c>
      <c r="G209" s="2735"/>
      <c r="H209" s="2735"/>
      <c r="I209" s="2735" t="s">
        <v>19</v>
      </c>
      <c r="J209" s="2733" t="s">
        <v>234</v>
      </c>
      <c r="K209" s="2736" t="s">
        <v>8130</v>
      </c>
      <c r="L209" s="2737">
        <v>400</v>
      </c>
      <c r="M209" s="2818" t="s">
        <v>5454</v>
      </c>
      <c r="N209" s="2733"/>
      <c r="O209" s="2923"/>
      <c r="P209" s="2739">
        <v>3</v>
      </c>
      <c r="Q209" s="2739"/>
    </row>
    <row r="210" spans="1:26" s="2924" customFormat="1" ht="58.5" customHeight="1">
      <c r="A210" s="2922"/>
      <c r="B210" s="2918" t="str">
        <f t="shared" si="6"/>
        <v>2200002128</v>
      </c>
      <c r="C210" s="2733" t="s">
        <v>2468</v>
      </c>
      <c r="D210" s="2737">
        <v>1400</v>
      </c>
      <c r="E210" s="2735" t="s">
        <v>8814</v>
      </c>
      <c r="F210" s="2733" t="s">
        <v>89</v>
      </c>
      <c r="G210" s="2735"/>
      <c r="H210" s="2735" t="s">
        <v>251</v>
      </c>
      <c r="I210" s="2735" t="s">
        <v>19</v>
      </c>
      <c r="J210" s="2733" t="s">
        <v>234</v>
      </c>
      <c r="K210" s="2736" t="s">
        <v>8815</v>
      </c>
      <c r="L210" s="2737">
        <v>1400</v>
      </c>
      <c r="M210" s="2818" t="s">
        <v>8507</v>
      </c>
      <c r="N210" s="2733"/>
      <c r="O210" s="2923"/>
      <c r="P210" s="2739">
        <v>3</v>
      </c>
      <c r="Q210" s="2739"/>
    </row>
    <row r="211" spans="1:26" s="2924" customFormat="1" ht="58.5" customHeight="1">
      <c r="A211" s="2922"/>
      <c r="B211" s="2918" t="str">
        <f t="shared" si="6"/>
        <v>2200002129</v>
      </c>
      <c r="C211" s="2733" t="s">
        <v>2468</v>
      </c>
      <c r="D211" s="2737">
        <v>815</v>
      </c>
      <c r="E211" s="2735" t="s">
        <v>8814</v>
      </c>
      <c r="F211" s="2733" t="s">
        <v>89</v>
      </c>
      <c r="G211" s="2735"/>
      <c r="H211" s="2735" t="s">
        <v>251</v>
      </c>
      <c r="I211" s="2735" t="s">
        <v>19</v>
      </c>
      <c r="J211" s="2733" t="s">
        <v>234</v>
      </c>
      <c r="K211" s="2736" t="s">
        <v>8816</v>
      </c>
      <c r="L211" s="2737">
        <v>815</v>
      </c>
      <c r="M211" s="2818" t="s">
        <v>8507</v>
      </c>
      <c r="N211" s="2733"/>
      <c r="O211" s="2923"/>
      <c r="P211" s="2739">
        <v>3</v>
      </c>
      <c r="Q211" s="2739"/>
    </row>
    <row r="212" spans="1:26" s="2924" customFormat="1" ht="58.5" customHeight="1">
      <c r="A212" s="2922"/>
      <c r="B212" s="2918" t="str">
        <f t="shared" si="6"/>
        <v>2000003248</v>
      </c>
      <c r="C212" s="2733" t="s">
        <v>2468</v>
      </c>
      <c r="D212" s="2737">
        <v>100</v>
      </c>
      <c r="E212" s="2735" t="s">
        <v>8817</v>
      </c>
      <c r="F212" s="2733" t="s">
        <v>89</v>
      </c>
      <c r="G212" s="2735"/>
      <c r="H212" s="2735" t="s">
        <v>251</v>
      </c>
      <c r="I212" s="2735" t="s">
        <v>19</v>
      </c>
      <c r="J212" s="2733" t="s">
        <v>234</v>
      </c>
      <c r="K212" s="2736" t="s">
        <v>8128</v>
      </c>
      <c r="L212" s="2737">
        <v>100</v>
      </c>
      <c r="M212" s="2818" t="s">
        <v>5454</v>
      </c>
      <c r="N212" s="2733"/>
      <c r="O212" s="2923"/>
      <c r="P212" s="2739">
        <v>3</v>
      </c>
      <c r="Q212" s="2739"/>
    </row>
    <row r="213" spans="1:26" s="1777" customFormat="1" ht="58.5" customHeight="1">
      <c r="A213" s="2878"/>
      <c r="B213" s="2013"/>
      <c r="C213" s="102"/>
      <c r="D213" s="2820"/>
      <c r="E213" s="109"/>
      <c r="F213" s="103"/>
      <c r="G213" s="109"/>
      <c r="H213" s="2001"/>
      <c r="I213" s="1147"/>
      <c r="Q213" s="1853"/>
      <c r="R213" s="8"/>
      <c r="S213" s="8"/>
      <c r="T213" s="8"/>
      <c r="U213" s="8"/>
      <c r="V213" s="8"/>
      <c r="W213" s="8"/>
      <c r="X213" s="8"/>
      <c r="Y213" s="8"/>
      <c r="Z213" s="8"/>
    </row>
    <row r="214" spans="1:26" s="1777" customFormat="1" ht="58.5" customHeight="1">
      <c r="A214" s="2878"/>
      <c r="B214" s="2013"/>
      <c r="C214" s="102"/>
      <c r="D214" s="2820"/>
      <c r="E214" s="109"/>
      <c r="F214" s="103"/>
      <c r="G214" s="109"/>
      <c r="H214" s="2001"/>
      <c r="I214" s="1147"/>
      <c r="Q214" s="1853"/>
      <c r="R214" s="8"/>
      <c r="S214" s="8"/>
      <c r="T214" s="8"/>
      <c r="U214" s="8"/>
      <c r="V214" s="8"/>
      <c r="W214" s="8"/>
      <c r="X214" s="8"/>
      <c r="Y214" s="8"/>
      <c r="Z214" s="8"/>
    </row>
    <row r="215" spans="1:26" s="1777" customFormat="1" ht="58.5" customHeight="1">
      <c r="A215" s="2878"/>
      <c r="B215" s="2013"/>
      <c r="C215" s="102"/>
      <c r="D215" s="2820"/>
      <c r="E215" s="109"/>
      <c r="F215" s="103"/>
      <c r="G215" s="109"/>
      <c r="H215" s="2001"/>
      <c r="I215" s="1147"/>
      <c r="M215" s="2114"/>
      <c r="N215" s="1895"/>
      <c r="O215" s="2501"/>
      <c r="P215" s="1853"/>
      <c r="Q215" s="1853"/>
      <c r="R215" s="8"/>
      <c r="S215" s="8"/>
      <c r="T215" s="8"/>
      <c r="U215" s="8"/>
      <c r="V215" s="8"/>
      <c r="W215" s="8"/>
      <c r="X215" s="8"/>
      <c r="Y215" s="8"/>
      <c r="Z215" s="8"/>
    </row>
    <row r="216" spans="1:26" s="1777" customFormat="1" ht="58.5" customHeight="1"/>
    <row r="217" spans="1:26" s="1777" customFormat="1" ht="58.5" customHeight="1"/>
    <row r="218" spans="1:26" s="2167" customFormat="1" ht="70.5" customHeight="1"/>
    <row r="219" spans="1:26" s="2167" customFormat="1" ht="59.25" customHeight="1"/>
    <row r="220" spans="1:26" s="2167" customFormat="1" ht="59.25" customHeight="1"/>
    <row r="221" spans="1:26" s="2167" customFormat="1" ht="59.25" customHeight="1"/>
    <row r="222" spans="1:26" s="1777" customFormat="1" ht="70.5" customHeight="1"/>
    <row r="223" spans="1:26" s="1777" customFormat="1" ht="58.5" customHeight="1"/>
    <row r="224" spans="1:26" s="1777" customFormat="1" ht="58.5" customHeight="1"/>
    <row r="225" spans="1:17" s="2167" customFormat="1" ht="58.5" customHeight="1"/>
    <row r="226" spans="1:17" s="1777" customFormat="1" ht="58.5" customHeight="1">
      <c r="A226" s="2814"/>
      <c r="B226" s="2013"/>
      <c r="C226" s="2167"/>
      <c r="D226" s="1167"/>
      <c r="E226" s="1030"/>
      <c r="F226" s="102"/>
      <c r="G226" s="109"/>
      <c r="H226" s="109"/>
      <c r="I226" s="102"/>
      <c r="J226" s="109"/>
      <c r="K226" s="696"/>
      <c r="L226" s="2216"/>
      <c r="M226" s="109"/>
      <c r="N226" s="102"/>
      <c r="O226" s="2389"/>
      <c r="P226" s="1853"/>
      <c r="Q226" s="1853"/>
    </row>
    <row r="227" spans="1:17" s="1777" customFormat="1" ht="58.5" customHeight="1">
      <c r="A227" s="2814"/>
      <c r="B227" s="2013"/>
      <c r="C227" s="2167"/>
      <c r="D227" s="1167"/>
      <c r="E227" s="1030"/>
      <c r="F227" s="102"/>
      <c r="G227" s="109"/>
      <c r="H227" s="109"/>
      <c r="I227" s="109"/>
      <c r="J227" s="109"/>
      <c r="K227" s="143"/>
      <c r="L227" s="2216"/>
      <c r="M227" s="1853"/>
      <c r="N227" s="102"/>
      <c r="O227" s="2389"/>
      <c r="P227" s="1853"/>
      <c r="Q227" s="1853"/>
    </row>
    <row r="228" spans="1:17" s="1777" customFormat="1" ht="58.5" customHeight="1">
      <c r="A228" s="2814"/>
      <c r="B228" s="2013"/>
      <c r="C228" s="2167"/>
      <c r="D228" s="1167"/>
      <c r="E228" s="1030"/>
      <c r="F228" s="102"/>
      <c r="G228" s="109"/>
      <c r="H228" s="109"/>
      <c r="I228" s="109"/>
      <c r="J228" s="109"/>
      <c r="K228" s="143"/>
      <c r="L228" s="2216"/>
      <c r="M228" s="1853"/>
      <c r="N228" s="102"/>
      <c r="O228" s="2389"/>
      <c r="P228" s="1853"/>
      <c r="Q228" s="1853"/>
    </row>
    <row r="229" spans="1:17" s="1777" customFormat="1" ht="58.5" customHeight="1">
      <c r="A229" s="2814"/>
      <c r="B229" s="2013"/>
      <c r="C229" s="2167"/>
      <c r="D229" s="1167"/>
      <c r="E229" s="1030"/>
      <c r="F229" s="102"/>
      <c r="G229" s="109"/>
      <c r="H229" s="109"/>
      <c r="I229" s="109"/>
      <c r="J229" s="109"/>
      <c r="K229" s="143"/>
      <c r="L229" s="2216"/>
      <c r="M229" s="1853"/>
      <c r="N229" s="102"/>
      <c r="O229" s="2389"/>
      <c r="P229" s="1853"/>
      <c r="Q229" s="1853"/>
    </row>
    <row r="230" spans="1:17" s="1777" customFormat="1" ht="58.5" customHeight="1">
      <c r="A230" s="2814"/>
      <c r="B230" s="2013"/>
      <c r="C230" s="2167"/>
      <c r="D230" s="1167"/>
      <c r="E230" s="1030"/>
      <c r="F230" s="102"/>
      <c r="G230" s="109"/>
      <c r="H230" s="109"/>
      <c r="I230" s="102"/>
      <c r="J230" s="109"/>
      <c r="K230" s="143"/>
      <c r="L230" s="2216"/>
      <c r="M230" s="1853"/>
      <c r="N230" s="102"/>
      <c r="O230" s="2389"/>
      <c r="P230" s="1853"/>
      <c r="Q230" s="102"/>
    </row>
    <row r="231" spans="1:17" s="1777" customFormat="1" ht="58.5" customHeight="1">
      <c r="A231" s="2814"/>
      <c r="B231" s="2013"/>
      <c r="C231" s="2167"/>
      <c r="D231" s="1167"/>
      <c r="E231" s="1030"/>
      <c r="F231" s="102"/>
      <c r="G231" s="109"/>
      <c r="H231" s="109"/>
      <c r="I231" s="102"/>
      <c r="J231" s="109"/>
      <c r="K231" s="143"/>
      <c r="L231" s="2216"/>
      <c r="M231" s="2446"/>
      <c r="N231" s="102"/>
      <c r="O231" s="2389"/>
      <c r="P231" s="1853"/>
      <c r="Q231" s="1853"/>
    </row>
    <row r="232" spans="1:17" s="1777" customFormat="1" ht="58.5" customHeight="1">
      <c r="A232" s="2814"/>
      <c r="B232" s="2013"/>
      <c r="C232" s="2167"/>
      <c r="D232" s="1167"/>
      <c r="E232" s="1030"/>
      <c r="F232" s="102"/>
      <c r="G232" s="109"/>
      <c r="H232" s="109"/>
      <c r="I232" s="102"/>
      <c r="J232" s="109"/>
      <c r="K232" s="143"/>
      <c r="L232" s="2216"/>
      <c r="M232" s="109"/>
      <c r="N232" s="102"/>
      <c r="O232" s="2389"/>
      <c r="P232" s="1853"/>
      <c r="Q232" s="1924"/>
    </row>
    <row r="233" spans="1:17" s="1777" customFormat="1" ht="58.5" customHeight="1">
      <c r="A233" s="2814"/>
      <c r="B233" s="2013"/>
      <c r="C233" s="2167"/>
      <c r="D233" s="1167"/>
      <c r="E233" s="1030"/>
      <c r="F233" s="102"/>
      <c r="G233" s="109"/>
      <c r="H233" s="109"/>
      <c r="I233" s="102"/>
      <c r="J233" s="109"/>
      <c r="K233" s="1706"/>
      <c r="L233" s="2216"/>
      <c r="M233" s="109"/>
      <c r="N233" s="102"/>
      <c r="O233" s="2389"/>
      <c r="P233" s="1853"/>
      <c r="Q233" s="102"/>
    </row>
    <row r="234" spans="1:17" s="1777" customFormat="1" ht="58.5" customHeight="1">
      <c r="A234" s="2814"/>
      <c r="B234" s="2013"/>
      <c r="C234" s="2167"/>
      <c r="D234" s="1167"/>
      <c r="E234" s="1030"/>
      <c r="F234" s="102"/>
      <c r="G234" s="109"/>
      <c r="H234" s="109"/>
      <c r="I234" s="102"/>
      <c r="J234" s="109"/>
      <c r="K234" s="143"/>
      <c r="L234" s="2216"/>
      <c r="M234" s="1853"/>
      <c r="N234" s="102"/>
      <c r="O234" s="2389"/>
      <c r="P234" s="1853"/>
      <c r="Q234" s="1853"/>
    </row>
    <row r="235" spans="1:17" s="2167" customFormat="1" ht="58.5" customHeight="1">
      <c r="A235" s="2814"/>
      <c r="B235" s="2013"/>
      <c r="D235" s="2731"/>
      <c r="E235" s="1149"/>
      <c r="F235" s="1895"/>
      <c r="G235" s="2114"/>
      <c r="H235" s="2114"/>
      <c r="I235" s="1895"/>
      <c r="J235" s="2114"/>
      <c r="K235" s="2173"/>
      <c r="L235" s="2500"/>
      <c r="M235" s="2114"/>
      <c r="N235" s="1895"/>
      <c r="O235" s="2501"/>
      <c r="P235" s="1853"/>
      <c r="Q235" s="1853"/>
    </row>
    <row r="236" spans="1:17" s="1777" customFormat="1" ht="58.5" customHeight="1">
      <c r="A236" s="2814"/>
      <c r="B236" s="2013"/>
      <c r="D236" s="1167"/>
      <c r="E236" s="1030"/>
      <c r="F236" s="102"/>
      <c r="G236" s="109"/>
      <c r="H236" s="109"/>
      <c r="I236" s="102"/>
      <c r="J236" s="109"/>
      <c r="K236" s="143"/>
      <c r="L236" s="2216"/>
      <c r="M236" s="1853"/>
      <c r="N236" s="102"/>
      <c r="O236" s="2389"/>
      <c r="P236" s="1853"/>
      <c r="Q236" s="1853"/>
    </row>
    <row r="237" spans="1:17" s="2167" customFormat="1" ht="58.5" customHeight="1">
      <c r="A237" s="2832"/>
      <c r="B237" s="2013"/>
      <c r="D237" s="2731"/>
      <c r="E237" s="1149"/>
      <c r="F237" s="1895"/>
      <c r="G237" s="2114"/>
      <c r="H237" s="2114"/>
      <c r="I237" s="1895"/>
      <c r="J237" s="2114"/>
      <c r="K237" s="2618"/>
      <c r="L237" s="2500"/>
      <c r="M237" s="2446"/>
      <c r="N237" s="1895"/>
      <c r="O237" s="2501"/>
      <c r="P237" s="102"/>
      <c r="Q237" s="1853"/>
    </row>
    <row r="238" spans="1:17" s="2167" customFormat="1" ht="58.5" customHeight="1">
      <c r="A238" s="2832"/>
      <c r="B238" s="2013"/>
      <c r="C238" s="1777"/>
      <c r="D238" s="1167"/>
      <c r="E238" s="1030"/>
      <c r="F238" s="102"/>
      <c r="G238" s="109"/>
      <c r="H238" s="109"/>
      <c r="I238" s="102"/>
      <c r="J238" s="109"/>
      <c r="K238" s="143"/>
      <c r="L238" s="2216"/>
      <c r="M238" s="102"/>
      <c r="N238" s="102"/>
      <c r="O238" s="2389"/>
      <c r="P238" s="1853"/>
      <c r="Q238" s="1853"/>
    </row>
    <row r="239" spans="1:17" s="2167" customFormat="1" ht="58.5" customHeight="1">
      <c r="A239" s="2814"/>
      <c r="B239" s="2013"/>
      <c r="D239" s="2731"/>
      <c r="E239" s="1149"/>
      <c r="F239" s="1895"/>
      <c r="G239" s="2114"/>
      <c r="H239" s="2114"/>
      <c r="I239" s="1895"/>
      <c r="J239" s="2114"/>
      <c r="K239" s="2173"/>
      <c r="L239" s="2500"/>
      <c r="M239" s="2114"/>
      <c r="N239" s="1895"/>
      <c r="O239" s="2501"/>
      <c r="P239" s="1853"/>
      <c r="Q239" s="1853"/>
    </row>
    <row r="240" spans="1:17" s="2167" customFormat="1" ht="58.5" customHeight="1">
      <c r="A240" s="2832"/>
      <c r="B240" s="2013"/>
      <c r="C240" s="2783"/>
      <c r="D240" s="2784"/>
      <c r="E240" s="2823"/>
      <c r="F240" s="2542"/>
      <c r="G240" s="1216"/>
      <c r="H240" s="1216"/>
      <c r="I240" s="1216"/>
      <c r="J240" s="2542"/>
      <c r="K240" s="2501"/>
      <c r="L240" s="2785"/>
      <c r="M240" s="1772"/>
      <c r="N240" s="2542"/>
      <c r="O240" s="1216"/>
      <c r="P240" s="1853"/>
      <c r="Q240" s="1853"/>
    </row>
    <row r="241" spans="1:17" s="2167" customFormat="1" ht="58.5" customHeight="1">
      <c r="A241" s="2832"/>
      <c r="B241" s="2013"/>
      <c r="C241" s="2783"/>
      <c r="D241" s="2784"/>
      <c r="E241" s="2823"/>
      <c r="F241" s="2542"/>
      <c r="G241" s="1216"/>
      <c r="H241" s="1216"/>
      <c r="I241" s="1216"/>
      <c r="J241" s="2542"/>
      <c r="K241" s="2501"/>
      <c r="L241" s="2785"/>
      <c r="M241" s="1772"/>
      <c r="N241" s="2542"/>
      <c r="O241" s="1216"/>
      <c r="P241" s="1853"/>
      <c r="Q241" s="1853"/>
    </row>
    <row r="242" spans="1:17" s="2167" customFormat="1" ht="58.5" customHeight="1">
      <c r="A242" s="2832"/>
      <c r="B242" s="2013"/>
      <c r="C242" s="2783"/>
      <c r="D242" s="2784"/>
      <c r="E242" s="2823"/>
      <c r="F242" s="2542"/>
      <c r="G242" s="1216"/>
      <c r="H242" s="1216"/>
      <c r="I242" s="1216"/>
      <c r="J242" s="2542"/>
      <c r="K242" s="2501"/>
      <c r="L242" s="2785"/>
      <c r="M242" s="1772"/>
      <c r="N242" s="2542"/>
      <c r="O242" s="1216"/>
      <c r="P242" s="1853"/>
      <c r="Q242" s="102"/>
    </row>
    <row r="243" spans="1:17" s="1777" customFormat="1" ht="58.5" customHeight="1">
      <c r="A243" s="2832"/>
      <c r="B243" s="2013"/>
      <c r="C243" s="1623"/>
      <c r="D243" s="2070"/>
      <c r="E243" s="2822"/>
      <c r="F243" s="144"/>
      <c r="G243" s="111"/>
      <c r="H243" s="111"/>
      <c r="I243" s="111"/>
      <c r="J243" s="111"/>
      <c r="K243" s="1622"/>
      <c r="L243" s="2799"/>
      <c r="M243" s="2172"/>
      <c r="N243" s="144"/>
      <c r="O243" s="2650"/>
      <c r="P243" s="1924"/>
      <c r="Q243" s="2225"/>
    </row>
    <row r="244" spans="1:17" s="1777" customFormat="1" ht="58.5" customHeight="1">
      <c r="A244" s="2832"/>
      <c r="B244" s="2013"/>
      <c r="C244" s="1623"/>
      <c r="D244" s="2070"/>
      <c r="E244" s="2822"/>
      <c r="F244" s="144"/>
      <c r="G244" s="111"/>
      <c r="H244" s="111"/>
      <c r="I244" s="111"/>
      <c r="J244" s="111"/>
      <c r="K244" s="1622"/>
      <c r="L244" s="2799"/>
      <c r="M244" s="2172"/>
      <c r="N244" s="144"/>
      <c r="O244" s="2650"/>
      <c r="P244" s="1924"/>
      <c r="Q244" s="2225"/>
    </row>
    <row r="245" spans="1:17" s="1777" customFormat="1" ht="58.5" customHeight="1">
      <c r="A245" s="2832"/>
      <c r="B245" s="2013"/>
      <c r="C245" s="1623"/>
      <c r="D245" s="2070"/>
      <c r="E245" s="2822"/>
      <c r="F245" s="144"/>
      <c r="G245" s="111"/>
      <c r="H245" s="111"/>
      <c r="I245" s="111"/>
      <c r="J245" s="111"/>
      <c r="K245" s="1622"/>
      <c r="L245" s="2799"/>
      <c r="M245" s="2172"/>
      <c r="N245" s="144"/>
      <c r="O245" s="2650"/>
      <c r="P245" s="1924"/>
      <c r="Q245" s="2884"/>
    </row>
    <row r="246" spans="1:17" s="1777" customFormat="1" ht="58.5" customHeight="1">
      <c r="A246" s="2832"/>
      <c r="B246" s="2013"/>
      <c r="C246" s="1623"/>
      <c r="D246" s="2070"/>
      <c r="E246" s="2822"/>
      <c r="F246" s="144"/>
      <c r="G246" s="111"/>
      <c r="H246" s="111"/>
      <c r="I246" s="111"/>
      <c r="J246" s="111"/>
      <c r="K246" s="1622"/>
      <c r="L246" s="2799"/>
      <c r="M246" s="2172"/>
      <c r="N246" s="144"/>
      <c r="O246" s="2650"/>
      <c r="P246" s="1924"/>
      <c r="Q246" s="2786"/>
    </row>
    <row r="247" spans="1:17" s="1777" customFormat="1" ht="58.5" customHeight="1">
      <c r="A247" s="2832"/>
      <c r="B247" s="2013"/>
      <c r="D247" s="1148"/>
      <c r="E247" s="1030"/>
      <c r="F247" s="144"/>
      <c r="G247" s="109"/>
      <c r="H247" s="109"/>
      <c r="I247" s="102"/>
      <c r="J247" s="109"/>
      <c r="K247" s="143"/>
      <c r="L247" s="2644"/>
      <c r="M247" s="109"/>
      <c r="N247" s="102"/>
      <c r="O247" s="2389"/>
      <c r="P247" s="1853"/>
      <c r="Q247" s="2794"/>
    </row>
    <row r="248" spans="1:17" s="1777" customFormat="1" ht="58.5" customHeight="1">
      <c r="A248" s="2832"/>
      <c r="B248" s="2013"/>
      <c r="D248" s="1148"/>
      <c r="E248" s="1030"/>
      <c r="F248" s="144"/>
      <c r="G248" s="109"/>
      <c r="H248" s="109"/>
      <c r="I248" s="102"/>
      <c r="J248" s="109"/>
      <c r="K248" s="143"/>
      <c r="L248" s="2644"/>
      <c r="M248" s="102"/>
      <c r="N248" s="102"/>
      <c r="O248" s="2389"/>
      <c r="P248" s="1853"/>
      <c r="Q248" s="1790"/>
    </row>
    <row r="249" spans="1:17" s="1777" customFormat="1" ht="58.5" customHeight="1">
      <c r="A249" s="2832"/>
      <c r="B249" s="2013"/>
      <c r="D249" s="1148"/>
      <c r="E249" s="1030"/>
      <c r="F249" s="144"/>
      <c r="G249" s="109"/>
      <c r="H249" s="109"/>
      <c r="I249" s="109"/>
      <c r="J249" s="109"/>
      <c r="K249" s="143"/>
      <c r="L249" s="2644"/>
      <c r="M249" s="1853"/>
      <c r="N249" s="102"/>
      <c r="O249" s="2389"/>
      <c r="P249" s="1853"/>
      <c r="Q249" s="1790"/>
    </row>
    <row r="250" spans="1:17" s="1777" customFormat="1" ht="58.5" customHeight="1">
      <c r="A250" s="2832"/>
      <c r="B250" s="2013"/>
      <c r="D250" s="1148"/>
      <c r="E250" s="1030"/>
      <c r="F250" s="144"/>
      <c r="G250" s="109"/>
      <c r="H250" s="109"/>
      <c r="I250" s="109"/>
      <c r="J250" s="109"/>
      <c r="K250" s="143"/>
      <c r="L250" s="2644"/>
      <c r="M250" s="1853"/>
      <c r="N250" s="102"/>
      <c r="O250" s="2389"/>
      <c r="P250" s="1853"/>
      <c r="Q250" s="1790"/>
    </row>
    <row r="251" spans="1:17" s="1777" customFormat="1" ht="58.5" customHeight="1">
      <c r="A251" s="2832"/>
      <c r="B251" s="2013"/>
      <c r="D251" s="1148"/>
      <c r="E251" s="1030"/>
      <c r="F251" s="144"/>
      <c r="G251" s="109"/>
      <c r="H251" s="109"/>
      <c r="I251" s="109"/>
      <c r="J251" s="109"/>
      <c r="K251" s="143"/>
      <c r="L251" s="2644"/>
      <c r="M251" s="1853"/>
      <c r="N251" s="102"/>
      <c r="O251" s="2389"/>
      <c r="P251" s="1853"/>
      <c r="Q251" s="1790"/>
    </row>
    <row r="252" spans="1:17" s="1777" customFormat="1" ht="58.5" customHeight="1">
      <c r="A252" s="2832"/>
      <c r="B252" s="2013"/>
      <c r="D252" s="1148"/>
      <c r="E252" s="1030"/>
      <c r="F252" s="102"/>
      <c r="G252" s="109"/>
      <c r="H252" s="109"/>
      <c r="I252" s="102"/>
      <c r="J252" s="109"/>
      <c r="K252" s="143"/>
      <c r="L252" s="2644"/>
      <c r="M252" s="102"/>
      <c r="N252" s="102"/>
      <c r="O252" s="2389"/>
      <c r="P252" s="1853"/>
      <c r="Q252" s="1790"/>
    </row>
    <row r="253" spans="1:17" s="1777" customFormat="1" ht="58.5" customHeight="1">
      <c r="A253" s="2832"/>
      <c r="B253" s="2013"/>
      <c r="D253" s="1148"/>
      <c r="E253" s="1030"/>
      <c r="F253" s="102"/>
      <c r="G253" s="109"/>
      <c r="H253" s="109"/>
      <c r="I253" s="102"/>
      <c r="J253" s="109"/>
      <c r="K253" s="143"/>
      <c r="L253" s="2644"/>
      <c r="M253" s="1853"/>
      <c r="N253" s="102"/>
      <c r="O253" s="2389"/>
      <c r="P253" s="1853"/>
      <c r="Q253" s="1790"/>
    </row>
    <row r="254" spans="1:17" s="1777" customFormat="1" ht="58.5" customHeight="1">
      <c r="A254" s="2832"/>
      <c r="B254" s="2013"/>
      <c r="C254" s="2167"/>
      <c r="F254" s="102"/>
      <c r="I254" s="102"/>
      <c r="J254" s="102"/>
      <c r="K254" s="1030"/>
      <c r="L254" s="2790"/>
      <c r="M254" s="1853"/>
      <c r="P254" s="102"/>
      <c r="Q254" s="1790"/>
    </row>
    <row r="255" spans="1:17" s="1777" customFormat="1" ht="58.5" customHeight="1">
      <c r="A255" s="874"/>
      <c r="B255" s="111"/>
      <c r="D255" s="1148"/>
      <c r="E255" s="1030"/>
      <c r="F255" s="102"/>
      <c r="G255" s="109"/>
      <c r="H255" s="109"/>
      <c r="I255" s="109"/>
      <c r="J255" s="109"/>
      <c r="K255" s="143"/>
      <c r="L255" s="2644"/>
      <c r="M255" s="1853"/>
      <c r="N255" s="102"/>
      <c r="O255" s="2389"/>
      <c r="P255" s="1853"/>
      <c r="Q255" s="1790"/>
    </row>
    <row r="256" spans="1:17" s="1777" customFormat="1" ht="58.5" customHeight="1">
      <c r="A256" s="1344"/>
      <c r="B256" s="111"/>
      <c r="C256" s="1623"/>
      <c r="D256" s="2070"/>
      <c r="E256" s="2822"/>
      <c r="F256" s="144"/>
      <c r="G256" s="111"/>
      <c r="H256" s="111"/>
      <c r="I256" s="111"/>
      <c r="J256" s="111"/>
      <c r="K256" s="1622"/>
      <c r="L256" s="2799"/>
      <c r="M256" s="1924"/>
      <c r="N256" s="144"/>
      <c r="O256" s="2650"/>
      <c r="P256" s="1924"/>
      <c r="Q256" s="1790"/>
    </row>
    <row r="257" spans="1:17" s="1777" customFormat="1" ht="58.5" customHeight="1">
      <c r="B257" s="2742"/>
      <c r="I257" s="102"/>
      <c r="J257" s="102"/>
      <c r="L257" s="2790"/>
      <c r="M257" s="1853"/>
      <c r="P257" s="102"/>
      <c r="Q257" s="1493"/>
    </row>
    <row r="258" spans="1:17" s="1777" customFormat="1" ht="58.5" customHeight="1">
      <c r="B258" s="2742"/>
      <c r="I258" s="102"/>
      <c r="J258" s="102"/>
      <c r="L258" s="2790"/>
      <c r="M258" s="1853"/>
      <c r="O258" s="2389"/>
      <c r="P258" s="1853"/>
      <c r="Q258" s="1493"/>
    </row>
    <row r="259" spans="1:17" s="1777" customFormat="1" ht="58.5" customHeight="1">
      <c r="A259" s="738"/>
      <c r="B259" s="111"/>
      <c r="D259" s="1167"/>
      <c r="E259" s="1030"/>
      <c r="F259" s="102"/>
      <c r="G259" s="109"/>
      <c r="H259" s="109"/>
      <c r="I259" s="102"/>
      <c r="J259" s="109"/>
      <c r="K259" s="143"/>
      <c r="L259" s="2216"/>
      <c r="M259" s="109"/>
      <c r="N259" s="102"/>
      <c r="O259" s="2389"/>
      <c r="P259" s="1853"/>
      <c r="Q259" s="1493"/>
    </row>
    <row r="260" spans="1:17" s="1777" customFormat="1" ht="58.5" customHeight="1">
      <c r="A260" s="738"/>
      <c r="B260" s="111"/>
      <c r="D260" s="1167"/>
      <c r="E260" s="1030"/>
      <c r="F260" s="102"/>
      <c r="G260" s="109"/>
      <c r="H260" s="109"/>
      <c r="I260" s="102"/>
      <c r="J260" s="109"/>
      <c r="K260" s="143"/>
      <c r="L260" s="2216"/>
      <c r="M260" s="109"/>
      <c r="N260" s="102"/>
      <c r="O260" s="2389"/>
      <c r="P260" s="1853"/>
      <c r="Q260" s="1790"/>
    </row>
    <row r="261" spans="1:17" s="1777" customFormat="1" ht="58.5" customHeight="1">
      <c r="A261" s="738"/>
      <c r="B261" s="111"/>
      <c r="D261" s="1167"/>
      <c r="E261" s="1030"/>
      <c r="F261" s="102"/>
      <c r="G261" s="109"/>
      <c r="H261" s="109"/>
      <c r="I261" s="102"/>
      <c r="J261" s="109"/>
      <c r="K261" s="143"/>
      <c r="L261" s="2216"/>
      <c r="M261" s="109"/>
      <c r="N261" s="102"/>
      <c r="O261" s="2389"/>
      <c r="P261" s="1853"/>
      <c r="Q261" s="1790"/>
    </row>
    <row r="262" spans="1:17" s="1777" customFormat="1" ht="58.5" customHeight="1">
      <c r="A262" s="738"/>
      <c r="B262" s="111"/>
      <c r="D262" s="1167"/>
      <c r="E262" s="1030"/>
      <c r="F262" s="102"/>
      <c r="G262" s="109"/>
      <c r="H262" s="109"/>
      <c r="I262" s="102"/>
      <c r="J262" s="109"/>
      <c r="K262" s="696"/>
      <c r="L262" s="2216"/>
      <c r="M262" s="109"/>
      <c r="N262" s="102"/>
      <c r="O262" s="157"/>
      <c r="P262" s="1853"/>
      <c r="Q262" s="1790"/>
    </row>
    <row r="263" spans="1:17" s="1777" customFormat="1" ht="58.5" customHeight="1">
      <c r="A263" s="738"/>
      <c r="B263" s="111"/>
      <c r="D263" s="1167"/>
      <c r="E263" s="1030"/>
      <c r="F263" s="102"/>
      <c r="G263" s="109"/>
      <c r="H263" s="109"/>
      <c r="I263" s="102"/>
      <c r="J263" s="109"/>
      <c r="K263" s="143"/>
      <c r="L263" s="2216"/>
      <c r="M263" s="109"/>
      <c r="N263" s="102"/>
      <c r="O263" s="2389"/>
      <c r="P263" s="1853"/>
      <c r="Q263" s="1790"/>
    </row>
    <row r="264" spans="1:17" s="1777" customFormat="1" ht="58.5" customHeight="1">
      <c r="A264" s="738"/>
      <c r="B264" s="111"/>
      <c r="D264" s="1167"/>
      <c r="E264" s="1030"/>
      <c r="F264" s="102"/>
      <c r="G264" s="109"/>
      <c r="H264" s="109"/>
      <c r="I264" s="102"/>
      <c r="J264" s="109"/>
      <c r="K264" s="696"/>
      <c r="L264" s="2216"/>
      <c r="M264" s="102"/>
      <c r="N264" s="102"/>
      <c r="O264" s="2389"/>
      <c r="P264" s="1853"/>
      <c r="Q264" s="1790"/>
    </row>
    <row r="265" spans="1:17" s="1777" customFormat="1" ht="58.5" customHeight="1">
      <c r="A265" s="738"/>
      <c r="B265" s="111"/>
      <c r="D265" s="1167"/>
      <c r="E265" s="1030"/>
      <c r="F265" s="102"/>
      <c r="G265" s="109"/>
      <c r="H265" s="109"/>
      <c r="I265" s="102"/>
      <c r="J265" s="109"/>
      <c r="K265" s="696"/>
      <c r="L265" s="2216"/>
      <c r="M265" s="102"/>
      <c r="N265" s="102"/>
      <c r="O265" s="2389"/>
      <c r="P265" s="1853"/>
      <c r="Q265" s="1790"/>
    </row>
    <row r="266" spans="1:17" ht="58.5" customHeight="1">
      <c r="A266" s="1777"/>
      <c r="B266" s="111"/>
      <c r="C266" s="1777"/>
      <c r="D266" s="1777"/>
      <c r="E266" s="1777"/>
      <c r="F266" s="1777"/>
      <c r="G266" s="1777"/>
      <c r="H266" s="1777"/>
      <c r="I266" s="102"/>
      <c r="J266" s="102"/>
      <c r="K266" s="1777"/>
      <c r="L266" s="2790"/>
      <c r="M266" s="2446"/>
      <c r="N266" s="1777"/>
      <c r="O266" s="1777"/>
      <c r="P266" s="102"/>
      <c r="Q266" s="1790"/>
    </row>
    <row r="267" spans="1:17" ht="58.5" customHeight="1">
      <c r="Q267" s="1790"/>
    </row>
    <row r="268" spans="1:17" ht="58.5" customHeight="1">
      <c r="Q268" s="1790"/>
    </row>
    <row r="269" spans="1:17" ht="58.5" customHeight="1">
      <c r="Q269" s="1790"/>
    </row>
    <row r="270" spans="1:17" ht="58.5" customHeight="1">
      <c r="Q270" s="1790"/>
    </row>
    <row r="271" spans="1:17" ht="58.5" customHeight="1">
      <c r="Q271" s="1790"/>
    </row>
    <row r="272" spans="1:17" ht="58.5" customHeight="1">
      <c r="Q272" s="1790"/>
    </row>
    <row r="273" spans="17:17" ht="58.5" customHeight="1">
      <c r="Q273" s="1790"/>
    </row>
    <row r="274" spans="17:17" ht="58.5" customHeight="1">
      <c r="Q274" s="1790"/>
    </row>
    <row r="275" spans="17:17" ht="58.5" customHeight="1">
      <c r="Q275" s="1790"/>
    </row>
    <row r="276" spans="17:17" ht="58.5" customHeight="1">
      <c r="Q276" s="1790"/>
    </row>
    <row r="277" spans="17:17" ht="58.5" customHeight="1">
      <c r="Q277" s="1790"/>
    </row>
    <row r="278" spans="17:17" ht="58.5" customHeight="1">
      <c r="Q278" s="1790"/>
    </row>
    <row r="279" spans="17:17" ht="58.5" customHeight="1">
      <c r="Q279" s="1790"/>
    </row>
    <row r="280" spans="17:17" ht="58.5" customHeight="1">
      <c r="Q280" s="1790"/>
    </row>
    <row r="281" spans="17:17" ht="58.5" customHeight="1">
      <c r="Q281" s="1790"/>
    </row>
    <row r="282" spans="17:17" ht="58.5" customHeight="1">
      <c r="Q282" s="1790"/>
    </row>
    <row r="283" spans="17:17" ht="58.5" customHeight="1">
      <c r="Q283" s="1790"/>
    </row>
    <row r="284" spans="17:17" ht="58.5" customHeight="1">
      <c r="Q284" s="1790"/>
    </row>
    <row r="285" spans="17:17" ht="58.5" customHeight="1">
      <c r="Q285" s="1790"/>
    </row>
    <row r="286" spans="17:17" ht="58.5" customHeight="1">
      <c r="Q286" s="1790"/>
    </row>
    <row r="287" spans="17:17" ht="58.5" customHeight="1">
      <c r="Q287" s="1790"/>
    </row>
    <row r="288" spans="17:17" ht="58.5" customHeight="1">
      <c r="Q288" s="1790"/>
    </row>
    <row r="289" spans="17:17" ht="58.5" customHeight="1">
      <c r="Q289" s="1790"/>
    </row>
    <row r="290" spans="17:17" ht="58.5" customHeight="1">
      <c r="Q290" s="1790"/>
    </row>
    <row r="291" spans="17:17" ht="58.5" customHeight="1">
      <c r="Q291" s="1790"/>
    </row>
    <row r="292" spans="17:17" ht="58.5" customHeight="1">
      <c r="Q292" s="1790"/>
    </row>
    <row r="293" spans="17:17" ht="58.5" customHeight="1">
      <c r="Q293" s="1790"/>
    </row>
    <row r="294" spans="17:17" ht="58.5" customHeight="1">
      <c r="Q294" s="1790"/>
    </row>
    <row r="295" spans="17:17" ht="58.5" customHeight="1">
      <c r="Q295" s="1790"/>
    </row>
    <row r="296" spans="17:17" ht="58.5" customHeight="1">
      <c r="Q296" s="1790"/>
    </row>
    <row r="297" spans="17:17" ht="58.5" customHeight="1">
      <c r="Q297" s="1790"/>
    </row>
    <row r="298" spans="17:17" ht="58.5" customHeight="1">
      <c r="Q298" s="1790"/>
    </row>
    <row r="299" spans="17:17" ht="58.5" customHeight="1">
      <c r="Q299" s="1790"/>
    </row>
    <row r="300" spans="17:17" ht="58.5" customHeight="1">
      <c r="Q300" s="1852"/>
    </row>
    <row r="301" spans="17:17" ht="58.5" customHeight="1">
      <c r="Q301" s="1790"/>
    </row>
    <row r="302" spans="17:17" ht="58.5" customHeight="1">
      <c r="Q302" s="1852"/>
    </row>
    <row r="303" spans="17:17" ht="58.5" customHeight="1">
      <c r="Q303" s="1790"/>
    </row>
    <row r="304" spans="17:17" ht="58.5" customHeight="1">
      <c r="Q304" s="1790"/>
    </row>
    <row r="305" spans="17:17" ht="58.5" customHeight="1">
      <c r="Q305" s="1882"/>
    </row>
    <row r="306" spans="17:17" ht="58.5" customHeight="1">
      <c r="Q306" s="1790"/>
    </row>
    <row r="307" spans="17:17" ht="58.5" customHeight="1">
      <c r="Q307" s="1790"/>
    </row>
    <row r="308" spans="17:17" ht="58.5" customHeight="1">
      <c r="Q308" s="1790"/>
    </row>
    <row r="309" spans="17:17" ht="58.5" customHeight="1">
      <c r="Q309" s="1790"/>
    </row>
    <row r="310" spans="17:17" ht="58.5" customHeight="1">
      <c r="Q310" s="1790"/>
    </row>
    <row r="311" spans="17:17" ht="58.5" customHeight="1">
      <c r="Q311" s="1790"/>
    </row>
    <row r="312" spans="17:17" ht="58.5" customHeight="1">
      <c r="Q312" s="1790"/>
    </row>
    <row r="313" spans="17:17" ht="58.5" customHeight="1">
      <c r="Q313" s="1790"/>
    </row>
    <row r="314" spans="17:17" ht="58.5" customHeight="1">
      <c r="Q314" s="1790"/>
    </row>
    <row r="315" spans="17:17" ht="58.5" customHeight="1">
      <c r="Q315" s="1790"/>
    </row>
    <row r="316" spans="17:17" ht="58.5" customHeight="1">
      <c r="Q316" s="1790"/>
    </row>
    <row r="317" spans="17:17" ht="58.5" customHeight="1">
      <c r="Q317" s="1790"/>
    </row>
    <row r="318" spans="17:17" ht="58.5" customHeight="1">
      <c r="Q318" s="1790"/>
    </row>
    <row r="319" spans="17:17" ht="58.5" customHeight="1">
      <c r="Q319" s="1790"/>
    </row>
    <row r="320" spans="17:17" ht="58.5" customHeight="1">
      <c r="Q320" s="1790"/>
    </row>
    <row r="321" spans="17:17" ht="58.5" customHeight="1">
      <c r="Q321" s="1790"/>
    </row>
    <row r="322" spans="17:17" ht="58.5" customHeight="1">
      <c r="Q322" s="1790"/>
    </row>
    <row r="323" spans="17:17" ht="58.5" customHeight="1">
      <c r="Q323" s="1790"/>
    </row>
    <row r="324" spans="17:17" ht="58.5" customHeight="1">
      <c r="Q324" s="1790"/>
    </row>
    <row r="325" spans="17:17" ht="58.5" customHeight="1">
      <c r="Q325" s="1790"/>
    </row>
    <row r="326" spans="17:17" ht="58.5" customHeight="1">
      <c r="Q326" s="1790"/>
    </row>
    <row r="327" spans="17:17" ht="58.5" customHeight="1">
      <c r="Q327" s="1790"/>
    </row>
    <row r="328" spans="17:17" ht="58.5" customHeight="1">
      <c r="Q328" s="1790"/>
    </row>
    <row r="329" spans="17:17" ht="58.5" customHeight="1">
      <c r="Q329" s="1790"/>
    </row>
    <row r="330" spans="17:17" ht="58.5" customHeight="1">
      <c r="Q330" s="1790"/>
    </row>
    <row r="331" spans="17:17" ht="58.5" customHeight="1">
      <c r="Q331" s="1790"/>
    </row>
    <row r="332" spans="17:17" ht="58.5" customHeight="1">
      <c r="Q332" s="1790"/>
    </row>
    <row r="333" spans="17:17" ht="58.5" customHeight="1">
      <c r="Q333" s="1790"/>
    </row>
    <row r="334" spans="17:17" ht="58.5" customHeight="1">
      <c r="Q334" s="1790"/>
    </row>
    <row r="335" spans="17:17" ht="58.5" customHeight="1">
      <c r="Q335" s="1790"/>
    </row>
    <row r="336" spans="17:17" ht="58.5" customHeight="1">
      <c r="Q336" s="1790"/>
    </row>
    <row r="337" spans="17:17" ht="58.5" customHeight="1">
      <c r="Q337" s="1790"/>
    </row>
    <row r="338" spans="17:17" ht="58.5" customHeight="1">
      <c r="Q338" s="1790"/>
    </row>
    <row r="339" spans="17:17" ht="58.5" customHeight="1">
      <c r="Q339" s="1790"/>
    </row>
    <row r="340" spans="17:17" ht="58.5" customHeight="1">
      <c r="Q340" s="1790"/>
    </row>
    <row r="341" spans="17:17" ht="58.5" customHeight="1">
      <c r="Q341" s="1790"/>
    </row>
    <row r="342" spans="17:17" ht="58.5" customHeight="1">
      <c r="Q342" s="1790"/>
    </row>
    <row r="343" spans="17:17" ht="58.5" customHeight="1">
      <c r="Q343" s="1790"/>
    </row>
    <row r="344" spans="17:17" ht="58.5" customHeight="1">
      <c r="Q344" s="1790"/>
    </row>
    <row r="345" spans="17:17" ht="58.5" customHeight="1">
      <c r="Q345" s="1790"/>
    </row>
    <row r="346" spans="17:17" ht="58.5" customHeight="1">
      <c r="Q346" s="1790"/>
    </row>
    <row r="347" spans="17:17" ht="58.5" customHeight="1">
      <c r="Q347" s="1790"/>
    </row>
    <row r="348" spans="17:17" ht="58.5" customHeight="1">
      <c r="Q348" s="1790"/>
    </row>
    <row r="349" spans="17:17" ht="58.5" customHeight="1">
      <c r="Q349" s="1790"/>
    </row>
    <row r="350" spans="17:17" ht="58.5" customHeight="1">
      <c r="Q350" s="1790"/>
    </row>
    <row r="351" spans="17:17" ht="58.5" customHeight="1">
      <c r="Q351" s="1790"/>
    </row>
    <row r="352" spans="17:17" ht="58.5" customHeight="1">
      <c r="Q352" s="1790"/>
    </row>
    <row r="353" spans="17:17" ht="58.5" customHeight="1">
      <c r="Q353" s="1790"/>
    </row>
    <row r="354" spans="17:17" ht="58.5" customHeight="1">
      <c r="Q354" s="1790"/>
    </row>
    <row r="355" spans="17:17" ht="58.5" customHeight="1">
      <c r="Q355" s="1790"/>
    </row>
    <row r="356" spans="17:17" ht="58.5" customHeight="1">
      <c r="Q356" s="1790"/>
    </row>
    <row r="357" spans="17:17" ht="58.5" customHeight="1">
      <c r="Q357" s="1790"/>
    </row>
    <row r="358" spans="17:17" ht="58.5" customHeight="1">
      <c r="Q358" s="1790"/>
    </row>
    <row r="359" spans="17:17" ht="58.5" customHeight="1">
      <c r="Q359" s="1790"/>
    </row>
    <row r="360" spans="17:17" ht="58.5" customHeight="1">
      <c r="Q360" s="1790"/>
    </row>
    <row r="361" spans="17:17" ht="58.5" customHeight="1">
      <c r="Q361" s="1790"/>
    </row>
    <row r="362" spans="17:17" ht="58.5" customHeight="1">
      <c r="Q362" s="1790"/>
    </row>
    <row r="363" spans="17:17" ht="58.5" customHeight="1">
      <c r="Q363" s="1790"/>
    </row>
    <row r="364" spans="17:17" ht="58.5" customHeight="1">
      <c r="Q364" s="1790"/>
    </row>
    <row r="365" spans="17:17" ht="58.5" customHeight="1">
      <c r="Q365" s="1790"/>
    </row>
    <row r="366" spans="17:17" ht="58.5" customHeight="1">
      <c r="Q366" s="1790"/>
    </row>
    <row r="367" spans="17:17" ht="58.5" customHeight="1">
      <c r="Q367" s="1493"/>
    </row>
    <row r="368" spans="17:17" ht="58.5" customHeight="1">
      <c r="Q368" s="1790"/>
    </row>
    <row r="369" spans="17:17" ht="58.5" customHeight="1">
      <c r="Q369" s="1790"/>
    </row>
    <row r="370" spans="17:17" ht="58.5" customHeight="1">
      <c r="Q370" s="1790"/>
    </row>
    <row r="371" spans="17:17" ht="58.5" customHeight="1">
      <c r="Q371" s="1790"/>
    </row>
    <row r="372" spans="17:17" ht="58.5" customHeight="1">
      <c r="Q372" s="1790"/>
    </row>
    <row r="373" spans="17:17" ht="58.5" customHeight="1">
      <c r="Q373" s="1790"/>
    </row>
    <row r="374" spans="17:17" ht="58.5" customHeight="1">
      <c r="Q374" s="1790"/>
    </row>
    <row r="375" spans="17:17" ht="58.5" customHeight="1">
      <c r="Q375" s="1790"/>
    </row>
    <row r="376" spans="17:17" ht="58.5" customHeight="1">
      <c r="Q376" s="1790"/>
    </row>
    <row r="377" spans="17:17" ht="58.5" customHeight="1">
      <c r="Q377" s="1790"/>
    </row>
    <row r="378" spans="17:17" ht="58.5" customHeight="1">
      <c r="Q378" s="1790"/>
    </row>
    <row r="379" spans="17:17" ht="58.5" customHeight="1">
      <c r="Q379" s="1790"/>
    </row>
    <row r="380" spans="17:17" ht="58.5" customHeight="1">
      <c r="Q380" s="1790"/>
    </row>
    <row r="381" spans="17:17" ht="58.5" customHeight="1">
      <c r="Q381" s="2085"/>
    </row>
    <row r="382" spans="17:17" ht="58.5" customHeight="1">
      <c r="Q382" s="2085"/>
    </row>
    <row r="383" spans="17:17" ht="58.5" customHeight="1">
      <c r="Q383" s="2085"/>
    </row>
    <row r="384" spans="17:17" ht="58.5" customHeight="1">
      <c r="Q384" s="2085"/>
    </row>
    <row r="385" spans="17:17" ht="58.5" customHeight="1">
      <c r="Q385" s="2085"/>
    </row>
    <row r="386" spans="17:17" ht="58.5" customHeight="1">
      <c r="Q386" s="2085"/>
    </row>
    <row r="387" spans="17:17" ht="58.5" customHeight="1">
      <c r="Q387" s="2085"/>
    </row>
    <row r="388" spans="17:17" ht="58.5" customHeight="1">
      <c r="Q388" s="2085"/>
    </row>
    <row r="389" spans="17:17" ht="58.5" customHeight="1">
      <c r="Q389" s="2085"/>
    </row>
    <row r="390" spans="17:17" ht="58.5" customHeight="1">
      <c r="Q390" s="2085"/>
    </row>
    <row r="391" spans="17:17" ht="58.5" customHeight="1">
      <c r="Q391" s="2085"/>
    </row>
    <row r="392" spans="17:17" ht="58.5" customHeight="1">
      <c r="Q392" s="2085"/>
    </row>
    <row r="393" spans="17:17" ht="58.5" customHeight="1">
      <c r="Q393" s="2085"/>
    </row>
    <row r="394" spans="17:17" ht="58.5" customHeight="1">
      <c r="Q394" s="2085"/>
    </row>
    <row r="395" spans="17:17" ht="58.5" customHeight="1">
      <c r="Q395" s="2085"/>
    </row>
    <row r="396" spans="17:17" ht="58.5" customHeight="1">
      <c r="Q396" s="1957"/>
    </row>
    <row r="397" spans="17:17" ht="58.5" customHeight="1">
      <c r="Q397" s="1957"/>
    </row>
    <row r="398" spans="17:17" ht="58.5" customHeight="1">
      <c r="Q398" s="1957"/>
    </row>
    <row r="399" spans="17:17" ht="58.5" customHeight="1">
      <c r="Q399" s="1957"/>
    </row>
    <row r="400" spans="17:17" ht="58.5" customHeight="1">
      <c r="Q400" s="1957"/>
    </row>
    <row r="401" spans="17:17" ht="58.5" customHeight="1">
      <c r="Q401" s="1957"/>
    </row>
    <row r="402" spans="17:17" ht="58.5" customHeight="1">
      <c r="Q402" s="1957"/>
    </row>
    <row r="403" spans="17:17" ht="58.5" customHeight="1">
      <c r="Q403" s="1957"/>
    </row>
    <row r="404" spans="17:17" ht="58.5" customHeight="1">
      <c r="Q404" s="1957"/>
    </row>
    <row r="405" spans="17:17" ht="58.5" customHeight="1">
      <c r="Q405" s="1957"/>
    </row>
    <row r="406" spans="17:17" ht="58.5" customHeight="1">
      <c r="Q406" s="1957"/>
    </row>
    <row r="407" spans="17:17" ht="58.5" customHeight="1">
      <c r="Q407" s="1957"/>
    </row>
    <row r="408" spans="17:17" ht="58.5" customHeight="1">
      <c r="Q408" s="1957"/>
    </row>
    <row r="409" spans="17:17" ht="58.5" customHeight="1">
      <c r="Q409" s="1957"/>
    </row>
    <row r="410" spans="17:17" ht="58.5" customHeight="1">
      <c r="Q410" s="1957"/>
    </row>
    <row r="411" spans="17:17" ht="58.5" customHeight="1">
      <c r="Q411" s="1957"/>
    </row>
    <row r="412" spans="17:17" ht="58.5" customHeight="1">
      <c r="Q412" s="1957"/>
    </row>
    <row r="413" spans="17:17" ht="58.5" customHeight="1">
      <c r="Q413" s="1853"/>
    </row>
    <row r="414" spans="17:17" ht="58.5" customHeight="1">
      <c r="Q414" s="1853"/>
    </row>
    <row r="415" spans="17:17" ht="58.5" customHeight="1">
      <c r="Q415" s="1853"/>
    </row>
    <row r="416" spans="17:17" ht="58.5" customHeight="1">
      <c r="Q416" s="1853"/>
    </row>
    <row r="417" spans="17:17" ht="58.5" customHeight="1">
      <c r="Q417" s="1853"/>
    </row>
    <row r="418" spans="17:17" ht="58.5" customHeight="1">
      <c r="Q418" s="1853"/>
    </row>
    <row r="419" spans="17:17" ht="58.5" customHeight="1">
      <c r="Q419" s="1853"/>
    </row>
    <row r="420" spans="17:17" ht="58.5" customHeight="1">
      <c r="Q420" s="1853"/>
    </row>
    <row r="421" spans="17:17" ht="58.5" customHeight="1">
      <c r="Q421" s="1853"/>
    </row>
    <row r="422" spans="17:17" ht="58.5" customHeight="1">
      <c r="Q422" s="1853"/>
    </row>
    <row r="423" spans="17:17" ht="58.5" customHeight="1">
      <c r="Q423" s="1853"/>
    </row>
    <row r="424" spans="17:17" ht="58.5" customHeight="1">
      <c r="Q424" s="1853"/>
    </row>
    <row r="425" spans="17:17" ht="58.5" customHeight="1">
      <c r="Q425" s="1853"/>
    </row>
    <row r="426" spans="17:17" ht="58.5" customHeight="1">
      <c r="Q426" s="1853"/>
    </row>
    <row r="427" spans="17:17" ht="58.5" customHeight="1">
      <c r="Q427" s="1853"/>
    </row>
    <row r="428" spans="17:17" ht="58.5" customHeight="1">
      <c r="Q428" s="1853"/>
    </row>
    <row r="429" spans="17:17" ht="58.5" customHeight="1">
      <c r="Q429" s="1853"/>
    </row>
    <row r="430" spans="17:17" ht="58.5" customHeight="1">
      <c r="Q430" s="2794"/>
    </row>
    <row r="431" spans="17:17" ht="58.5" customHeight="1">
      <c r="Q431" s="2794"/>
    </row>
    <row r="432" spans="17:17" ht="58.5" customHeight="1">
      <c r="Q432" s="2794"/>
    </row>
    <row r="433" spans="17:17" ht="58.5" customHeight="1">
      <c r="Q433" s="1853"/>
    </row>
    <row r="434" spans="17:17" ht="58.5" customHeight="1">
      <c r="Q434" s="1853"/>
    </row>
    <row r="435" spans="17:17" ht="58.5" customHeight="1">
      <c r="Q435" s="1853"/>
    </row>
    <row r="436" spans="17:17" ht="58.5" customHeight="1">
      <c r="Q436" s="1853"/>
    </row>
    <row r="437" spans="17:17" ht="58.5" customHeight="1">
      <c r="Q437" s="1853"/>
    </row>
    <row r="438" spans="17:17" ht="58.5" customHeight="1">
      <c r="Q438" s="1853"/>
    </row>
    <row r="439" spans="17:17" ht="58.5" customHeight="1">
      <c r="Q439" s="1853"/>
    </row>
    <row r="440" spans="17:17" ht="58.5" customHeight="1">
      <c r="Q440" s="1853"/>
    </row>
    <row r="441" spans="17:17" ht="58.5" customHeight="1">
      <c r="Q441" s="1853"/>
    </row>
    <row r="442" spans="17:17" ht="58.5" customHeight="1">
      <c r="Q442" s="1853"/>
    </row>
    <row r="443" spans="17:17" ht="58.5" customHeight="1">
      <c r="Q443" s="2869"/>
    </row>
    <row r="444" spans="17:17" ht="58.5" customHeight="1">
      <c r="Q444" s="2869"/>
    </row>
    <row r="445" spans="17:17" ht="58.5" customHeight="1">
      <c r="Q445" s="2869"/>
    </row>
    <row r="446" spans="17:17" ht="58.5" customHeight="1">
      <c r="Q446" s="2869"/>
    </row>
    <row r="447" spans="17:17" ht="58.5" customHeight="1">
      <c r="Q447" s="2869"/>
    </row>
    <row r="448" spans="17:17" ht="58.5" customHeight="1">
      <c r="Q448" s="2869"/>
    </row>
    <row r="449" spans="17:17" ht="58.5" customHeight="1">
      <c r="Q449" s="2869"/>
    </row>
    <row r="450" spans="17:17" ht="58.5" customHeight="1">
      <c r="Q450" s="2869"/>
    </row>
    <row r="451" spans="17:17" ht="58.5" customHeight="1">
      <c r="Q451" s="2869"/>
    </row>
    <row r="452" spans="17:17" ht="58.5" customHeight="1">
      <c r="Q452" s="2869"/>
    </row>
    <row r="453" spans="17:17" ht="58.5" customHeight="1">
      <c r="Q453" s="2869"/>
    </row>
    <row r="454" spans="17:17" ht="58.5" customHeight="1">
      <c r="Q454" s="2869"/>
    </row>
    <row r="455" spans="17:17" ht="58.5" customHeight="1">
      <c r="Q455" s="102"/>
    </row>
    <row r="456" spans="17:17" ht="58.5" customHeight="1">
      <c r="Q456" s="1853"/>
    </row>
    <row r="457" spans="17:17" ht="58.5" customHeight="1">
      <c r="Q457" s="1853"/>
    </row>
    <row r="458" spans="17:17" ht="58.5" customHeight="1">
      <c r="Q458" s="1853"/>
    </row>
    <row r="459" spans="17:17" ht="58.5" customHeight="1">
      <c r="Q459" s="1853"/>
    </row>
    <row r="460" spans="17:17" ht="58.5" customHeight="1">
      <c r="Q460" s="1853"/>
    </row>
    <row r="461" spans="17:17" ht="58.5" customHeight="1">
      <c r="Q461" s="1853"/>
    </row>
    <row r="462" spans="17:17" ht="58.5" customHeight="1">
      <c r="Q462" s="1853"/>
    </row>
    <row r="463" spans="17:17" ht="58.5" customHeight="1">
      <c r="Q463" s="1853"/>
    </row>
    <row r="464" spans="17:17" ht="58.5" customHeight="1">
      <c r="Q464" s="1853"/>
    </row>
    <row r="465" spans="17:17" ht="58.5" customHeight="1">
      <c r="Q465" s="1853"/>
    </row>
    <row r="466" spans="17:17" ht="58.5" customHeight="1">
      <c r="Q466" s="1853"/>
    </row>
    <row r="467" spans="17:17" ht="58.5" customHeight="1">
      <c r="Q467" s="1853"/>
    </row>
    <row r="468" spans="17:17" ht="58.5" customHeight="1">
      <c r="Q468" s="102"/>
    </row>
    <row r="469" spans="17:17" ht="58.5" customHeight="1">
      <c r="Q469" s="1853"/>
    </row>
    <row r="470" spans="17:17" ht="58.5" customHeight="1">
      <c r="Q470" s="1853"/>
    </row>
    <row r="471" spans="17:17" ht="58.5" customHeight="1">
      <c r="Q471" s="1853"/>
    </row>
    <row r="472" spans="17:17" ht="58.5" customHeight="1">
      <c r="Q472" s="1853"/>
    </row>
    <row r="473" spans="17:17" ht="58.5" customHeight="1">
      <c r="Q473" s="1853"/>
    </row>
    <row r="474" spans="17:17" ht="58.5" customHeight="1">
      <c r="Q474" s="1924"/>
    </row>
    <row r="475" spans="17:17" ht="58.5" customHeight="1">
      <c r="Q475" s="1924"/>
    </row>
    <row r="476" spans="17:17" ht="58.5" customHeight="1">
      <c r="Q476" s="1924"/>
    </row>
    <row r="477" spans="17:17" ht="58.5" customHeight="1">
      <c r="Q477" s="1924"/>
    </row>
    <row r="478" spans="17:17" ht="58.5" customHeight="1">
      <c r="Q478" s="1853"/>
    </row>
    <row r="479" spans="17:17" ht="58.5" customHeight="1">
      <c r="Q479" s="1853"/>
    </row>
    <row r="480" spans="17:17" ht="58.5" customHeight="1">
      <c r="Q480" s="1853"/>
    </row>
    <row r="481" spans="17:17" ht="58.5" customHeight="1">
      <c r="Q481" s="1853"/>
    </row>
    <row r="482" spans="17:17" ht="58.5" customHeight="1">
      <c r="Q482" s="1853"/>
    </row>
    <row r="483" spans="17:17" ht="58.5" customHeight="1">
      <c r="Q483" s="1853"/>
    </row>
    <row r="484" spans="17:17" ht="58.5" customHeight="1">
      <c r="Q484" s="1853"/>
    </row>
    <row r="485" spans="17:17" ht="58.5" customHeight="1">
      <c r="Q485" s="102"/>
    </row>
    <row r="486" spans="17:17" ht="58.5" customHeight="1">
      <c r="Q486" s="1853"/>
    </row>
    <row r="487" spans="17:17" ht="58.5" customHeight="1">
      <c r="Q487" s="1924"/>
    </row>
    <row r="488" spans="17:17" ht="58.5" customHeight="1">
      <c r="Q488" s="102"/>
    </row>
    <row r="489" spans="17:17" ht="58.5" customHeight="1">
      <c r="Q489" s="1853"/>
    </row>
    <row r="490" spans="17:17" ht="58.5" customHeight="1">
      <c r="Q490" s="1853"/>
    </row>
    <row r="491" spans="17:17" ht="58.5" customHeight="1">
      <c r="Q491" s="1853"/>
    </row>
    <row r="492" spans="17:17" ht="58.5" customHeight="1">
      <c r="Q492" s="1853"/>
    </row>
    <row r="493" spans="17:17" ht="58.5" customHeight="1">
      <c r="Q493" s="1853"/>
    </row>
    <row r="494" spans="17:17" ht="58.5" customHeight="1">
      <c r="Q494" s="1853"/>
    </row>
    <row r="495" spans="17:17" ht="58.5" customHeight="1">
      <c r="Q495" s="1853"/>
    </row>
    <row r="496" spans="17:17" ht="58.5" customHeight="1">
      <c r="Q496" s="1853"/>
    </row>
    <row r="497" spans="17:17" ht="58.5" customHeight="1">
      <c r="Q497" s="102"/>
    </row>
    <row r="498" spans="17:17" ht="58.5" customHeight="1">
      <c r="Q498" s="2225"/>
    </row>
    <row r="499" spans="17:17" ht="58.5" customHeight="1">
      <c r="Q499" s="2225"/>
    </row>
  </sheetData>
  <autoFilter ref="A3:Z212" xr:uid="{B7C15350-C97B-42A5-86DA-8C16A2B477E8}"/>
  <mergeCells count="49">
    <mergeCell ref="A152:A153"/>
    <mergeCell ref="A91:A96"/>
    <mergeCell ref="A109:A111"/>
    <mergeCell ref="A57:A58"/>
    <mergeCell ref="A133:A134"/>
    <mergeCell ref="A97:A98"/>
    <mergeCell ref="A123:A125"/>
    <mergeCell ref="A135:A136"/>
    <mergeCell ref="A137:A151"/>
    <mergeCell ref="A117:A122"/>
    <mergeCell ref="A127:A132"/>
    <mergeCell ref="A112:A116"/>
    <mergeCell ref="A59:A60"/>
    <mergeCell ref="A61:A62"/>
    <mergeCell ref="A65:A68"/>
    <mergeCell ref="A87:A90"/>
    <mergeCell ref="A196:A197"/>
    <mergeCell ref="A166:A168"/>
    <mergeCell ref="A181:A187"/>
    <mergeCell ref="A202:A203"/>
    <mergeCell ref="A154:A165"/>
    <mergeCell ref="A190:A193"/>
    <mergeCell ref="A194:A195"/>
    <mergeCell ref="A177:A180"/>
    <mergeCell ref="A173:A176"/>
    <mergeCell ref="A200:A201"/>
    <mergeCell ref="A198:A199"/>
    <mergeCell ref="A170:A172"/>
    <mergeCell ref="A188:A189"/>
    <mergeCell ref="A1:P1"/>
    <mergeCell ref="A2:C2"/>
    <mergeCell ref="A18:A20"/>
    <mergeCell ref="A36:A40"/>
    <mergeCell ref="A55:A56"/>
    <mergeCell ref="A9:A11"/>
    <mergeCell ref="A21:A25"/>
    <mergeCell ref="A12:A16"/>
    <mergeCell ref="A41:A42"/>
    <mergeCell ref="A47:A48"/>
    <mergeCell ref="A6:A8"/>
    <mergeCell ref="A26:A35"/>
    <mergeCell ref="A43:A46"/>
    <mergeCell ref="A53:A54"/>
    <mergeCell ref="A49:A52"/>
    <mergeCell ref="A63:A64"/>
    <mergeCell ref="A69:A78"/>
    <mergeCell ref="A79:A86"/>
    <mergeCell ref="A105:A108"/>
    <mergeCell ref="A100:A103"/>
  </mergeCells>
  <conditionalFormatting sqref="B4:B16 B21:B215">
    <cfRule type="duplicateValues" dxfId="20" priority="3545"/>
    <cfRule type="duplicateValues" dxfId="19" priority="3546"/>
    <cfRule type="duplicateValues" dxfId="18" priority="3547"/>
    <cfRule type="duplicateValues" dxfId="17" priority="3548"/>
  </conditionalFormatting>
  <conditionalFormatting sqref="B17">
    <cfRule type="duplicateValues" dxfId="16" priority="1536"/>
    <cfRule type="duplicateValues" dxfId="15" priority="1537"/>
    <cfRule type="duplicateValues" dxfId="14" priority="1538"/>
    <cfRule type="duplicateValues" dxfId="13" priority="1539"/>
  </conditionalFormatting>
  <conditionalFormatting sqref="B18:B20">
    <cfRule type="duplicateValues" dxfId="12" priority="41"/>
    <cfRule type="duplicateValues" dxfId="11" priority="42"/>
    <cfRule type="duplicateValues" dxfId="10" priority="43"/>
    <cfRule type="duplicateValues" dxfId="9" priority="44"/>
  </conditionalFormatting>
  <conditionalFormatting sqref="B226:B1048576 B2:B3">
    <cfRule type="duplicateValues" dxfId="8" priority="3046"/>
  </conditionalFormatting>
  <conditionalFormatting sqref="B226:B1048576 B3">
    <cfRule type="duplicateValues" dxfId="7" priority="3053"/>
  </conditionalFormatting>
  <conditionalFormatting sqref="B226:B1048576">
    <cfRule type="duplicateValues" dxfId="6" priority="3060"/>
    <cfRule type="duplicateValues" dxfId="5" priority="3061"/>
  </conditionalFormatting>
  <pageMargins left="0.7" right="0.7" top="0.75" bottom="0.75" header="0.3" footer="0.3"/>
  <pageSetup paperSize="9" scale="40" orientation="landscape"/>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9FE449-4564-4527-BD61-64157585E8AC}">
  <dimension ref="A1:D1516"/>
  <sheetViews>
    <sheetView workbookViewId="0">
      <selection activeCell="D25" sqref="D25"/>
    </sheetView>
  </sheetViews>
  <sheetFormatPr defaultColWidth="9.28515625" defaultRowHeight="14.25"/>
  <cols>
    <col min="1" max="1" width="12.7109375" style="3067" bestFit="1" customWidth="1"/>
    <col min="2" max="2" width="9.42578125" style="3067" bestFit="1" customWidth="1"/>
    <col min="3" max="3" width="9.28515625" style="3067"/>
    <col min="4" max="4" width="11.42578125" style="3067" bestFit="1" customWidth="1"/>
    <col min="5" max="16384" width="9.28515625" style="3067"/>
  </cols>
  <sheetData>
    <row r="1" spans="1:4">
      <c r="A1" s="3068" t="s">
        <v>5202</v>
      </c>
      <c r="B1" s="3068" t="s">
        <v>8818</v>
      </c>
      <c r="C1" s="3068" t="s">
        <v>8819</v>
      </c>
      <c r="D1" s="3068" t="s">
        <v>8820</v>
      </c>
    </row>
    <row r="2" spans="1:4">
      <c r="A2" s="3067">
        <v>2000003185</v>
      </c>
      <c r="B2" s="3067">
        <v>578</v>
      </c>
      <c r="C2" s="3067">
        <v>535</v>
      </c>
      <c r="D2" s="3067">
        <v>43</v>
      </c>
    </row>
    <row r="3" spans="1:4">
      <c r="A3" s="3067">
        <v>2000003186</v>
      </c>
      <c r="B3" s="3067">
        <v>1658</v>
      </c>
      <c r="C3" s="3067">
        <v>1006</v>
      </c>
      <c r="D3" s="3067">
        <v>652</v>
      </c>
    </row>
    <row r="4" spans="1:4">
      <c r="A4" s="3067">
        <v>2000003187</v>
      </c>
      <c r="B4" s="3067">
        <v>4349</v>
      </c>
      <c r="C4" s="3067">
        <v>1890</v>
      </c>
      <c r="D4" s="3067">
        <v>2459</v>
      </c>
    </row>
    <row r="5" spans="1:4">
      <c r="A5" s="3067">
        <v>2000003188</v>
      </c>
      <c r="B5" s="3067">
        <v>4465</v>
      </c>
      <c r="C5" s="3067">
        <v>0</v>
      </c>
      <c r="D5" s="3067">
        <v>4465</v>
      </c>
    </row>
    <row r="6" spans="1:4">
      <c r="A6" s="3067">
        <v>2000003189</v>
      </c>
      <c r="B6" s="3067">
        <v>3862</v>
      </c>
      <c r="C6" s="3067">
        <v>1263</v>
      </c>
      <c r="D6" s="3067">
        <v>2599</v>
      </c>
    </row>
    <row r="7" spans="1:4">
      <c r="A7" s="3067">
        <v>2000003218</v>
      </c>
      <c r="B7" s="3067">
        <v>43</v>
      </c>
      <c r="C7" s="3067">
        <v>0</v>
      </c>
      <c r="D7" s="3067">
        <v>43</v>
      </c>
    </row>
    <row r="8" spans="1:4">
      <c r="A8" s="3067">
        <v>2000003220</v>
      </c>
      <c r="B8" s="3067">
        <v>3935</v>
      </c>
      <c r="C8" s="3067">
        <v>0</v>
      </c>
      <c r="D8" s="3067">
        <v>3935</v>
      </c>
    </row>
    <row r="9" spans="1:4">
      <c r="A9" s="3067">
        <v>2000003232</v>
      </c>
      <c r="B9" s="3067">
        <v>885</v>
      </c>
      <c r="C9" s="3067">
        <v>0</v>
      </c>
      <c r="D9" s="3067">
        <v>885</v>
      </c>
    </row>
    <row r="10" spans="1:4">
      <c r="A10" s="3067">
        <v>2000003233</v>
      </c>
      <c r="B10" s="3067">
        <v>700</v>
      </c>
      <c r="C10" s="3067">
        <v>0</v>
      </c>
      <c r="D10" s="3067">
        <v>700</v>
      </c>
    </row>
    <row r="11" spans="1:4">
      <c r="A11" s="3067">
        <v>2000003234</v>
      </c>
      <c r="B11" s="3067">
        <v>908</v>
      </c>
      <c r="C11" s="3067">
        <v>0</v>
      </c>
      <c r="D11" s="3067">
        <v>908</v>
      </c>
    </row>
    <row r="12" spans="1:4">
      <c r="A12" s="3067">
        <v>2000003235</v>
      </c>
      <c r="B12" s="3067">
        <v>1293</v>
      </c>
      <c r="C12" s="3067">
        <v>0</v>
      </c>
      <c r="D12" s="3067">
        <v>1293</v>
      </c>
    </row>
    <row r="13" spans="1:4">
      <c r="A13" s="3067">
        <v>2000003237</v>
      </c>
      <c r="B13" s="3067">
        <v>574</v>
      </c>
      <c r="C13" s="3067">
        <v>186</v>
      </c>
      <c r="D13" s="3067">
        <v>388</v>
      </c>
    </row>
    <row r="14" spans="1:4">
      <c r="A14" s="3067">
        <v>2000003239</v>
      </c>
      <c r="B14" s="3067">
        <v>990</v>
      </c>
      <c r="C14" s="3067">
        <v>776</v>
      </c>
      <c r="D14" s="3067">
        <v>214</v>
      </c>
    </row>
    <row r="15" spans="1:4">
      <c r="A15" s="3067">
        <v>2000003240</v>
      </c>
      <c r="B15" s="3067">
        <v>1380</v>
      </c>
      <c r="C15" s="3067">
        <v>0</v>
      </c>
      <c r="D15" s="3067">
        <v>1380</v>
      </c>
    </row>
    <row r="16" spans="1:4">
      <c r="A16" s="3067">
        <v>2000003242</v>
      </c>
      <c r="B16" s="3067">
        <v>559</v>
      </c>
      <c r="C16" s="3067">
        <v>0</v>
      </c>
      <c r="D16" s="3067">
        <v>559</v>
      </c>
    </row>
    <row r="17" spans="1:4">
      <c r="A17" s="3067">
        <v>2000003244</v>
      </c>
      <c r="B17" s="3067">
        <v>22</v>
      </c>
      <c r="C17" s="3067">
        <v>0</v>
      </c>
      <c r="D17" s="3067">
        <v>22</v>
      </c>
    </row>
    <row r="18" spans="1:4">
      <c r="A18" s="3067">
        <v>2000003245</v>
      </c>
      <c r="B18" s="3067">
        <v>93</v>
      </c>
      <c r="C18" s="3067">
        <v>0</v>
      </c>
      <c r="D18" s="3067">
        <v>93</v>
      </c>
    </row>
    <row r="19" spans="1:4">
      <c r="A19" s="3067">
        <v>2000003254</v>
      </c>
      <c r="B19" s="3067">
        <v>2679</v>
      </c>
      <c r="C19" s="3067">
        <v>2595</v>
      </c>
      <c r="D19" s="3067">
        <v>84</v>
      </c>
    </row>
    <row r="20" spans="1:4">
      <c r="A20" s="3067">
        <v>2000003256</v>
      </c>
      <c r="B20" s="3067">
        <v>326</v>
      </c>
      <c r="C20" s="3067">
        <v>0</v>
      </c>
      <c r="D20" s="3067">
        <v>326</v>
      </c>
    </row>
    <row r="21" spans="1:4">
      <c r="A21" s="3067">
        <v>2000003262</v>
      </c>
      <c r="B21" s="3067">
        <v>643</v>
      </c>
      <c r="C21" s="3067">
        <v>0</v>
      </c>
      <c r="D21" s="3067">
        <v>643</v>
      </c>
    </row>
    <row r="22" spans="1:4">
      <c r="A22" s="3067">
        <v>2000003263</v>
      </c>
      <c r="B22" s="3067">
        <v>69</v>
      </c>
      <c r="C22" s="3067">
        <v>0</v>
      </c>
      <c r="D22" s="3067">
        <v>69</v>
      </c>
    </row>
    <row r="23" spans="1:4">
      <c r="A23" s="3067">
        <v>2000003265</v>
      </c>
      <c r="B23" s="3067">
        <v>109</v>
      </c>
      <c r="C23" s="3067">
        <v>0</v>
      </c>
      <c r="D23" s="3067">
        <v>109</v>
      </c>
    </row>
    <row r="24" spans="1:4">
      <c r="A24" s="3067">
        <v>2000003270</v>
      </c>
      <c r="B24" s="3067">
        <v>855</v>
      </c>
      <c r="C24" s="3067">
        <v>0</v>
      </c>
      <c r="D24" s="3067">
        <v>855</v>
      </c>
    </row>
    <row r="25" spans="1:4">
      <c r="A25" s="3067">
        <v>2000003274</v>
      </c>
      <c r="B25" s="3067">
        <v>979</v>
      </c>
      <c r="C25" s="3067">
        <v>0</v>
      </c>
      <c r="D25" s="3067">
        <v>979</v>
      </c>
    </row>
    <row r="26" spans="1:4">
      <c r="A26" s="3067">
        <v>2000003276</v>
      </c>
      <c r="B26" s="3067">
        <v>21</v>
      </c>
      <c r="C26" s="3067">
        <v>0</v>
      </c>
      <c r="D26" s="3067">
        <v>21</v>
      </c>
    </row>
    <row r="27" spans="1:4">
      <c r="A27" s="3067">
        <v>2000003281</v>
      </c>
      <c r="B27" s="3067">
        <v>3794</v>
      </c>
      <c r="C27" s="3067">
        <v>3774</v>
      </c>
      <c r="D27" s="3067">
        <v>21</v>
      </c>
    </row>
    <row r="28" spans="1:4">
      <c r="A28" s="3067">
        <v>2000003284</v>
      </c>
      <c r="B28" s="3067">
        <v>186</v>
      </c>
      <c r="C28" s="3067">
        <v>0</v>
      </c>
      <c r="D28" s="3067">
        <v>186</v>
      </c>
    </row>
    <row r="29" spans="1:4">
      <c r="A29" s="3067">
        <v>2000003290</v>
      </c>
      <c r="B29" s="3067">
        <v>703</v>
      </c>
      <c r="C29" s="3067">
        <v>0</v>
      </c>
      <c r="D29" s="3067">
        <v>703</v>
      </c>
    </row>
    <row r="30" spans="1:4">
      <c r="A30" s="3067">
        <v>2000003292</v>
      </c>
      <c r="B30" s="3067">
        <v>7645</v>
      </c>
      <c r="C30" s="3067">
        <v>0</v>
      </c>
      <c r="D30" s="3067">
        <v>7645</v>
      </c>
    </row>
    <row r="31" spans="1:4">
      <c r="A31" s="3067">
        <v>2000003293</v>
      </c>
      <c r="B31" s="3067">
        <v>3036</v>
      </c>
      <c r="C31" s="3067">
        <v>0</v>
      </c>
      <c r="D31" s="3067">
        <v>3036</v>
      </c>
    </row>
    <row r="32" spans="1:4">
      <c r="A32" s="3067">
        <v>2000003295</v>
      </c>
      <c r="B32" s="3067">
        <v>6888</v>
      </c>
      <c r="C32" s="3067">
        <v>5818</v>
      </c>
      <c r="D32" s="3067">
        <v>1070</v>
      </c>
    </row>
    <row r="33" spans="1:4">
      <c r="A33" s="3067">
        <v>2000003297</v>
      </c>
      <c r="B33" s="3067">
        <v>564</v>
      </c>
      <c r="C33" s="3067">
        <v>0</v>
      </c>
      <c r="D33" s="3067">
        <v>564</v>
      </c>
    </row>
    <row r="34" spans="1:4">
      <c r="A34" s="3067">
        <v>2000003302</v>
      </c>
      <c r="B34" s="3067">
        <v>162</v>
      </c>
      <c r="C34" s="3067">
        <v>0</v>
      </c>
      <c r="D34" s="3067">
        <v>162</v>
      </c>
    </row>
    <row r="35" spans="1:4">
      <c r="A35" s="3067">
        <v>2000003303</v>
      </c>
      <c r="B35" s="3067">
        <v>3784</v>
      </c>
      <c r="C35" s="3067">
        <v>0</v>
      </c>
      <c r="D35" s="3067">
        <v>3784</v>
      </c>
    </row>
    <row r="36" spans="1:4">
      <c r="A36" s="3067">
        <v>2000003305</v>
      </c>
      <c r="B36" s="3067">
        <v>3681</v>
      </c>
      <c r="C36" s="3067">
        <v>0</v>
      </c>
      <c r="D36" s="3067">
        <v>3681</v>
      </c>
    </row>
    <row r="37" spans="1:4">
      <c r="A37" s="3067">
        <v>2000003306</v>
      </c>
      <c r="B37" s="3067">
        <v>4651</v>
      </c>
      <c r="C37" s="3067">
        <v>2880</v>
      </c>
      <c r="D37" s="3067">
        <v>1771</v>
      </c>
    </row>
    <row r="38" spans="1:4">
      <c r="A38" s="3067">
        <v>2000003310</v>
      </c>
      <c r="B38" s="3067">
        <v>605</v>
      </c>
      <c r="C38" s="3067">
        <v>0</v>
      </c>
      <c r="D38" s="3067">
        <v>605</v>
      </c>
    </row>
    <row r="39" spans="1:4">
      <c r="A39" s="3067">
        <v>2000003314</v>
      </c>
      <c r="B39" s="3067">
        <v>1503</v>
      </c>
      <c r="C39" s="3067">
        <v>0</v>
      </c>
      <c r="D39" s="3067">
        <v>1503</v>
      </c>
    </row>
    <row r="40" spans="1:4">
      <c r="A40" s="3067">
        <v>2000003315</v>
      </c>
      <c r="B40" s="3067">
        <v>1131</v>
      </c>
      <c r="C40" s="3067">
        <v>0</v>
      </c>
      <c r="D40" s="3067">
        <v>1131</v>
      </c>
    </row>
    <row r="41" spans="1:4">
      <c r="A41" s="3067">
        <v>2000003316</v>
      </c>
      <c r="B41" s="3067">
        <v>140</v>
      </c>
      <c r="C41" s="3067">
        <v>0</v>
      </c>
      <c r="D41" s="3067">
        <v>140</v>
      </c>
    </row>
    <row r="42" spans="1:4">
      <c r="A42" s="3067">
        <v>2000003319</v>
      </c>
      <c r="B42" s="3067">
        <v>188</v>
      </c>
      <c r="C42" s="3067">
        <v>0</v>
      </c>
      <c r="D42" s="3067">
        <v>188</v>
      </c>
    </row>
    <row r="43" spans="1:4">
      <c r="A43" s="3067">
        <v>2200002097</v>
      </c>
      <c r="B43" s="3067">
        <v>6537</v>
      </c>
      <c r="C43" s="3067">
        <v>4089</v>
      </c>
      <c r="D43" s="3067">
        <v>2448</v>
      </c>
    </row>
    <row r="44" spans="1:4">
      <c r="A44" s="3067">
        <v>2200002125</v>
      </c>
      <c r="B44" s="3067">
        <v>4269</v>
      </c>
      <c r="C44" s="3067">
        <v>4247</v>
      </c>
      <c r="D44" s="3067">
        <v>23</v>
      </c>
    </row>
    <row r="45" spans="1:4">
      <c r="A45" s="3067">
        <v>2200002135</v>
      </c>
      <c r="B45" s="3067">
        <v>2111</v>
      </c>
      <c r="C45" s="3067">
        <v>2068</v>
      </c>
      <c r="D45" s="3067">
        <v>44</v>
      </c>
    </row>
    <row r="46" spans="1:4">
      <c r="A46" s="3067">
        <v>2200002146</v>
      </c>
      <c r="B46" s="3067">
        <v>1541</v>
      </c>
      <c r="C46" s="3067">
        <v>1518</v>
      </c>
      <c r="D46" s="3067">
        <v>23</v>
      </c>
    </row>
    <row r="47" spans="1:4">
      <c r="A47" s="3067">
        <v>2200002165</v>
      </c>
      <c r="B47" s="3067">
        <v>870</v>
      </c>
      <c r="C47" s="3067">
        <v>425</v>
      </c>
      <c r="D47" s="3067">
        <v>445</v>
      </c>
    </row>
    <row r="48" spans="1:4">
      <c r="A48" s="3067">
        <v>2200002174</v>
      </c>
      <c r="B48" s="3067">
        <v>104</v>
      </c>
      <c r="C48" s="3067">
        <v>0</v>
      </c>
      <c r="D48" s="3067">
        <v>104</v>
      </c>
    </row>
    <row r="49" spans="1:4">
      <c r="A49" s="3067">
        <v>2200002177</v>
      </c>
      <c r="B49" s="3067">
        <v>1072</v>
      </c>
      <c r="C49" s="3067">
        <v>0</v>
      </c>
      <c r="D49" s="3067">
        <v>1072</v>
      </c>
    </row>
    <row r="50" spans="1:4">
      <c r="A50" s="3067">
        <v>2200002179</v>
      </c>
      <c r="B50" s="3067">
        <v>2097</v>
      </c>
      <c r="C50" s="3067">
        <v>138</v>
      </c>
      <c r="D50" s="3067">
        <v>1959</v>
      </c>
    </row>
    <row r="51" spans="1:4">
      <c r="A51" s="3067">
        <v>2200002180</v>
      </c>
      <c r="B51" s="3067">
        <v>1164</v>
      </c>
      <c r="C51" s="3067">
        <v>21</v>
      </c>
      <c r="D51" s="3067">
        <v>1143</v>
      </c>
    </row>
    <row r="52" spans="1:4">
      <c r="A52" s="3067">
        <v>2200002181</v>
      </c>
      <c r="B52" s="3067">
        <v>3603</v>
      </c>
      <c r="C52" s="3067">
        <v>0</v>
      </c>
      <c r="D52" s="3067">
        <v>3603</v>
      </c>
    </row>
    <row r="53" spans="1:4">
      <c r="A53" s="3067">
        <v>2200002182</v>
      </c>
      <c r="B53" s="3067">
        <v>372</v>
      </c>
      <c r="C53" s="3067">
        <v>0</v>
      </c>
      <c r="D53" s="3067">
        <v>372</v>
      </c>
    </row>
    <row r="54" spans="1:4">
      <c r="A54" s="3067">
        <v>2200002183</v>
      </c>
      <c r="B54" s="3067">
        <v>1950</v>
      </c>
      <c r="C54" s="3067">
        <v>0</v>
      </c>
      <c r="D54" s="3067">
        <v>1950</v>
      </c>
    </row>
    <row r="55" spans="1:4">
      <c r="A55" s="3067">
        <v>2400001241</v>
      </c>
      <c r="B55" s="3067">
        <v>2433</v>
      </c>
      <c r="C55" s="3067">
        <v>2410</v>
      </c>
      <c r="D55" s="3067">
        <v>22</v>
      </c>
    </row>
    <row r="56" spans="1:4">
      <c r="A56" s="3067">
        <v>2400001272</v>
      </c>
      <c r="B56" s="3067">
        <v>46</v>
      </c>
      <c r="C56" s="3067">
        <v>0</v>
      </c>
      <c r="D56" s="3067">
        <v>46</v>
      </c>
    </row>
    <row r="57" spans="1:4">
      <c r="A57" s="3067">
        <v>2400001273</v>
      </c>
      <c r="B57" s="3067">
        <v>25</v>
      </c>
      <c r="C57" s="3067">
        <v>0</v>
      </c>
      <c r="D57" s="3067">
        <v>25</v>
      </c>
    </row>
    <row r="58" spans="1:4">
      <c r="A58" s="3067">
        <v>2400001276</v>
      </c>
      <c r="B58" s="3067">
        <v>4541</v>
      </c>
      <c r="C58" s="3067">
        <v>3789</v>
      </c>
      <c r="D58" s="3067">
        <v>752</v>
      </c>
    </row>
    <row r="59" spans="1:4">
      <c r="A59" s="3067">
        <v>2400001280</v>
      </c>
      <c r="B59" s="3067">
        <v>7603</v>
      </c>
      <c r="C59" s="3067">
        <v>0</v>
      </c>
      <c r="D59" s="3067">
        <v>7603</v>
      </c>
    </row>
    <row r="60" spans="1:4">
      <c r="A60" s="3067">
        <v>2400001281</v>
      </c>
      <c r="B60" s="3067">
        <v>754</v>
      </c>
      <c r="C60" s="3067">
        <v>0</v>
      </c>
      <c r="D60" s="3067">
        <v>754</v>
      </c>
    </row>
    <row r="61" spans="1:4">
      <c r="A61" s="3067">
        <v>2400001282</v>
      </c>
      <c r="B61" s="3067">
        <v>425</v>
      </c>
      <c r="C61" s="3067">
        <v>0</v>
      </c>
      <c r="D61" s="3067">
        <v>425</v>
      </c>
    </row>
    <row r="62" spans="1:4">
      <c r="A62" s="3067">
        <v>2400001284</v>
      </c>
      <c r="B62" s="3067">
        <v>326</v>
      </c>
      <c r="C62" s="3067">
        <v>187</v>
      </c>
      <c r="D62" s="3067">
        <v>139</v>
      </c>
    </row>
    <row r="63" spans="1:4">
      <c r="A63" s="3067">
        <v>2400001285</v>
      </c>
      <c r="B63" s="3067">
        <v>747</v>
      </c>
      <c r="C63" s="3067">
        <v>0</v>
      </c>
      <c r="D63" s="3067">
        <v>747</v>
      </c>
    </row>
    <row r="64" spans="1:4">
      <c r="A64" s="3067">
        <v>2400001286</v>
      </c>
      <c r="B64" s="3067">
        <v>473</v>
      </c>
      <c r="C64" s="3067">
        <v>0</v>
      </c>
      <c r="D64" s="3067">
        <v>473</v>
      </c>
    </row>
    <row r="65" spans="1:4">
      <c r="A65" s="3067">
        <v>2400001287</v>
      </c>
      <c r="B65" s="3067">
        <v>943</v>
      </c>
      <c r="C65" s="3067">
        <v>0</v>
      </c>
      <c r="D65" s="3067">
        <v>943</v>
      </c>
    </row>
    <row r="66" spans="1:4">
      <c r="A66" s="3067">
        <v>2400001289</v>
      </c>
      <c r="B66" s="3067">
        <v>2363</v>
      </c>
      <c r="C66" s="3067">
        <v>0</v>
      </c>
      <c r="D66" s="3067">
        <v>2363</v>
      </c>
    </row>
    <row r="67" spans="1:4">
      <c r="A67" s="3067">
        <v>2400001291</v>
      </c>
      <c r="B67" s="3067">
        <v>385</v>
      </c>
      <c r="C67" s="3067">
        <v>0</v>
      </c>
      <c r="D67" s="3067">
        <v>385</v>
      </c>
    </row>
    <row r="68" spans="1:4">
      <c r="A68" s="3067">
        <v>2400001292</v>
      </c>
      <c r="B68" s="3067">
        <v>401</v>
      </c>
      <c r="C68" s="3067">
        <v>0</v>
      </c>
      <c r="D68" s="3067">
        <v>401</v>
      </c>
    </row>
    <row r="69" spans="1:4">
      <c r="A69" s="3067">
        <v>2400001293</v>
      </c>
      <c r="B69" s="3067">
        <v>914</v>
      </c>
      <c r="C69" s="3067">
        <v>0</v>
      </c>
      <c r="D69" s="3067">
        <v>914</v>
      </c>
    </row>
    <row r="70" spans="1:4">
      <c r="A70" s="3067">
        <v>2400001294</v>
      </c>
      <c r="B70" s="3067">
        <v>283</v>
      </c>
      <c r="C70" s="3067">
        <v>0</v>
      </c>
      <c r="D70" s="3067">
        <v>283</v>
      </c>
    </row>
    <row r="71" spans="1:4">
      <c r="A71" s="3067">
        <v>2400001295</v>
      </c>
      <c r="B71" s="3067">
        <v>400</v>
      </c>
      <c r="C71" s="3067">
        <v>0</v>
      </c>
      <c r="D71" s="3067">
        <v>400</v>
      </c>
    </row>
    <row r="72" spans="1:4">
      <c r="A72" s="3067">
        <v>2400001298</v>
      </c>
      <c r="B72" s="3067">
        <v>230</v>
      </c>
      <c r="C72" s="3067">
        <v>0</v>
      </c>
      <c r="D72" s="3067">
        <v>230</v>
      </c>
    </row>
    <row r="73" spans="1:4">
      <c r="A73" s="3067">
        <v>2400001299</v>
      </c>
      <c r="B73" s="3067">
        <v>1337</v>
      </c>
      <c r="C73" s="3067">
        <v>0</v>
      </c>
      <c r="D73" s="3067">
        <v>1337</v>
      </c>
    </row>
    <row r="74" spans="1:4">
      <c r="A74" s="3067">
        <v>2400001301</v>
      </c>
      <c r="B74" s="3067">
        <v>1016</v>
      </c>
      <c r="C74" s="3067">
        <v>0</v>
      </c>
      <c r="D74" s="3067">
        <v>1016</v>
      </c>
    </row>
    <row r="75" spans="1:4">
      <c r="A75" s="3067">
        <v>2400001302</v>
      </c>
      <c r="B75" s="3067">
        <v>326</v>
      </c>
      <c r="C75" s="3067">
        <v>0</v>
      </c>
      <c r="D75" s="3067">
        <v>326</v>
      </c>
    </row>
    <row r="76" spans="1:4">
      <c r="A76" s="3067">
        <v>2400001303</v>
      </c>
      <c r="B76" s="3067">
        <v>258</v>
      </c>
      <c r="C76" s="3067">
        <v>0</v>
      </c>
      <c r="D76" s="3067">
        <v>258</v>
      </c>
    </row>
    <row r="77" spans="1:4">
      <c r="A77" s="3067">
        <v>2400001304</v>
      </c>
      <c r="B77" s="3067">
        <v>888</v>
      </c>
      <c r="C77" s="3067">
        <v>0</v>
      </c>
      <c r="D77" s="3067">
        <v>888</v>
      </c>
    </row>
    <row r="78" spans="1:4">
      <c r="A78" s="3067">
        <v>2400001305</v>
      </c>
      <c r="B78" s="3067">
        <v>109</v>
      </c>
      <c r="C78" s="3067">
        <v>0</v>
      </c>
      <c r="D78" s="3067">
        <v>109</v>
      </c>
    </row>
    <row r="79" spans="1:4">
      <c r="A79" s="3067">
        <v>2400001306</v>
      </c>
      <c r="B79" s="3067">
        <v>61</v>
      </c>
      <c r="C79" s="3067">
        <v>0</v>
      </c>
      <c r="D79" s="3067">
        <v>61</v>
      </c>
    </row>
    <row r="80" spans="1:4">
      <c r="A80" s="3067">
        <v>2400001307</v>
      </c>
      <c r="B80" s="3067">
        <v>137</v>
      </c>
      <c r="C80" s="3067">
        <v>0</v>
      </c>
      <c r="D80" s="3067">
        <v>137</v>
      </c>
    </row>
    <row r="81" spans="1:4">
      <c r="A81" s="3067">
        <v>2400001308</v>
      </c>
      <c r="B81" s="3067">
        <v>400</v>
      </c>
      <c r="C81" s="3067">
        <v>0</v>
      </c>
      <c r="D81" s="3067">
        <v>400</v>
      </c>
    </row>
    <row r="161" spans="2:2">
      <c r="B161" s="3067">
        <v>0</v>
      </c>
    </row>
    <row r="162" spans="2:2">
      <c r="B162" s="3067">
        <v>0</v>
      </c>
    </row>
    <row r="163" spans="2:2">
      <c r="B163" s="3067">
        <v>0</v>
      </c>
    </row>
    <row r="164" spans="2:2">
      <c r="B164" s="3067">
        <v>0</v>
      </c>
    </row>
    <row r="165" spans="2:2">
      <c r="B165" s="3067">
        <v>0</v>
      </c>
    </row>
    <row r="166" spans="2:2">
      <c r="B166" s="3067">
        <v>0</v>
      </c>
    </row>
    <row r="167" spans="2:2">
      <c r="B167" s="3067">
        <v>0</v>
      </c>
    </row>
    <row r="168" spans="2:2">
      <c r="B168" s="3067">
        <v>0</v>
      </c>
    </row>
    <row r="169" spans="2:2">
      <c r="B169" s="3067">
        <v>0</v>
      </c>
    </row>
    <row r="170" spans="2:2">
      <c r="B170" s="3067">
        <v>0</v>
      </c>
    </row>
    <row r="171" spans="2:2">
      <c r="B171" s="3067">
        <v>0</v>
      </c>
    </row>
    <row r="172" spans="2:2">
      <c r="B172" s="3067">
        <v>0</v>
      </c>
    </row>
    <row r="173" spans="2:2">
      <c r="B173" s="3067">
        <v>0</v>
      </c>
    </row>
    <row r="174" spans="2:2">
      <c r="B174" s="3067">
        <v>0</v>
      </c>
    </row>
    <row r="175" spans="2:2">
      <c r="B175" s="3067">
        <v>0</v>
      </c>
    </row>
    <row r="176" spans="2:2">
      <c r="B176" s="3067">
        <v>0</v>
      </c>
    </row>
    <row r="177" spans="2:2">
      <c r="B177" s="3067">
        <v>0</v>
      </c>
    </row>
    <row r="178" spans="2:2">
      <c r="B178" s="3067">
        <v>0</v>
      </c>
    </row>
    <row r="179" spans="2:2">
      <c r="B179" s="3067">
        <v>0</v>
      </c>
    </row>
    <row r="180" spans="2:2">
      <c r="B180" s="3067">
        <v>0</v>
      </c>
    </row>
    <row r="181" spans="2:2">
      <c r="B181" s="3067">
        <v>0</v>
      </c>
    </row>
    <row r="182" spans="2:2">
      <c r="B182" s="3067">
        <v>0</v>
      </c>
    </row>
    <row r="183" spans="2:2">
      <c r="B183" s="3067">
        <v>0</v>
      </c>
    </row>
    <row r="184" spans="2:2">
      <c r="B184" s="3067">
        <v>0</v>
      </c>
    </row>
    <row r="185" spans="2:2">
      <c r="B185" s="3067">
        <v>0</v>
      </c>
    </row>
    <row r="186" spans="2:2">
      <c r="B186" s="3067">
        <v>0</v>
      </c>
    </row>
    <row r="187" spans="2:2">
      <c r="B187" s="3067">
        <v>0</v>
      </c>
    </row>
    <row r="188" spans="2:2">
      <c r="B188" s="3067">
        <v>0</v>
      </c>
    </row>
    <row r="189" spans="2:2">
      <c r="B189" s="3067">
        <v>0</v>
      </c>
    </row>
    <row r="190" spans="2:2">
      <c r="B190" s="3067">
        <v>0</v>
      </c>
    </row>
    <row r="191" spans="2:2">
      <c r="B191" s="3067">
        <v>0</v>
      </c>
    </row>
    <row r="192" spans="2:2">
      <c r="B192" s="3067">
        <v>0</v>
      </c>
    </row>
    <row r="193" spans="2:2">
      <c r="B193" s="3067">
        <v>0</v>
      </c>
    </row>
    <row r="194" spans="2:2">
      <c r="B194" s="3067">
        <v>0</v>
      </c>
    </row>
    <row r="195" spans="2:2">
      <c r="B195" s="3067">
        <v>0</v>
      </c>
    </row>
    <row r="196" spans="2:2">
      <c r="B196" s="3067">
        <v>0</v>
      </c>
    </row>
    <row r="197" spans="2:2">
      <c r="B197" s="3067">
        <v>0</v>
      </c>
    </row>
    <row r="198" spans="2:2">
      <c r="B198" s="3067">
        <v>0</v>
      </c>
    </row>
    <row r="199" spans="2:2">
      <c r="B199" s="3067">
        <v>0</v>
      </c>
    </row>
    <row r="200" spans="2:2">
      <c r="B200" s="3067">
        <v>0</v>
      </c>
    </row>
    <row r="201" spans="2:2">
      <c r="B201" s="3067">
        <v>0</v>
      </c>
    </row>
    <row r="202" spans="2:2">
      <c r="B202" s="3067">
        <v>0</v>
      </c>
    </row>
    <row r="203" spans="2:2">
      <c r="B203" s="3067">
        <v>0</v>
      </c>
    </row>
    <row r="204" spans="2:2">
      <c r="B204" s="3067">
        <v>0</v>
      </c>
    </row>
    <row r="205" spans="2:2">
      <c r="B205" s="3067">
        <v>0</v>
      </c>
    </row>
    <row r="206" spans="2:2">
      <c r="B206" s="3067">
        <v>0</v>
      </c>
    </row>
    <row r="207" spans="2:2">
      <c r="B207" s="3067">
        <v>0</v>
      </c>
    </row>
    <row r="208" spans="2:2">
      <c r="B208" s="3067">
        <v>0</v>
      </c>
    </row>
    <row r="209" spans="2:2">
      <c r="B209" s="3067">
        <v>0</v>
      </c>
    </row>
    <row r="210" spans="2:2">
      <c r="B210" s="3067">
        <v>0</v>
      </c>
    </row>
    <row r="211" spans="2:2">
      <c r="B211" s="3067">
        <v>0</v>
      </c>
    </row>
    <row r="212" spans="2:2">
      <c r="B212" s="3067">
        <v>0</v>
      </c>
    </row>
    <row r="213" spans="2:2">
      <c r="B213" s="3067">
        <v>0</v>
      </c>
    </row>
    <row r="214" spans="2:2">
      <c r="B214" s="3067">
        <v>0</v>
      </c>
    </row>
    <row r="215" spans="2:2">
      <c r="B215" s="3067">
        <v>0</v>
      </c>
    </row>
    <row r="216" spans="2:2">
      <c r="B216" s="3067">
        <v>0</v>
      </c>
    </row>
    <row r="217" spans="2:2">
      <c r="B217" s="3067">
        <v>0</v>
      </c>
    </row>
    <row r="218" spans="2:2">
      <c r="B218" s="3067">
        <v>0</v>
      </c>
    </row>
    <row r="219" spans="2:2">
      <c r="B219" s="3067">
        <v>0</v>
      </c>
    </row>
    <row r="220" spans="2:2">
      <c r="B220" s="3067">
        <v>0</v>
      </c>
    </row>
    <row r="221" spans="2:2">
      <c r="B221" s="3067">
        <v>0</v>
      </c>
    </row>
    <row r="222" spans="2:2">
      <c r="B222" s="3067">
        <v>0</v>
      </c>
    </row>
    <row r="223" spans="2:2">
      <c r="B223" s="3067">
        <v>0</v>
      </c>
    </row>
    <row r="224" spans="2:2">
      <c r="B224" s="3067">
        <v>0</v>
      </c>
    </row>
    <row r="225" spans="2:2">
      <c r="B225" s="3067">
        <v>0</v>
      </c>
    </row>
    <row r="226" spans="2:2">
      <c r="B226" s="3067">
        <v>0</v>
      </c>
    </row>
    <row r="227" spans="2:2">
      <c r="B227" s="3067">
        <v>0</v>
      </c>
    </row>
    <row r="228" spans="2:2">
      <c r="B228" s="3067">
        <v>0</v>
      </c>
    </row>
    <row r="229" spans="2:2">
      <c r="B229" s="3067">
        <v>0</v>
      </c>
    </row>
    <row r="230" spans="2:2">
      <c r="B230" s="3067">
        <v>0</v>
      </c>
    </row>
    <row r="231" spans="2:2">
      <c r="B231" s="3067">
        <v>0</v>
      </c>
    </row>
    <row r="232" spans="2:2">
      <c r="B232" s="3067">
        <v>0</v>
      </c>
    </row>
    <row r="233" spans="2:2">
      <c r="B233" s="3067">
        <v>0</v>
      </c>
    </row>
    <row r="234" spans="2:2">
      <c r="B234" s="3067">
        <v>0</v>
      </c>
    </row>
    <row r="235" spans="2:2">
      <c r="B235" s="3067">
        <v>0</v>
      </c>
    </row>
    <row r="236" spans="2:2">
      <c r="B236" s="3067">
        <v>0</v>
      </c>
    </row>
    <row r="237" spans="2:2">
      <c r="B237" s="3067">
        <v>0</v>
      </c>
    </row>
    <row r="238" spans="2:2">
      <c r="B238" s="3067">
        <v>0</v>
      </c>
    </row>
    <row r="239" spans="2:2">
      <c r="B239" s="3067">
        <v>0</v>
      </c>
    </row>
    <row r="240" spans="2:2">
      <c r="B240" s="3067">
        <v>0</v>
      </c>
    </row>
    <row r="241" spans="2:2">
      <c r="B241" s="3067">
        <v>0</v>
      </c>
    </row>
    <row r="242" spans="2:2">
      <c r="B242" s="3067">
        <v>0</v>
      </c>
    </row>
    <row r="243" spans="2:2">
      <c r="B243" s="3067">
        <v>0</v>
      </c>
    </row>
    <row r="244" spans="2:2">
      <c r="B244" s="3067">
        <v>0</v>
      </c>
    </row>
    <row r="245" spans="2:2">
      <c r="B245" s="3067">
        <v>0</v>
      </c>
    </row>
    <row r="246" spans="2:2">
      <c r="B246" s="3067">
        <v>0</v>
      </c>
    </row>
    <row r="247" spans="2:2">
      <c r="B247" s="3067">
        <v>0</v>
      </c>
    </row>
    <row r="248" spans="2:2">
      <c r="B248" s="3067">
        <v>0</v>
      </c>
    </row>
    <row r="249" spans="2:2">
      <c r="B249" s="3067">
        <v>0</v>
      </c>
    </row>
    <row r="250" spans="2:2">
      <c r="B250" s="3067">
        <v>0</v>
      </c>
    </row>
    <row r="251" spans="2:2">
      <c r="B251" s="3067">
        <v>0</v>
      </c>
    </row>
    <row r="252" spans="2:2">
      <c r="B252" s="3067">
        <v>0</v>
      </c>
    </row>
    <row r="253" spans="2:2">
      <c r="B253" s="3067">
        <v>0</v>
      </c>
    </row>
    <row r="254" spans="2:2">
      <c r="B254" s="3067">
        <v>0</v>
      </c>
    </row>
    <row r="255" spans="2:2">
      <c r="B255" s="3067">
        <v>0</v>
      </c>
    </row>
    <row r="256" spans="2:2">
      <c r="B256" s="3067">
        <v>0</v>
      </c>
    </row>
    <row r="257" spans="2:2">
      <c r="B257" s="3067">
        <v>0</v>
      </c>
    </row>
    <row r="258" spans="2:2">
      <c r="B258" s="3067">
        <v>0</v>
      </c>
    </row>
    <row r="259" spans="2:2">
      <c r="B259" s="3067">
        <v>0</v>
      </c>
    </row>
    <row r="260" spans="2:2">
      <c r="B260" s="3067">
        <v>0</v>
      </c>
    </row>
    <row r="261" spans="2:2">
      <c r="B261" s="3067">
        <v>0</v>
      </c>
    </row>
    <row r="262" spans="2:2">
      <c r="B262" s="3067">
        <v>0</v>
      </c>
    </row>
    <row r="263" spans="2:2">
      <c r="B263" s="3067">
        <v>0</v>
      </c>
    </row>
    <row r="264" spans="2:2">
      <c r="B264" s="3067">
        <v>0</v>
      </c>
    </row>
    <row r="265" spans="2:2">
      <c r="B265" s="3067">
        <v>0</v>
      </c>
    </row>
    <row r="266" spans="2:2">
      <c r="B266" s="3067">
        <v>0</v>
      </c>
    </row>
    <row r="267" spans="2:2">
      <c r="B267" s="3067">
        <v>0</v>
      </c>
    </row>
    <row r="268" spans="2:2">
      <c r="B268" s="3067">
        <v>0</v>
      </c>
    </row>
    <row r="269" spans="2:2">
      <c r="B269" s="3067">
        <v>0</v>
      </c>
    </row>
    <row r="270" spans="2:2">
      <c r="B270" s="3067">
        <v>0</v>
      </c>
    </row>
    <row r="271" spans="2:2">
      <c r="B271" s="3067">
        <v>0</v>
      </c>
    </row>
    <row r="272" spans="2:2">
      <c r="B272" s="3067">
        <v>0</v>
      </c>
    </row>
    <row r="273" spans="2:2">
      <c r="B273" s="3067">
        <v>0</v>
      </c>
    </row>
    <row r="274" spans="2:2">
      <c r="B274" s="3067">
        <v>0</v>
      </c>
    </row>
    <row r="275" spans="2:2">
      <c r="B275" s="3067">
        <v>0</v>
      </c>
    </row>
    <row r="276" spans="2:2">
      <c r="B276" s="3067">
        <v>0</v>
      </c>
    </row>
    <row r="277" spans="2:2">
      <c r="B277" s="3067">
        <v>0</v>
      </c>
    </row>
    <row r="278" spans="2:2">
      <c r="B278" s="3067">
        <v>0</v>
      </c>
    </row>
    <row r="279" spans="2:2">
      <c r="B279" s="3067">
        <v>0</v>
      </c>
    </row>
    <row r="280" spans="2:2">
      <c r="B280" s="3067">
        <v>0</v>
      </c>
    </row>
    <row r="281" spans="2:2">
      <c r="B281" s="3067">
        <v>0</v>
      </c>
    </row>
    <row r="282" spans="2:2">
      <c r="B282" s="3067">
        <v>0</v>
      </c>
    </row>
    <row r="283" spans="2:2">
      <c r="B283" s="3067">
        <v>0</v>
      </c>
    </row>
    <row r="284" spans="2:2">
      <c r="B284" s="3067">
        <v>0</v>
      </c>
    </row>
    <row r="285" spans="2:2">
      <c r="B285" s="3067">
        <v>0</v>
      </c>
    </row>
    <row r="286" spans="2:2">
      <c r="B286" s="3067">
        <v>0</v>
      </c>
    </row>
    <row r="287" spans="2:2">
      <c r="B287" s="3067">
        <v>0</v>
      </c>
    </row>
    <row r="288" spans="2:2">
      <c r="B288" s="3067">
        <v>0</v>
      </c>
    </row>
    <row r="289" spans="2:2">
      <c r="B289" s="3067">
        <v>0</v>
      </c>
    </row>
    <row r="290" spans="2:2">
      <c r="B290" s="3067">
        <v>0</v>
      </c>
    </row>
    <row r="291" spans="2:2">
      <c r="B291" s="3067">
        <v>0</v>
      </c>
    </row>
    <row r="292" spans="2:2">
      <c r="B292" s="3067">
        <v>0</v>
      </c>
    </row>
    <row r="293" spans="2:2">
      <c r="B293" s="3067">
        <v>0</v>
      </c>
    </row>
    <row r="294" spans="2:2">
      <c r="B294" s="3067">
        <v>0</v>
      </c>
    </row>
    <row r="295" spans="2:2">
      <c r="B295" s="3067">
        <v>0</v>
      </c>
    </row>
    <row r="296" spans="2:2">
      <c r="B296" s="3067">
        <v>0</v>
      </c>
    </row>
    <row r="297" spans="2:2">
      <c r="B297" s="3067">
        <v>0</v>
      </c>
    </row>
    <row r="298" spans="2:2">
      <c r="B298" s="3067">
        <v>0</v>
      </c>
    </row>
    <row r="299" spans="2:2">
      <c r="B299" s="3067">
        <v>0</v>
      </c>
    </row>
    <row r="300" spans="2:2">
      <c r="B300" s="3067">
        <v>0</v>
      </c>
    </row>
    <row r="301" spans="2:2">
      <c r="B301" s="3067">
        <v>0</v>
      </c>
    </row>
    <row r="302" spans="2:2">
      <c r="B302" s="3067">
        <v>0</v>
      </c>
    </row>
    <row r="303" spans="2:2">
      <c r="B303" s="3067">
        <v>0</v>
      </c>
    </row>
    <row r="304" spans="2:2">
      <c r="B304" s="3067">
        <v>0</v>
      </c>
    </row>
    <row r="305" spans="2:2">
      <c r="B305" s="3067">
        <v>0</v>
      </c>
    </row>
    <row r="306" spans="2:2">
      <c r="B306" s="3067">
        <v>0</v>
      </c>
    </row>
    <row r="307" spans="2:2">
      <c r="B307" s="3067">
        <v>0</v>
      </c>
    </row>
    <row r="308" spans="2:2">
      <c r="B308" s="3067">
        <v>0</v>
      </c>
    </row>
    <row r="309" spans="2:2">
      <c r="B309" s="3067">
        <v>0</v>
      </c>
    </row>
    <row r="310" spans="2:2">
      <c r="B310" s="3067">
        <v>0</v>
      </c>
    </row>
    <row r="311" spans="2:2">
      <c r="B311" s="3067">
        <v>0</v>
      </c>
    </row>
    <row r="312" spans="2:2">
      <c r="B312" s="3067">
        <v>0</v>
      </c>
    </row>
    <row r="313" spans="2:2">
      <c r="B313" s="3067">
        <v>0</v>
      </c>
    </row>
    <row r="314" spans="2:2">
      <c r="B314" s="3067">
        <v>0</v>
      </c>
    </row>
    <row r="315" spans="2:2">
      <c r="B315" s="3067">
        <v>0</v>
      </c>
    </row>
    <row r="316" spans="2:2">
      <c r="B316" s="3067">
        <v>0</v>
      </c>
    </row>
    <row r="317" spans="2:2">
      <c r="B317" s="3067">
        <v>0</v>
      </c>
    </row>
    <row r="318" spans="2:2">
      <c r="B318" s="3067">
        <v>0</v>
      </c>
    </row>
    <row r="319" spans="2:2">
      <c r="B319" s="3067">
        <v>0</v>
      </c>
    </row>
    <row r="320" spans="2:2">
      <c r="B320" s="3067">
        <v>0</v>
      </c>
    </row>
    <row r="321" spans="2:2">
      <c r="B321" s="3067">
        <v>0</v>
      </c>
    </row>
    <row r="322" spans="2:2">
      <c r="B322" s="3067">
        <v>0</v>
      </c>
    </row>
    <row r="323" spans="2:2">
      <c r="B323" s="3067">
        <v>0</v>
      </c>
    </row>
    <row r="324" spans="2:2">
      <c r="B324" s="3067">
        <v>0</v>
      </c>
    </row>
    <row r="325" spans="2:2">
      <c r="B325" s="3067">
        <v>0</v>
      </c>
    </row>
    <row r="326" spans="2:2">
      <c r="B326" s="3067">
        <v>0</v>
      </c>
    </row>
    <row r="327" spans="2:2">
      <c r="B327" s="3067">
        <v>0</v>
      </c>
    </row>
    <row r="328" spans="2:2">
      <c r="B328" s="3067">
        <v>0</v>
      </c>
    </row>
    <row r="329" spans="2:2">
      <c r="B329" s="3067">
        <v>0</v>
      </c>
    </row>
    <row r="330" spans="2:2">
      <c r="B330" s="3067">
        <v>0</v>
      </c>
    </row>
    <row r="331" spans="2:2">
      <c r="B331" s="3067">
        <v>0</v>
      </c>
    </row>
    <row r="332" spans="2:2">
      <c r="B332" s="3067">
        <v>0</v>
      </c>
    </row>
    <row r="333" spans="2:2">
      <c r="B333" s="3067">
        <v>0</v>
      </c>
    </row>
    <row r="334" spans="2:2">
      <c r="B334" s="3067">
        <v>0</v>
      </c>
    </row>
    <row r="335" spans="2:2">
      <c r="B335" s="3067">
        <v>0</v>
      </c>
    </row>
    <row r="336" spans="2:2">
      <c r="B336" s="3067">
        <v>0</v>
      </c>
    </row>
    <row r="337" spans="2:2">
      <c r="B337" s="3067">
        <v>0</v>
      </c>
    </row>
    <row r="338" spans="2:2">
      <c r="B338" s="3067">
        <v>0</v>
      </c>
    </row>
    <row r="339" spans="2:2">
      <c r="B339" s="3067">
        <v>0</v>
      </c>
    </row>
    <row r="340" spans="2:2">
      <c r="B340" s="3067">
        <v>0</v>
      </c>
    </row>
    <row r="341" spans="2:2">
      <c r="B341" s="3067">
        <v>0</v>
      </c>
    </row>
    <row r="342" spans="2:2">
      <c r="B342" s="3067">
        <v>0</v>
      </c>
    </row>
    <row r="343" spans="2:2">
      <c r="B343" s="3067">
        <v>0</v>
      </c>
    </row>
    <row r="344" spans="2:2">
      <c r="B344" s="3067">
        <v>0</v>
      </c>
    </row>
    <row r="345" spans="2:2">
      <c r="B345" s="3067">
        <v>0</v>
      </c>
    </row>
    <row r="346" spans="2:2">
      <c r="B346" s="3067">
        <v>0</v>
      </c>
    </row>
    <row r="347" spans="2:2">
      <c r="B347" s="3067">
        <v>0</v>
      </c>
    </row>
    <row r="348" spans="2:2">
      <c r="B348" s="3067">
        <v>0</v>
      </c>
    </row>
    <row r="349" spans="2:2">
      <c r="B349" s="3067">
        <v>0</v>
      </c>
    </row>
    <row r="350" spans="2:2">
      <c r="B350" s="3067">
        <v>0</v>
      </c>
    </row>
    <row r="351" spans="2:2">
      <c r="B351" s="3067">
        <v>0</v>
      </c>
    </row>
    <row r="352" spans="2:2">
      <c r="B352" s="3067">
        <v>0</v>
      </c>
    </row>
    <row r="353" spans="2:2">
      <c r="B353" s="3067">
        <v>0</v>
      </c>
    </row>
    <row r="354" spans="2:2">
      <c r="B354" s="3067">
        <v>0</v>
      </c>
    </row>
    <row r="355" spans="2:2">
      <c r="B355" s="3067">
        <v>0</v>
      </c>
    </row>
    <row r="356" spans="2:2">
      <c r="B356" s="3067">
        <v>0</v>
      </c>
    </row>
    <row r="357" spans="2:2">
      <c r="B357" s="3067">
        <v>0</v>
      </c>
    </row>
    <row r="358" spans="2:2">
      <c r="B358" s="3067">
        <v>0</v>
      </c>
    </row>
    <row r="359" spans="2:2">
      <c r="B359" s="3067">
        <v>0</v>
      </c>
    </row>
    <row r="360" spans="2:2">
      <c r="B360" s="3067">
        <v>0</v>
      </c>
    </row>
    <row r="361" spans="2:2">
      <c r="B361" s="3067">
        <v>0</v>
      </c>
    </row>
    <row r="362" spans="2:2">
      <c r="B362" s="3067">
        <v>0</v>
      </c>
    </row>
    <row r="363" spans="2:2">
      <c r="B363" s="3067">
        <v>0</v>
      </c>
    </row>
    <row r="364" spans="2:2">
      <c r="B364" s="3067">
        <v>0</v>
      </c>
    </row>
    <row r="365" spans="2:2">
      <c r="B365" s="3067">
        <v>0</v>
      </c>
    </row>
    <row r="366" spans="2:2">
      <c r="B366" s="3067">
        <v>0</v>
      </c>
    </row>
    <row r="367" spans="2:2">
      <c r="B367" s="3067">
        <v>0</v>
      </c>
    </row>
    <row r="368" spans="2:2">
      <c r="B368" s="3067">
        <v>0</v>
      </c>
    </row>
    <row r="369" spans="2:2">
      <c r="B369" s="3067">
        <v>0</v>
      </c>
    </row>
    <row r="370" spans="2:2">
      <c r="B370" s="3067">
        <v>0</v>
      </c>
    </row>
    <row r="371" spans="2:2">
      <c r="B371" s="3067">
        <v>0</v>
      </c>
    </row>
    <row r="372" spans="2:2">
      <c r="B372" s="3067">
        <v>0</v>
      </c>
    </row>
    <row r="373" spans="2:2">
      <c r="B373" s="3067">
        <v>0</v>
      </c>
    </row>
    <row r="374" spans="2:2">
      <c r="B374" s="3067">
        <v>0</v>
      </c>
    </row>
    <row r="375" spans="2:2">
      <c r="B375" s="3067">
        <v>0</v>
      </c>
    </row>
    <row r="376" spans="2:2">
      <c r="B376" s="3067">
        <v>0</v>
      </c>
    </row>
    <row r="377" spans="2:2">
      <c r="B377" s="3067">
        <v>0</v>
      </c>
    </row>
    <row r="378" spans="2:2">
      <c r="B378" s="3067">
        <v>0</v>
      </c>
    </row>
    <row r="379" spans="2:2">
      <c r="B379" s="3067">
        <v>0</v>
      </c>
    </row>
    <row r="380" spans="2:2">
      <c r="B380" s="3067">
        <v>0</v>
      </c>
    </row>
    <row r="381" spans="2:2">
      <c r="B381" s="3067">
        <v>0</v>
      </c>
    </row>
    <row r="382" spans="2:2">
      <c r="B382" s="3067">
        <v>0</v>
      </c>
    </row>
    <row r="383" spans="2:2">
      <c r="B383" s="3067">
        <v>0</v>
      </c>
    </row>
    <row r="384" spans="2:2">
      <c r="B384" s="3067">
        <v>0</v>
      </c>
    </row>
    <row r="385" spans="2:2">
      <c r="B385" s="3067">
        <v>0</v>
      </c>
    </row>
    <row r="386" spans="2:2">
      <c r="B386" s="3067">
        <v>0</v>
      </c>
    </row>
    <row r="387" spans="2:2">
      <c r="B387" s="3067">
        <v>0</v>
      </c>
    </row>
    <row r="388" spans="2:2">
      <c r="B388" s="3067">
        <v>0</v>
      </c>
    </row>
    <row r="389" spans="2:2">
      <c r="B389" s="3067">
        <v>0</v>
      </c>
    </row>
    <row r="390" spans="2:2">
      <c r="B390" s="3067">
        <v>0</v>
      </c>
    </row>
    <row r="391" spans="2:2">
      <c r="B391" s="3067">
        <v>0</v>
      </c>
    </row>
    <row r="392" spans="2:2">
      <c r="B392" s="3067">
        <v>0</v>
      </c>
    </row>
    <row r="393" spans="2:2">
      <c r="B393" s="3067">
        <v>0</v>
      </c>
    </row>
    <row r="394" spans="2:2">
      <c r="B394" s="3067">
        <v>0</v>
      </c>
    </row>
    <row r="395" spans="2:2">
      <c r="B395" s="3067">
        <v>0</v>
      </c>
    </row>
    <row r="396" spans="2:2">
      <c r="B396" s="3067">
        <v>0</v>
      </c>
    </row>
    <row r="397" spans="2:2">
      <c r="B397" s="3067">
        <v>0</v>
      </c>
    </row>
    <row r="398" spans="2:2">
      <c r="B398" s="3067">
        <v>0</v>
      </c>
    </row>
    <row r="399" spans="2:2">
      <c r="B399" s="3067">
        <v>0</v>
      </c>
    </row>
    <row r="400" spans="2:2">
      <c r="B400" s="3067">
        <v>0</v>
      </c>
    </row>
    <row r="401" spans="2:2">
      <c r="B401" s="3067">
        <v>0</v>
      </c>
    </row>
    <row r="402" spans="2:2">
      <c r="B402" s="3067">
        <v>0</v>
      </c>
    </row>
    <row r="403" spans="2:2">
      <c r="B403" s="3067">
        <v>0</v>
      </c>
    </row>
    <row r="404" spans="2:2">
      <c r="B404" s="3067">
        <v>0</v>
      </c>
    </row>
    <row r="405" spans="2:2">
      <c r="B405" s="3067">
        <v>0</v>
      </c>
    </row>
    <row r="406" spans="2:2">
      <c r="B406" s="3067">
        <v>0</v>
      </c>
    </row>
    <row r="407" spans="2:2">
      <c r="B407" s="3067">
        <v>0</v>
      </c>
    </row>
    <row r="408" spans="2:2">
      <c r="B408" s="3067">
        <v>0</v>
      </c>
    </row>
    <row r="409" spans="2:2">
      <c r="B409" s="3067">
        <v>0</v>
      </c>
    </row>
    <row r="410" spans="2:2">
      <c r="B410" s="3067">
        <v>0</v>
      </c>
    </row>
    <row r="411" spans="2:2">
      <c r="B411" s="3067">
        <v>0</v>
      </c>
    </row>
    <row r="412" spans="2:2">
      <c r="B412" s="3067">
        <v>0</v>
      </c>
    </row>
    <row r="413" spans="2:2">
      <c r="B413" s="3067">
        <v>0</v>
      </c>
    </row>
    <row r="414" spans="2:2">
      <c r="B414" s="3067">
        <v>0</v>
      </c>
    </row>
    <row r="415" spans="2:2">
      <c r="B415" s="3067">
        <v>0</v>
      </c>
    </row>
    <row r="416" spans="2:2">
      <c r="B416" s="3067">
        <v>0</v>
      </c>
    </row>
    <row r="417" spans="2:2">
      <c r="B417" s="3067">
        <v>0</v>
      </c>
    </row>
    <row r="418" spans="2:2">
      <c r="B418" s="3067">
        <v>0</v>
      </c>
    </row>
    <row r="419" spans="2:2">
      <c r="B419" s="3067">
        <v>0</v>
      </c>
    </row>
    <row r="420" spans="2:2">
      <c r="B420" s="3067">
        <v>0</v>
      </c>
    </row>
    <row r="421" spans="2:2">
      <c r="B421" s="3067">
        <v>0</v>
      </c>
    </row>
    <row r="422" spans="2:2">
      <c r="B422" s="3067">
        <v>0</v>
      </c>
    </row>
    <row r="423" spans="2:2">
      <c r="B423" s="3067">
        <v>0</v>
      </c>
    </row>
    <row r="424" spans="2:2">
      <c r="B424" s="3067">
        <v>0</v>
      </c>
    </row>
    <row r="425" spans="2:2">
      <c r="B425" s="3067">
        <v>0</v>
      </c>
    </row>
    <row r="426" spans="2:2">
      <c r="B426" s="3067">
        <v>0</v>
      </c>
    </row>
    <row r="427" spans="2:2">
      <c r="B427" s="3067">
        <v>0</v>
      </c>
    </row>
    <row r="428" spans="2:2">
      <c r="B428" s="3067">
        <v>0</v>
      </c>
    </row>
    <row r="429" spans="2:2">
      <c r="B429" s="3067">
        <v>0</v>
      </c>
    </row>
    <row r="430" spans="2:2">
      <c r="B430" s="3067">
        <v>0</v>
      </c>
    </row>
    <row r="431" spans="2:2">
      <c r="B431" s="3067">
        <v>0</v>
      </c>
    </row>
    <row r="432" spans="2:2">
      <c r="B432" s="3067">
        <v>0</v>
      </c>
    </row>
    <row r="433" spans="2:2">
      <c r="B433" s="3067">
        <v>0</v>
      </c>
    </row>
    <row r="434" spans="2:2">
      <c r="B434" s="3067">
        <v>0</v>
      </c>
    </row>
    <row r="435" spans="2:2">
      <c r="B435" s="3067">
        <v>0</v>
      </c>
    </row>
    <row r="436" spans="2:2">
      <c r="B436" s="3067">
        <v>0</v>
      </c>
    </row>
    <row r="437" spans="2:2">
      <c r="B437" s="3067">
        <v>0</v>
      </c>
    </row>
    <row r="438" spans="2:2">
      <c r="B438" s="3067">
        <v>0</v>
      </c>
    </row>
    <row r="439" spans="2:2">
      <c r="B439" s="3067">
        <v>0</v>
      </c>
    </row>
    <row r="440" spans="2:2">
      <c r="B440" s="3067">
        <v>0</v>
      </c>
    </row>
    <row r="441" spans="2:2">
      <c r="B441" s="3067">
        <v>0</v>
      </c>
    </row>
    <row r="442" spans="2:2">
      <c r="B442" s="3067">
        <v>0</v>
      </c>
    </row>
    <row r="443" spans="2:2">
      <c r="B443" s="3067">
        <v>0</v>
      </c>
    </row>
    <row r="444" spans="2:2">
      <c r="B444" s="3067">
        <v>0</v>
      </c>
    </row>
    <row r="445" spans="2:2">
      <c r="B445" s="3067">
        <v>0</v>
      </c>
    </row>
    <row r="446" spans="2:2">
      <c r="B446" s="3067">
        <v>0</v>
      </c>
    </row>
    <row r="447" spans="2:2">
      <c r="B447" s="3067">
        <v>0</v>
      </c>
    </row>
    <row r="448" spans="2:2">
      <c r="B448" s="3067">
        <v>0</v>
      </c>
    </row>
    <row r="449" spans="2:2">
      <c r="B449" s="3067">
        <v>0</v>
      </c>
    </row>
    <row r="450" spans="2:2">
      <c r="B450" s="3067">
        <v>0</v>
      </c>
    </row>
    <row r="451" spans="2:2">
      <c r="B451" s="3067">
        <v>0</v>
      </c>
    </row>
    <row r="452" spans="2:2">
      <c r="B452" s="3067">
        <v>0</v>
      </c>
    </row>
    <row r="453" spans="2:2">
      <c r="B453" s="3067">
        <v>0</v>
      </c>
    </row>
    <row r="454" spans="2:2">
      <c r="B454" s="3067">
        <v>0</v>
      </c>
    </row>
    <row r="455" spans="2:2">
      <c r="B455" s="3067">
        <v>0</v>
      </c>
    </row>
    <row r="456" spans="2:2">
      <c r="B456" s="3067">
        <v>0</v>
      </c>
    </row>
    <row r="457" spans="2:2">
      <c r="B457" s="3067">
        <v>0</v>
      </c>
    </row>
    <row r="458" spans="2:2">
      <c r="B458" s="3067">
        <v>0</v>
      </c>
    </row>
    <row r="459" spans="2:2">
      <c r="B459" s="3067">
        <v>0</v>
      </c>
    </row>
    <row r="460" spans="2:2">
      <c r="B460" s="3067">
        <v>0</v>
      </c>
    </row>
    <row r="461" spans="2:2">
      <c r="B461" s="3067">
        <v>0</v>
      </c>
    </row>
    <row r="462" spans="2:2">
      <c r="B462" s="3067">
        <v>0</v>
      </c>
    </row>
    <row r="463" spans="2:2">
      <c r="B463" s="3067">
        <v>0</v>
      </c>
    </row>
    <row r="464" spans="2:2">
      <c r="B464" s="3067">
        <v>0</v>
      </c>
    </row>
    <row r="465" spans="2:2">
      <c r="B465" s="3067">
        <v>0</v>
      </c>
    </row>
    <row r="466" spans="2:2">
      <c r="B466" s="3067">
        <v>0</v>
      </c>
    </row>
    <row r="467" spans="2:2">
      <c r="B467" s="3067">
        <v>0</v>
      </c>
    </row>
    <row r="468" spans="2:2">
      <c r="B468" s="3067">
        <v>0</v>
      </c>
    </row>
    <row r="469" spans="2:2">
      <c r="B469" s="3067">
        <v>0</v>
      </c>
    </row>
    <row r="470" spans="2:2">
      <c r="B470" s="3067">
        <v>0</v>
      </c>
    </row>
    <row r="471" spans="2:2">
      <c r="B471" s="3067">
        <v>0</v>
      </c>
    </row>
    <row r="472" spans="2:2">
      <c r="B472" s="3067">
        <v>0</v>
      </c>
    </row>
    <row r="473" spans="2:2">
      <c r="B473" s="3067">
        <v>0</v>
      </c>
    </row>
    <row r="474" spans="2:2">
      <c r="B474" s="3067">
        <v>0</v>
      </c>
    </row>
    <row r="475" spans="2:2">
      <c r="B475" s="3067">
        <v>0</v>
      </c>
    </row>
    <row r="476" spans="2:2">
      <c r="B476" s="3067">
        <v>0</v>
      </c>
    </row>
    <row r="477" spans="2:2">
      <c r="B477" s="3067">
        <v>0</v>
      </c>
    </row>
    <row r="478" spans="2:2">
      <c r="B478" s="3067">
        <v>0</v>
      </c>
    </row>
    <row r="479" spans="2:2">
      <c r="B479" s="3067">
        <v>0</v>
      </c>
    </row>
    <row r="480" spans="2:2">
      <c r="B480" s="3067">
        <v>0</v>
      </c>
    </row>
    <row r="481" spans="2:2">
      <c r="B481" s="3067">
        <v>0</v>
      </c>
    </row>
    <row r="482" spans="2:2">
      <c r="B482" s="3067">
        <v>0</v>
      </c>
    </row>
    <row r="483" spans="2:2">
      <c r="B483" s="3067">
        <v>0</v>
      </c>
    </row>
    <row r="484" spans="2:2">
      <c r="B484" s="3067">
        <v>0</v>
      </c>
    </row>
    <row r="485" spans="2:2">
      <c r="B485" s="3067">
        <v>0</v>
      </c>
    </row>
    <row r="486" spans="2:2">
      <c r="B486" s="3067">
        <v>0</v>
      </c>
    </row>
    <row r="487" spans="2:2">
      <c r="B487" s="3067">
        <v>0</v>
      </c>
    </row>
    <row r="488" spans="2:2">
      <c r="B488" s="3067">
        <v>0</v>
      </c>
    </row>
    <row r="489" spans="2:2">
      <c r="B489" s="3067">
        <v>0</v>
      </c>
    </row>
    <row r="490" spans="2:2">
      <c r="B490" s="3067">
        <v>0</v>
      </c>
    </row>
    <row r="491" spans="2:2">
      <c r="B491" s="3067">
        <v>0</v>
      </c>
    </row>
    <row r="492" spans="2:2">
      <c r="B492" s="3067">
        <v>0</v>
      </c>
    </row>
    <row r="493" spans="2:2">
      <c r="B493" s="3067">
        <v>0</v>
      </c>
    </row>
    <row r="494" spans="2:2">
      <c r="B494" s="3067">
        <v>0</v>
      </c>
    </row>
    <row r="495" spans="2:2">
      <c r="B495" s="3067">
        <v>0</v>
      </c>
    </row>
    <row r="496" spans="2:2">
      <c r="B496" s="3067">
        <v>0</v>
      </c>
    </row>
    <row r="497" spans="2:2">
      <c r="B497" s="3067">
        <v>0</v>
      </c>
    </row>
    <row r="498" spans="2:2">
      <c r="B498" s="3067">
        <v>0</v>
      </c>
    </row>
    <row r="499" spans="2:2">
      <c r="B499" s="3067">
        <v>0</v>
      </c>
    </row>
    <row r="500" spans="2:2">
      <c r="B500" s="3067">
        <v>0</v>
      </c>
    </row>
    <row r="501" spans="2:2">
      <c r="B501" s="3067">
        <v>0</v>
      </c>
    </row>
    <row r="502" spans="2:2">
      <c r="B502" s="3067">
        <v>0</v>
      </c>
    </row>
    <row r="503" spans="2:2">
      <c r="B503" s="3067">
        <v>0</v>
      </c>
    </row>
    <row r="504" spans="2:2">
      <c r="B504" s="3067">
        <v>0</v>
      </c>
    </row>
    <row r="505" spans="2:2">
      <c r="B505" s="3067">
        <v>0</v>
      </c>
    </row>
    <row r="506" spans="2:2">
      <c r="B506" s="3067">
        <v>0</v>
      </c>
    </row>
    <row r="507" spans="2:2">
      <c r="B507" s="3067">
        <v>0</v>
      </c>
    </row>
    <row r="508" spans="2:2">
      <c r="B508" s="3067">
        <v>0</v>
      </c>
    </row>
    <row r="509" spans="2:2">
      <c r="B509" s="3067">
        <v>0</v>
      </c>
    </row>
    <row r="510" spans="2:2">
      <c r="B510" s="3067">
        <v>0</v>
      </c>
    </row>
    <row r="511" spans="2:2">
      <c r="B511" s="3067">
        <v>0</v>
      </c>
    </row>
    <row r="512" spans="2:2">
      <c r="B512" s="3067">
        <v>0</v>
      </c>
    </row>
    <row r="513" spans="2:2">
      <c r="B513" s="3067">
        <v>0</v>
      </c>
    </row>
    <row r="514" spans="2:2">
      <c r="B514" s="3067">
        <v>0</v>
      </c>
    </row>
    <row r="515" spans="2:2">
      <c r="B515" s="3067">
        <v>0</v>
      </c>
    </row>
    <row r="516" spans="2:2">
      <c r="B516" s="3067">
        <v>0</v>
      </c>
    </row>
    <row r="517" spans="2:2">
      <c r="B517" s="3067">
        <v>0</v>
      </c>
    </row>
    <row r="518" spans="2:2">
      <c r="B518" s="3067">
        <v>0</v>
      </c>
    </row>
    <row r="519" spans="2:2">
      <c r="B519" s="3067">
        <v>0</v>
      </c>
    </row>
    <row r="520" spans="2:2">
      <c r="B520" s="3067">
        <v>0</v>
      </c>
    </row>
    <row r="521" spans="2:2">
      <c r="B521" s="3067">
        <v>0</v>
      </c>
    </row>
    <row r="522" spans="2:2">
      <c r="B522" s="3067">
        <v>0</v>
      </c>
    </row>
    <row r="523" spans="2:2">
      <c r="B523" s="3067">
        <v>0</v>
      </c>
    </row>
    <row r="524" spans="2:2">
      <c r="B524" s="3067">
        <v>0</v>
      </c>
    </row>
    <row r="525" spans="2:2">
      <c r="B525" s="3067">
        <v>0</v>
      </c>
    </row>
    <row r="526" spans="2:2">
      <c r="B526" s="3067">
        <v>0</v>
      </c>
    </row>
    <row r="527" spans="2:2">
      <c r="B527" s="3067">
        <v>0</v>
      </c>
    </row>
    <row r="528" spans="2:2">
      <c r="B528" s="3067">
        <v>0</v>
      </c>
    </row>
    <row r="529" spans="2:2">
      <c r="B529" s="3067">
        <v>0</v>
      </c>
    </row>
    <row r="530" spans="2:2">
      <c r="B530" s="3067">
        <v>0</v>
      </c>
    </row>
    <row r="531" spans="2:2">
      <c r="B531" s="3067">
        <v>0</v>
      </c>
    </row>
    <row r="532" spans="2:2">
      <c r="B532" s="3067">
        <v>0</v>
      </c>
    </row>
    <row r="533" spans="2:2">
      <c r="B533" s="3067">
        <v>0</v>
      </c>
    </row>
    <row r="534" spans="2:2">
      <c r="B534" s="3067">
        <v>0</v>
      </c>
    </row>
    <row r="535" spans="2:2">
      <c r="B535" s="3067">
        <v>0</v>
      </c>
    </row>
    <row r="536" spans="2:2">
      <c r="B536" s="3067">
        <v>0</v>
      </c>
    </row>
    <row r="537" spans="2:2">
      <c r="B537" s="3067">
        <v>0</v>
      </c>
    </row>
    <row r="538" spans="2:2">
      <c r="B538" s="3067">
        <v>0</v>
      </c>
    </row>
    <row r="539" spans="2:2">
      <c r="B539" s="3067">
        <v>0</v>
      </c>
    </row>
    <row r="540" spans="2:2">
      <c r="B540" s="3067">
        <v>0</v>
      </c>
    </row>
    <row r="541" spans="2:2">
      <c r="B541" s="3067">
        <v>0</v>
      </c>
    </row>
    <row r="542" spans="2:2">
      <c r="B542" s="3067">
        <v>0</v>
      </c>
    </row>
    <row r="543" spans="2:2">
      <c r="B543" s="3067">
        <v>0</v>
      </c>
    </row>
    <row r="544" spans="2:2">
      <c r="B544" s="3067">
        <v>0</v>
      </c>
    </row>
    <row r="545" spans="2:2">
      <c r="B545" s="3067">
        <v>0</v>
      </c>
    </row>
    <row r="546" spans="2:2">
      <c r="B546" s="3067">
        <v>0</v>
      </c>
    </row>
    <row r="547" spans="2:2">
      <c r="B547" s="3067">
        <v>0</v>
      </c>
    </row>
    <row r="548" spans="2:2">
      <c r="B548" s="3067">
        <v>0</v>
      </c>
    </row>
    <row r="549" spans="2:2">
      <c r="B549" s="3067">
        <v>0</v>
      </c>
    </row>
    <row r="550" spans="2:2">
      <c r="B550" s="3067">
        <v>0</v>
      </c>
    </row>
    <row r="551" spans="2:2">
      <c r="B551" s="3067">
        <v>0</v>
      </c>
    </row>
    <row r="552" spans="2:2">
      <c r="B552" s="3067">
        <v>0</v>
      </c>
    </row>
    <row r="553" spans="2:2">
      <c r="B553" s="3067">
        <v>0</v>
      </c>
    </row>
    <row r="554" spans="2:2">
      <c r="B554" s="3067">
        <v>0</v>
      </c>
    </row>
    <row r="555" spans="2:2">
      <c r="B555" s="3067">
        <v>0</v>
      </c>
    </row>
    <row r="556" spans="2:2">
      <c r="B556" s="3067">
        <v>0</v>
      </c>
    </row>
    <row r="557" spans="2:2">
      <c r="B557" s="3067">
        <v>0</v>
      </c>
    </row>
    <row r="558" spans="2:2">
      <c r="B558" s="3067">
        <v>0</v>
      </c>
    </row>
    <row r="559" spans="2:2">
      <c r="B559" s="3067">
        <v>0</v>
      </c>
    </row>
    <row r="560" spans="2:2">
      <c r="B560" s="3067">
        <v>0</v>
      </c>
    </row>
    <row r="561" spans="2:2">
      <c r="B561" s="3067">
        <v>0</v>
      </c>
    </row>
    <row r="562" spans="2:2">
      <c r="B562" s="3067">
        <v>0</v>
      </c>
    </row>
    <row r="563" spans="2:2">
      <c r="B563" s="3067">
        <v>0</v>
      </c>
    </row>
    <row r="564" spans="2:2">
      <c r="B564" s="3067">
        <v>0</v>
      </c>
    </row>
    <row r="565" spans="2:2">
      <c r="B565" s="3067">
        <v>0</v>
      </c>
    </row>
    <row r="566" spans="2:2">
      <c r="B566" s="3067">
        <v>0</v>
      </c>
    </row>
    <row r="567" spans="2:2">
      <c r="B567" s="3067">
        <v>0</v>
      </c>
    </row>
    <row r="568" spans="2:2">
      <c r="B568" s="3067">
        <v>0</v>
      </c>
    </row>
    <row r="569" spans="2:2">
      <c r="B569" s="3067">
        <v>0</v>
      </c>
    </row>
    <row r="570" spans="2:2">
      <c r="B570" s="3067">
        <v>0</v>
      </c>
    </row>
    <row r="571" spans="2:2">
      <c r="B571" s="3067">
        <v>0</v>
      </c>
    </row>
    <row r="572" spans="2:2">
      <c r="B572" s="3067">
        <v>0</v>
      </c>
    </row>
    <row r="573" spans="2:2">
      <c r="B573" s="3067">
        <v>0</v>
      </c>
    </row>
    <row r="574" spans="2:2">
      <c r="B574" s="3067">
        <v>0</v>
      </c>
    </row>
    <row r="575" spans="2:2">
      <c r="B575" s="3067">
        <v>0</v>
      </c>
    </row>
    <row r="576" spans="2:2">
      <c r="B576" s="3067">
        <v>0</v>
      </c>
    </row>
    <row r="577" spans="2:2">
      <c r="B577" s="3067">
        <v>0</v>
      </c>
    </row>
    <row r="578" spans="2:2">
      <c r="B578" s="3067">
        <v>0</v>
      </c>
    </row>
    <row r="579" spans="2:2">
      <c r="B579" s="3067">
        <v>0</v>
      </c>
    </row>
    <row r="580" spans="2:2">
      <c r="B580" s="3067">
        <v>0</v>
      </c>
    </row>
    <row r="581" spans="2:2">
      <c r="B581" s="3067">
        <v>0</v>
      </c>
    </row>
    <row r="582" spans="2:2">
      <c r="B582" s="3067">
        <v>0</v>
      </c>
    </row>
    <row r="583" spans="2:2">
      <c r="B583" s="3067">
        <v>0</v>
      </c>
    </row>
    <row r="584" spans="2:2">
      <c r="B584" s="3067">
        <v>0</v>
      </c>
    </row>
    <row r="585" spans="2:2">
      <c r="B585" s="3067">
        <v>0</v>
      </c>
    </row>
    <row r="586" spans="2:2">
      <c r="B586" s="3067">
        <v>0</v>
      </c>
    </row>
    <row r="587" spans="2:2">
      <c r="B587" s="3067">
        <v>0</v>
      </c>
    </row>
    <row r="588" spans="2:2">
      <c r="B588" s="3067">
        <v>0</v>
      </c>
    </row>
    <row r="589" spans="2:2">
      <c r="B589" s="3067">
        <v>0</v>
      </c>
    </row>
    <row r="590" spans="2:2">
      <c r="B590" s="3067">
        <v>0</v>
      </c>
    </row>
    <row r="591" spans="2:2">
      <c r="B591" s="3067">
        <v>0</v>
      </c>
    </row>
    <row r="592" spans="2:2">
      <c r="B592" s="3067">
        <v>0</v>
      </c>
    </row>
    <row r="593" spans="2:2">
      <c r="B593" s="3067">
        <v>0</v>
      </c>
    </row>
    <row r="594" spans="2:2">
      <c r="B594" s="3067">
        <v>0</v>
      </c>
    </row>
    <row r="595" spans="2:2">
      <c r="B595" s="3067">
        <v>0</v>
      </c>
    </row>
    <row r="596" spans="2:2">
      <c r="B596" s="3067">
        <v>0</v>
      </c>
    </row>
    <row r="597" spans="2:2">
      <c r="B597" s="3067">
        <v>0</v>
      </c>
    </row>
    <row r="598" spans="2:2">
      <c r="B598" s="3067">
        <v>0</v>
      </c>
    </row>
    <row r="599" spans="2:2">
      <c r="B599" s="3067">
        <v>0</v>
      </c>
    </row>
    <row r="600" spans="2:2">
      <c r="B600" s="3067">
        <v>0</v>
      </c>
    </row>
    <row r="601" spans="2:2">
      <c r="B601" s="3067">
        <v>0</v>
      </c>
    </row>
    <row r="602" spans="2:2">
      <c r="B602" s="3067">
        <v>0</v>
      </c>
    </row>
    <row r="603" spans="2:2">
      <c r="B603" s="3067">
        <v>0</v>
      </c>
    </row>
    <row r="604" spans="2:2">
      <c r="B604" s="3067">
        <v>0</v>
      </c>
    </row>
    <row r="605" spans="2:2">
      <c r="B605" s="3067">
        <v>0</v>
      </c>
    </row>
    <row r="606" spans="2:2">
      <c r="B606" s="3067">
        <v>0</v>
      </c>
    </row>
    <row r="607" spans="2:2">
      <c r="B607" s="3067">
        <v>0</v>
      </c>
    </row>
    <row r="608" spans="2:2">
      <c r="B608" s="3067">
        <v>0</v>
      </c>
    </row>
    <row r="609" spans="2:2">
      <c r="B609" s="3067">
        <v>0</v>
      </c>
    </row>
    <row r="610" spans="2:2">
      <c r="B610" s="3067">
        <v>0</v>
      </c>
    </row>
    <row r="611" spans="2:2">
      <c r="B611" s="3067">
        <v>0</v>
      </c>
    </row>
    <row r="612" spans="2:2">
      <c r="B612" s="3067">
        <v>0</v>
      </c>
    </row>
    <row r="613" spans="2:2">
      <c r="B613" s="3067">
        <v>0</v>
      </c>
    </row>
    <row r="614" spans="2:2">
      <c r="B614" s="3067">
        <v>0</v>
      </c>
    </row>
    <row r="615" spans="2:2">
      <c r="B615" s="3067">
        <v>0</v>
      </c>
    </row>
    <row r="616" spans="2:2">
      <c r="B616" s="3067">
        <v>0</v>
      </c>
    </row>
    <row r="617" spans="2:2">
      <c r="B617" s="3067">
        <v>0</v>
      </c>
    </row>
    <row r="618" spans="2:2">
      <c r="B618" s="3067">
        <v>0</v>
      </c>
    </row>
    <row r="619" spans="2:2">
      <c r="B619" s="3067">
        <v>0</v>
      </c>
    </row>
    <row r="620" spans="2:2">
      <c r="B620" s="3067">
        <v>0</v>
      </c>
    </row>
    <row r="621" spans="2:2">
      <c r="B621" s="3067">
        <v>0</v>
      </c>
    </row>
    <row r="622" spans="2:2">
      <c r="B622" s="3067">
        <v>0</v>
      </c>
    </row>
    <row r="623" spans="2:2">
      <c r="B623" s="3067">
        <v>0</v>
      </c>
    </row>
    <row r="624" spans="2:2">
      <c r="B624" s="3067">
        <v>0</v>
      </c>
    </row>
    <row r="625" spans="2:2">
      <c r="B625" s="3067">
        <v>0</v>
      </c>
    </row>
    <row r="626" spans="2:2">
      <c r="B626" s="3067">
        <v>0</v>
      </c>
    </row>
    <row r="627" spans="2:2">
      <c r="B627" s="3067">
        <v>0</v>
      </c>
    </row>
    <row r="628" spans="2:2">
      <c r="B628" s="3067">
        <v>0</v>
      </c>
    </row>
    <row r="629" spans="2:2">
      <c r="B629" s="3067">
        <v>0</v>
      </c>
    </row>
    <row r="630" spans="2:2">
      <c r="B630" s="3067">
        <v>0</v>
      </c>
    </row>
    <row r="631" spans="2:2">
      <c r="B631" s="3067">
        <v>0</v>
      </c>
    </row>
    <row r="632" spans="2:2">
      <c r="B632" s="3067">
        <v>0</v>
      </c>
    </row>
    <row r="633" spans="2:2">
      <c r="B633" s="3067">
        <v>0</v>
      </c>
    </row>
    <row r="634" spans="2:2">
      <c r="B634" s="3067">
        <v>0</v>
      </c>
    </row>
    <row r="635" spans="2:2">
      <c r="B635" s="3067">
        <v>0</v>
      </c>
    </row>
    <row r="636" spans="2:2">
      <c r="B636" s="3067">
        <v>0</v>
      </c>
    </row>
    <row r="637" spans="2:2">
      <c r="B637" s="3067">
        <v>0</v>
      </c>
    </row>
    <row r="638" spans="2:2">
      <c r="B638" s="3067">
        <v>0</v>
      </c>
    </row>
    <row r="639" spans="2:2">
      <c r="B639" s="3067">
        <v>0</v>
      </c>
    </row>
    <row r="640" spans="2:2">
      <c r="B640" s="3067">
        <v>0</v>
      </c>
    </row>
    <row r="641" spans="2:2">
      <c r="B641" s="3067">
        <v>0</v>
      </c>
    </row>
    <row r="642" spans="2:2">
      <c r="B642" s="3067">
        <v>0</v>
      </c>
    </row>
    <row r="643" spans="2:2">
      <c r="B643" s="3067">
        <v>0</v>
      </c>
    </row>
    <row r="644" spans="2:2">
      <c r="B644" s="3067">
        <v>0</v>
      </c>
    </row>
    <row r="645" spans="2:2">
      <c r="B645" s="3067">
        <v>0</v>
      </c>
    </row>
    <row r="646" spans="2:2">
      <c r="B646" s="3067">
        <v>0</v>
      </c>
    </row>
    <row r="647" spans="2:2">
      <c r="B647" s="3067">
        <v>0</v>
      </c>
    </row>
    <row r="648" spans="2:2">
      <c r="B648" s="3067">
        <v>0</v>
      </c>
    </row>
    <row r="649" spans="2:2">
      <c r="B649" s="3067">
        <v>0</v>
      </c>
    </row>
    <row r="650" spans="2:2">
      <c r="B650" s="3067">
        <v>0</v>
      </c>
    </row>
    <row r="651" spans="2:2">
      <c r="B651" s="3067">
        <v>0</v>
      </c>
    </row>
    <row r="652" spans="2:2">
      <c r="B652" s="3067">
        <v>0</v>
      </c>
    </row>
    <row r="653" spans="2:2">
      <c r="B653" s="3067">
        <v>0</v>
      </c>
    </row>
    <row r="654" spans="2:2">
      <c r="B654" s="3067">
        <v>0</v>
      </c>
    </row>
    <row r="655" spans="2:2">
      <c r="B655" s="3067">
        <v>0</v>
      </c>
    </row>
    <row r="656" spans="2:2">
      <c r="B656" s="3067">
        <v>0</v>
      </c>
    </row>
    <row r="657" spans="2:2">
      <c r="B657" s="3067">
        <v>0</v>
      </c>
    </row>
    <row r="658" spans="2:2">
      <c r="B658" s="3067">
        <v>0</v>
      </c>
    </row>
    <row r="659" spans="2:2">
      <c r="B659" s="3067">
        <v>0</v>
      </c>
    </row>
    <row r="660" spans="2:2">
      <c r="B660" s="3067">
        <v>0</v>
      </c>
    </row>
    <row r="661" spans="2:2">
      <c r="B661" s="3067">
        <v>0</v>
      </c>
    </row>
    <row r="662" spans="2:2">
      <c r="B662" s="3067">
        <v>0</v>
      </c>
    </row>
    <row r="663" spans="2:2">
      <c r="B663" s="3067">
        <v>0</v>
      </c>
    </row>
    <row r="664" spans="2:2">
      <c r="B664" s="3067">
        <v>0</v>
      </c>
    </row>
    <row r="665" spans="2:2">
      <c r="B665" s="3067">
        <v>0</v>
      </c>
    </row>
    <row r="666" spans="2:2">
      <c r="B666" s="3067">
        <v>0</v>
      </c>
    </row>
    <row r="667" spans="2:2">
      <c r="B667" s="3067">
        <v>0</v>
      </c>
    </row>
    <row r="668" spans="2:2">
      <c r="B668" s="3067">
        <v>0</v>
      </c>
    </row>
    <row r="669" spans="2:2">
      <c r="B669" s="3067">
        <v>0</v>
      </c>
    </row>
    <row r="670" spans="2:2">
      <c r="B670" s="3067">
        <v>0</v>
      </c>
    </row>
    <row r="671" spans="2:2">
      <c r="B671" s="3067">
        <v>0</v>
      </c>
    </row>
    <row r="672" spans="2:2">
      <c r="B672" s="3067">
        <v>0</v>
      </c>
    </row>
    <row r="673" spans="2:2">
      <c r="B673" s="3067">
        <v>0</v>
      </c>
    </row>
    <row r="674" spans="2:2">
      <c r="B674" s="3067">
        <v>0</v>
      </c>
    </row>
    <row r="675" spans="2:2">
      <c r="B675" s="3067">
        <v>0</v>
      </c>
    </row>
    <row r="676" spans="2:2">
      <c r="B676" s="3067">
        <v>0</v>
      </c>
    </row>
    <row r="677" spans="2:2">
      <c r="B677" s="3067">
        <v>0</v>
      </c>
    </row>
    <row r="678" spans="2:2">
      <c r="B678" s="3067">
        <v>0</v>
      </c>
    </row>
    <row r="679" spans="2:2">
      <c r="B679" s="3067">
        <v>0</v>
      </c>
    </row>
    <row r="680" spans="2:2">
      <c r="B680" s="3067">
        <v>0</v>
      </c>
    </row>
    <row r="681" spans="2:2">
      <c r="B681" s="3067">
        <v>0</v>
      </c>
    </row>
    <row r="682" spans="2:2">
      <c r="B682" s="3067">
        <v>0</v>
      </c>
    </row>
    <row r="683" spans="2:2">
      <c r="B683" s="3067">
        <v>0</v>
      </c>
    </row>
    <row r="684" spans="2:2">
      <c r="B684" s="3067">
        <v>0</v>
      </c>
    </row>
    <row r="685" spans="2:2">
      <c r="B685" s="3067">
        <v>0</v>
      </c>
    </row>
    <row r="686" spans="2:2">
      <c r="B686" s="3067">
        <v>0</v>
      </c>
    </row>
    <row r="687" spans="2:2">
      <c r="B687" s="3067">
        <v>0</v>
      </c>
    </row>
    <row r="688" spans="2:2">
      <c r="B688" s="3067">
        <v>0</v>
      </c>
    </row>
    <row r="689" spans="2:2">
      <c r="B689" s="3067">
        <v>0</v>
      </c>
    </row>
    <row r="690" spans="2:2">
      <c r="B690" s="3067">
        <v>0</v>
      </c>
    </row>
    <row r="691" spans="2:2">
      <c r="B691" s="3067">
        <v>0</v>
      </c>
    </row>
    <row r="692" spans="2:2">
      <c r="B692" s="3067">
        <v>0</v>
      </c>
    </row>
    <row r="693" spans="2:2">
      <c r="B693" s="3067">
        <v>0</v>
      </c>
    </row>
    <row r="694" spans="2:2">
      <c r="B694" s="3067">
        <v>0</v>
      </c>
    </row>
    <row r="695" spans="2:2">
      <c r="B695" s="3067">
        <v>0</v>
      </c>
    </row>
    <row r="696" spans="2:2">
      <c r="B696" s="3067">
        <v>0</v>
      </c>
    </row>
    <row r="697" spans="2:2">
      <c r="B697" s="3067">
        <v>0</v>
      </c>
    </row>
    <row r="698" spans="2:2">
      <c r="B698" s="3067">
        <v>0</v>
      </c>
    </row>
    <row r="699" spans="2:2">
      <c r="B699" s="3067">
        <v>0</v>
      </c>
    </row>
    <row r="700" spans="2:2">
      <c r="B700" s="3067">
        <v>0</v>
      </c>
    </row>
    <row r="701" spans="2:2">
      <c r="B701" s="3067">
        <v>0</v>
      </c>
    </row>
    <row r="702" spans="2:2">
      <c r="B702" s="3067">
        <v>0</v>
      </c>
    </row>
    <row r="703" spans="2:2">
      <c r="B703" s="3067">
        <v>0</v>
      </c>
    </row>
    <row r="704" spans="2:2">
      <c r="B704" s="3067">
        <v>0</v>
      </c>
    </row>
    <row r="705" spans="2:2">
      <c r="B705" s="3067">
        <v>0</v>
      </c>
    </row>
    <row r="706" spans="2:2">
      <c r="B706" s="3067">
        <v>0</v>
      </c>
    </row>
    <row r="707" spans="2:2">
      <c r="B707" s="3067">
        <v>0</v>
      </c>
    </row>
    <row r="708" spans="2:2">
      <c r="B708" s="3067">
        <v>0</v>
      </c>
    </row>
    <row r="709" spans="2:2">
      <c r="B709" s="3067">
        <v>0</v>
      </c>
    </row>
    <row r="710" spans="2:2">
      <c r="B710" s="3067">
        <v>0</v>
      </c>
    </row>
    <row r="711" spans="2:2">
      <c r="B711" s="3067">
        <v>0</v>
      </c>
    </row>
    <row r="712" spans="2:2">
      <c r="B712" s="3067">
        <v>0</v>
      </c>
    </row>
    <row r="713" spans="2:2">
      <c r="B713" s="3067">
        <v>0</v>
      </c>
    </row>
    <row r="714" spans="2:2">
      <c r="B714" s="3067">
        <v>0</v>
      </c>
    </row>
    <row r="715" spans="2:2">
      <c r="B715" s="3067">
        <v>0</v>
      </c>
    </row>
    <row r="716" spans="2:2">
      <c r="B716" s="3067">
        <v>0</v>
      </c>
    </row>
    <row r="717" spans="2:2">
      <c r="B717" s="3067">
        <v>0</v>
      </c>
    </row>
    <row r="718" spans="2:2">
      <c r="B718" s="3067">
        <v>0</v>
      </c>
    </row>
    <row r="719" spans="2:2">
      <c r="B719" s="3067">
        <v>0</v>
      </c>
    </row>
    <row r="720" spans="2:2">
      <c r="B720" s="3067">
        <v>0</v>
      </c>
    </row>
    <row r="721" spans="2:2">
      <c r="B721" s="3067">
        <v>0</v>
      </c>
    </row>
    <row r="722" spans="2:2">
      <c r="B722" s="3067">
        <v>0</v>
      </c>
    </row>
    <row r="723" spans="2:2">
      <c r="B723" s="3067">
        <v>0</v>
      </c>
    </row>
    <row r="724" spans="2:2">
      <c r="B724" s="3067">
        <v>0</v>
      </c>
    </row>
    <row r="725" spans="2:2">
      <c r="B725" s="3067">
        <v>0</v>
      </c>
    </row>
    <row r="726" spans="2:2">
      <c r="B726" s="3067">
        <v>0</v>
      </c>
    </row>
    <row r="727" spans="2:2">
      <c r="B727" s="3067">
        <v>0</v>
      </c>
    </row>
    <row r="728" spans="2:2">
      <c r="B728" s="3067">
        <v>0</v>
      </c>
    </row>
    <row r="729" spans="2:2">
      <c r="B729" s="3067">
        <v>0</v>
      </c>
    </row>
    <row r="730" spans="2:2">
      <c r="B730" s="3067">
        <v>0</v>
      </c>
    </row>
    <row r="731" spans="2:2">
      <c r="B731" s="3067">
        <v>0</v>
      </c>
    </row>
    <row r="732" spans="2:2">
      <c r="B732" s="3067">
        <v>0</v>
      </c>
    </row>
    <row r="733" spans="2:2">
      <c r="B733" s="3067">
        <v>0</v>
      </c>
    </row>
    <row r="734" spans="2:2">
      <c r="B734" s="3067">
        <v>0</v>
      </c>
    </row>
    <row r="735" spans="2:2">
      <c r="B735" s="3067">
        <v>0</v>
      </c>
    </row>
    <row r="736" spans="2:2">
      <c r="B736" s="3067">
        <v>0</v>
      </c>
    </row>
    <row r="737" spans="2:2">
      <c r="B737" s="3067">
        <v>0</v>
      </c>
    </row>
    <row r="738" spans="2:2">
      <c r="B738" s="3067">
        <v>0</v>
      </c>
    </row>
    <row r="739" spans="2:2">
      <c r="B739" s="3067">
        <v>0</v>
      </c>
    </row>
    <row r="740" spans="2:2">
      <c r="B740" s="3067">
        <v>0</v>
      </c>
    </row>
    <row r="741" spans="2:2">
      <c r="B741" s="3067">
        <v>0</v>
      </c>
    </row>
    <row r="742" spans="2:2">
      <c r="B742" s="3067">
        <v>0</v>
      </c>
    </row>
    <row r="743" spans="2:2">
      <c r="B743" s="3067">
        <v>0</v>
      </c>
    </row>
    <row r="744" spans="2:2">
      <c r="B744" s="3067">
        <v>0</v>
      </c>
    </row>
    <row r="745" spans="2:2">
      <c r="B745" s="3067">
        <v>0</v>
      </c>
    </row>
    <row r="746" spans="2:2">
      <c r="B746" s="3067">
        <v>0</v>
      </c>
    </row>
    <row r="747" spans="2:2">
      <c r="B747" s="3067">
        <v>0</v>
      </c>
    </row>
    <row r="748" spans="2:2">
      <c r="B748" s="3067">
        <v>0</v>
      </c>
    </row>
    <row r="749" spans="2:2">
      <c r="B749" s="3067">
        <v>0</v>
      </c>
    </row>
    <row r="750" spans="2:2">
      <c r="B750" s="3067">
        <v>0</v>
      </c>
    </row>
    <row r="751" spans="2:2">
      <c r="B751" s="3067">
        <v>0</v>
      </c>
    </row>
    <row r="752" spans="2:2">
      <c r="B752" s="3067">
        <v>0</v>
      </c>
    </row>
    <row r="753" spans="2:2">
      <c r="B753" s="3067">
        <v>0</v>
      </c>
    </row>
    <row r="754" spans="2:2">
      <c r="B754" s="3067">
        <v>0</v>
      </c>
    </row>
    <row r="755" spans="2:2">
      <c r="B755" s="3067">
        <v>0</v>
      </c>
    </row>
    <row r="756" spans="2:2">
      <c r="B756" s="3067">
        <v>0</v>
      </c>
    </row>
    <row r="757" spans="2:2">
      <c r="B757" s="3067">
        <v>0</v>
      </c>
    </row>
    <row r="758" spans="2:2">
      <c r="B758" s="3067">
        <v>0</v>
      </c>
    </row>
    <row r="759" spans="2:2">
      <c r="B759" s="3067">
        <v>0</v>
      </c>
    </row>
    <row r="760" spans="2:2">
      <c r="B760" s="3067">
        <v>0</v>
      </c>
    </row>
    <row r="761" spans="2:2">
      <c r="B761" s="3067">
        <v>0</v>
      </c>
    </row>
    <row r="762" spans="2:2">
      <c r="B762" s="3067">
        <v>0</v>
      </c>
    </row>
    <row r="763" spans="2:2">
      <c r="B763" s="3067">
        <v>0</v>
      </c>
    </row>
    <row r="764" spans="2:2">
      <c r="B764" s="3067">
        <v>0</v>
      </c>
    </row>
    <row r="765" spans="2:2">
      <c r="B765" s="3067">
        <v>0</v>
      </c>
    </row>
    <row r="766" spans="2:2">
      <c r="B766" s="3067">
        <v>0</v>
      </c>
    </row>
    <row r="767" spans="2:2">
      <c r="B767" s="3067">
        <v>0</v>
      </c>
    </row>
    <row r="768" spans="2:2">
      <c r="B768" s="3067">
        <v>0</v>
      </c>
    </row>
    <row r="769" spans="2:2">
      <c r="B769" s="3067">
        <v>0</v>
      </c>
    </row>
    <row r="770" spans="2:2">
      <c r="B770" s="3067">
        <v>0</v>
      </c>
    </row>
    <row r="771" spans="2:2">
      <c r="B771" s="3067">
        <v>0</v>
      </c>
    </row>
    <row r="772" spans="2:2">
      <c r="B772" s="3067">
        <v>0</v>
      </c>
    </row>
    <row r="773" spans="2:2">
      <c r="B773" s="3067">
        <v>0</v>
      </c>
    </row>
    <row r="774" spans="2:2">
      <c r="B774" s="3067">
        <v>0</v>
      </c>
    </row>
    <row r="775" spans="2:2">
      <c r="B775" s="3067">
        <v>0</v>
      </c>
    </row>
    <row r="776" spans="2:2">
      <c r="B776" s="3067">
        <v>0</v>
      </c>
    </row>
    <row r="777" spans="2:2">
      <c r="B777" s="3067">
        <v>0</v>
      </c>
    </row>
    <row r="778" spans="2:2">
      <c r="B778" s="3067">
        <v>0</v>
      </c>
    </row>
    <row r="779" spans="2:2">
      <c r="B779" s="3067">
        <v>0</v>
      </c>
    </row>
    <row r="780" spans="2:2">
      <c r="B780" s="3067">
        <v>0</v>
      </c>
    </row>
    <row r="781" spans="2:2">
      <c r="B781" s="3067">
        <v>0</v>
      </c>
    </row>
    <row r="782" spans="2:2">
      <c r="B782" s="3067">
        <v>0</v>
      </c>
    </row>
    <row r="783" spans="2:2">
      <c r="B783" s="3067">
        <v>0</v>
      </c>
    </row>
    <row r="784" spans="2:2">
      <c r="B784" s="3067">
        <v>0</v>
      </c>
    </row>
    <row r="785" spans="2:2">
      <c r="B785" s="3067">
        <v>0</v>
      </c>
    </row>
    <row r="786" spans="2:2">
      <c r="B786" s="3067">
        <v>0</v>
      </c>
    </row>
    <row r="787" spans="2:2">
      <c r="B787" s="3067">
        <v>0</v>
      </c>
    </row>
    <row r="788" spans="2:2">
      <c r="B788" s="3067">
        <v>0</v>
      </c>
    </row>
    <row r="789" spans="2:2">
      <c r="B789" s="3067">
        <v>0</v>
      </c>
    </row>
    <row r="790" spans="2:2">
      <c r="B790" s="3067">
        <v>0</v>
      </c>
    </row>
    <row r="791" spans="2:2">
      <c r="B791" s="3067">
        <v>0</v>
      </c>
    </row>
    <row r="792" spans="2:2">
      <c r="B792" s="3067">
        <v>0</v>
      </c>
    </row>
    <row r="793" spans="2:2">
      <c r="B793" s="3067">
        <v>0</v>
      </c>
    </row>
    <row r="794" spans="2:2">
      <c r="B794" s="3067">
        <v>0</v>
      </c>
    </row>
    <row r="795" spans="2:2">
      <c r="B795" s="3067">
        <v>0</v>
      </c>
    </row>
    <row r="796" spans="2:2">
      <c r="B796" s="3067">
        <v>0</v>
      </c>
    </row>
    <row r="797" spans="2:2">
      <c r="B797" s="3067">
        <v>0</v>
      </c>
    </row>
    <row r="798" spans="2:2">
      <c r="B798" s="3067">
        <v>0</v>
      </c>
    </row>
    <row r="799" spans="2:2">
      <c r="B799" s="3067">
        <v>0</v>
      </c>
    </row>
    <row r="800" spans="2:2">
      <c r="B800" s="3067">
        <v>0</v>
      </c>
    </row>
    <row r="801" spans="2:2">
      <c r="B801" s="3067">
        <v>0</v>
      </c>
    </row>
    <row r="802" spans="2:2">
      <c r="B802" s="3067">
        <v>0</v>
      </c>
    </row>
    <row r="803" spans="2:2">
      <c r="B803" s="3067">
        <v>0</v>
      </c>
    </row>
    <row r="804" spans="2:2">
      <c r="B804" s="3067">
        <v>0</v>
      </c>
    </row>
    <row r="805" spans="2:2">
      <c r="B805" s="3067">
        <v>0</v>
      </c>
    </row>
    <row r="806" spans="2:2">
      <c r="B806" s="3067">
        <v>0</v>
      </c>
    </row>
    <row r="807" spans="2:2">
      <c r="B807" s="3067">
        <v>0</v>
      </c>
    </row>
    <row r="808" spans="2:2">
      <c r="B808" s="3067">
        <v>0</v>
      </c>
    </row>
    <row r="809" spans="2:2">
      <c r="B809" s="3067">
        <v>0</v>
      </c>
    </row>
    <row r="810" spans="2:2">
      <c r="B810" s="3067">
        <v>0</v>
      </c>
    </row>
    <row r="811" spans="2:2">
      <c r="B811" s="3067">
        <v>0</v>
      </c>
    </row>
    <row r="812" spans="2:2">
      <c r="B812" s="3067">
        <v>0</v>
      </c>
    </row>
    <row r="813" spans="2:2">
      <c r="B813" s="3067">
        <v>0</v>
      </c>
    </row>
    <row r="814" spans="2:2">
      <c r="B814" s="3067">
        <v>0</v>
      </c>
    </row>
    <row r="815" spans="2:2">
      <c r="B815" s="3067">
        <v>0</v>
      </c>
    </row>
    <row r="816" spans="2:2">
      <c r="B816" s="3067">
        <v>0</v>
      </c>
    </row>
    <row r="817" spans="2:2">
      <c r="B817" s="3067">
        <v>0</v>
      </c>
    </row>
    <row r="818" spans="2:2">
      <c r="B818" s="3067">
        <v>0</v>
      </c>
    </row>
    <row r="819" spans="2:2">
      <c r="B819" s="3067">
        <v>0</v>
      </c>
    </row>
    <row r="820" spans="2:2">
      <c r="B820" s="3067">
        <v>0</v>
      </c>
    </row>
    <row r="821" spans="2:2">
      <c r="B821" s="3067">
        <v>0</v>
      </c>
    </row>
    <row r="822" spans="2:2">
      <c r="B822" s="3067">
        <v>0</v>
      </c>
    </row>
    <row r="823" spans="2:2">
      <c r="B823" s="3067">
        <v>0</v>
      </c>
    </row>
    <row r="824" spans="2:2">
      <c r="B824" s="3067">
        <v>0</v>
      </c>
    </row>
    <row r="825" spans="2:2">
      <c r="B825" s="3067">
        <v>0</v>
      </c>
    </row>
    <row r="826" spans="2:2">
      <c r="B826" s="3067">
        <v>0</v>
      </c>
    </row>
    <row r="827" spans="2:2">
      <c r="B827" s="3067">
        <v>0</v>
      </c>
    </row>
    <row r="828" spans="2:2">
      <c r="B828" s="3067">
        <v>0</v>
      </c>
    </row>
    <row r="829" spans="2:2">
      <c r="B829" s="3067">
        <v>0</v>
      </c>
    </row>
    <row r="830" spans="2:2">
      <c r="B830" s="3067">
        <v>0</v>
      </c>
    </row>
    <row r="831" spans="2:2">
      <c r="B831" s="3067">
        <v>0</v>
      </c>
    </row>
    <row r="832" spans="2:2">
      <c r="B832" s="3067">
        <v>0</v>
      </c>
    </row>
    <row r="833" spans="2:2">
      <c r="B833" s="3067">
        <v>0</v>
      </c>
    </row>
    <row r="834" spans="2:2">
      <c r="B834" s="3067">
        <v>0</v>
      </c>
    </row>
    <row r="835" spans="2:2">
      <c r="B835" s="3067">
        <v>0</v>
      </c>
    </row>
    <row r="836" spans="2:2">
      <c r="B836" s="3067">
        <v>0</v>
      </c>
    </row>
    <row r="837" spans="2:2">
      <c r="B837" s="3067">
        <v>0</v>
      </c>
    </row>
    <row r="838" spans="2:2">
      <c r="B838" s="3067">
        <v>0</v>
      </c>
    </row>
    <row r="839" spans="2:2">
      <c r="B839" s="3067">
        <v>0</v>
      </c>
    </row>
    <row r="840" spans="2:2">
      <c r="B840" s="3067">
        <v>0</v>
      </c>
    </row>
    <row r="841" spans="2:2">
      <c r="B841" s="3067">
        <v>0</v>
      </c>
    </row>
    <row r="842" spans="2:2">
      <c r="B842" s="3067">
        <v>0</v>
      </c>
    </row>
    <row r="843" spans="2:2">
      <c r="B843" s="3067">
        <v>0</v>
      </c>
    </row>
    <row r="844" spans="2:2">
      <c r="B844" s="3067">
        <v>0</v>
      </c>
    </row>
    <row r="845" spans="2:2">
      <c r="B845" s="3067">
        <v>0</v>
      </c>
    </row>
    <row r="846" spans="2:2">
      <c r="B846" s="3067">
        <v>0</v>
      </c>
    </row>
    <row r="847" spans="2:2">
      <c r="B847" s="3067">
        <v>0</v>
      </c>
    </row>
    <row r="848" spans="2:2">
      <c r="B848" s="3067">
        <v>0</v>
      </c>
    </row>
    <row r="849" spans="2:2">
      <c r="B849" s="3067">
        <v>0</v>
      </c>
    </row>
    <row r="850" spans="2:2">
      <c r="B850" s="3067">
        <v>0</v>
      </c>
    </row>
    <row r="851" spans="2:2">
      <c r="B851" s="3067">
        <v>0</v>
      </c>
    </row>
    <row r="852" spans="2:2">
      <c r="B852" s="3067">
        <v>0</v>
      </c>
    </row>
    <row r="853" spans="2:2">
      <c r="B853" s="3067">
        <v>0</v>
      </c>
    </row>
    <row r="854" spans="2:2">
      <c r="B854" s="3067">
        <v>0</v>
      </c>
    </row>
    <row r="855" spans="2:2">
      <c r="B855" s="3067">
        <v>0</v>
      </c>
    </row>
    <row r="856" spans="2:2">
      <c r="B856" s="3067">
        <v>0</v>
      </c>
    </row>
    <row r="857" spans="2:2">
      <c r="B857" s="3067">
        <v>0</v>
      </c>
    </row>
    <row r="858" spans="2:2">
      <c r="B858" s="3067">
        <v>0</v>
      </c>
    </row>
    <row r="859" spans="2:2">
      <c r="B859" s="3067">
        <v>0</v>
      </c>
    </row>
    <row r="860" spans="2:2">
      <c r="B860" s="3067">
        <v>0</v>
      </c>
    </row>
    <row r="861" spans="2:2">
      <c r="B861" s="3067">
        <v>0</v>
      </c>
    </row>
    <row r="862" spans="2:2">
      <c r="B862" s="3067">
        <v>0</v>
      </c>
    </row>
    <row r="863" spans="2:2">
      <c r="B863" s="3067">
        <v>0</v>
      </c>
    </row>
    <row r="864" spans="2:2">
      <c r="B864" s="3067">
        <v>0</v>
      </c>
    </row>
    <row r="865" spans="2:2">
      <c r="B865" s="3067">
        <v>0</v>
      </c>
    </row>
    <row r="866" spans="2:2">
      <c r="B866" s="3067">
        <v>0</v>
      </c>
    </row>
    <row r="867" spans="2:2">
      <c r="B867" s="3067">
        <v>0</v>
      </c>
    </row>
    <row r="868" spans="2:2">
      <c r="B868" s="3067">
        <v>0</v>
      </c>
    </row>
    <row r="869" spans="2:2">
      <c r="B869" s="3067">
        <v>0</v>
      </c>
    </row>
    <row r="870" spans="2:2">
      <c r="B870" s="3067">
        <v>0</v>
      </c>
    </row>
    <row r="871" spans="2:2">
      <c r="B871" s="3067">
        <v>0</v>
      </c>
    </row>
    <row r="872" spans="2:2">
      <c r="B872" s="3067">
        <v>0</v>
      </c>
    </row>
    <row r="873" spans="2:2">
      <c r="B873" s="3067">
        <v>0</v>
      </c>
    </row>
    <row r="874" spans="2:2">
      <c r="B874" s="3067">
        <v>0</v>
      </c>
    </row>
    <row r="875" spans="2:2">
      <c r="B875" s="3067">
        <v>0</v>
      </c>
    </row>
    <row r="876" spans="2:2">
      <c r="B876" s="3067">
        <v>0</v>
      </c>
    </row>
    <row r="877" spans="2:2">
      <c r="B877" s="3067">
        <v>0</v>
      </c>
    </row>
    <row r="878" spans="2:2">
      <c r="B878" s="3067">
        <v>0</v>
      </c>
    </row>
    <row r="879" spans="2:2">
      <c r="B879" s="3067">
        <v>0</v>
      </c>
    </row>
    <row r="880" spans="2:2">
      <c r="B880" s="3067">
        <v>0</v>
      </c>
    </row>
    <row r="881" spans="2:2">
      <c r="B881" s="3067">
        <v>0</v>
      </c>
    </row>
    <row r="882" spans="2:2">
      <c r="B882" s="3067">
        <v>0</v>
      </c>
    </row>
    <row r="883" spans="2:2">
      <c r="B883" s="3067">
        <v>0</v>
      </c>
    </row>
    <row r="884" spans="2:2">
      <c r="B884" s="3067">
        <v>0</v>
      </c>
    </row>
    <row r="885" spans="2:2">
      <c r="B885" s="3067">
        <v>0</v>
      </c>
    </row>
    <row r="886" spans="2:2">
      <c r="B886" s="3067">
        <v>0</v>
      </c>
    </row>
    <row r="887" spans="2:2">
      <c r="B887" s="3067">
        <v>0</v>
      </c>
    </row>
    <row r="888" spans="2:2">
      <c r="B888" s="3067">
        <v>0</v>
      </c>
    </row>
    <row r="889" spans="2:2">
      <c r="B889" s="3067">
        <v>0</v>
      </c>
    </row>
    <row r="890" spans="2:2">
      <c r="B890" s="3067">
        <v>0</v>
      </c>
    </row>
    <row r="891" spans="2:2">
      <c r="B891" s="3067">
        <v>0</v>
      </c>
    </row>
    <row r="892" spans="2:2">
      <c r="B892" s="3067">
        <v>0</v>
      </c>
    </row>
    <row r="893" spans="2:2">
      <c r="B893" s="3067">
        <v>0</v>
      </c>
    </row>
    <row r="894" spans="2:2">
      <c r="B894" s="3067">
        <v>0</v>
      </c>
    </row>
    <row r="895" spans="2:2">
      <c r="B895" s="3067">
        <v>0</v>
      </c>
    </row>
    <row r="896" spans="2:2">
      <c r="B896" s="3067">
        <v>0</v>
      </c>
    </row>
    <row r="897" spans="2:2">
      <c r="B897" s="3067">
        <v>0</v>
      </c>
    </row>
    <row r="898" spans="2:2">
      <c r="B898" s="3067">
        <v>0</v>
      </c>
    </row>
    <row r="899" spans="2:2">
      <c r="B899" s="3067">
        <v>0</v>
      </c>
    </row>
    <row r="900" spans="2:2">
      <c r="B900" s="3067">
        <v>0</v>
      </c>
    </row>
    <row r="901" spans="2:2">
      <c r="B901" s="3067">
        <v>0</v>
      </c>
    </row>
    <row r="902" spans="2:2">
      <c r="B902" s="3067">
        <v>0</v>
      </c>
    </row>
    <row r="903" spans="2:2">
      <c r="B903" s="3067">
        <v>0</v>
      </c>
    </row>
    <row r="904" spans="2:2">
      <c r="B904" s="3067">
        <v>0</v>
      </c>
    </row>
    <row r="905" spans="2:2">
      <c r="B905" s="3067">
        <v>0</v>
      </c>
    </row>
    <row r="906" spans="2:2">
      <c r="B906" s="3067">
        <v>0</v>
      </c>
    </row>
    <row r="907" spans="2:2">
      <c r="B907" s="3067">
        <v>0</v>
      </c>
    </row>
    <row r="908" spans="2:2">
      <c r="B908" s="3067">
        <v>0</v>
      </c>
    </row>
    <row r="909" spans="2:2">
      <c r="B909" s="3067">
        <v>0</v>
      </c>
    </row>
    <row r="910" spans="2:2">
      <c r="B910" s="3067">
        <v>0</v>
      </c>
    </row>
    <row r="911" spans="2:2">
      <c r="B911" s="3067">
        <v>0</v>
      </c>
    </row>
    <row r="912" spans="2:2">
      <c r="B912" s="3067">
        <v>0</v>
      </c>
    </row>
    <row r="913" spans="2:2">
      <c r="B913" s="3067">
        <v>0</v>
      </c>
    </row>
    <row r="914" spans="2:2">
      <c r="B914" s="3067">
        <v>0</v>
      </c>
    </row>
    <row r="915" spans="2:2">
      <c r="B915" s="3067">
        <v>0</v>
      </c>
    </row>
    <row r="916" spans="2:2">
      <c r="B916" s="3067">
        <v>0</v>
      </c>
    </row>
    <row r="917" spans="2:2">
      <c r="B917" s="3067">
        <v>0</v>
      </c>
    </row>
    <row r="918" spans="2:2">
      <c r="B918" s="3067">
        <v>0</v>
      </c>
    </row>
    <row r="919" spans="2:2">
      <c r="B919" s="3067">
        <v>0</v>
      </c>
    </row>
    <row r="920" spans="2:2">
      <c r="B920" s="3067">
        <v>0</v>
      </c>
    </row>
    <row r="921" spans="2:2">
      <c r="B921" s="3067">
        <v>0</v>
      </c>
    </row>
    <row r="922" spans="2:2">
      <c r="B922" s="3067">
        <v>0</v>
      </c>
    </row>
    <row r="923" spans="2:2">
      <c r="B923" s="3067">
        <v>0</v>
      </c>
    </row>
    <row r="924" spans="2:2">
      <c r="B924" s="3067">
        <v>0</v>
      </c>
    </row>
    <row r="925" spans="2:2">
      <c r="B925" s="3067">
        <v>0</v>
      </c>
    </row>
    <row r="926" spans="2:2">
      <c r="B926" s="3067">
        <v>0</v>
      </c>
    </row>
    <row r="927" spans="2:2">
      <c r="B927" s="3067">
        <v>0</v>
      </c>
    </row>
    <row r="928" spans="2:2">
      <c r="B928" s="3067">
        <v>0</v>
      </c>
    </row>
    <row r="929" spans="2:2">
      <c r="B929" s="3067">
        <v>0</v>
      </c>
    </row>
    <row r="930" spans="2:2">
      <c r="B930" s="3067">
        <v>0</v>
      </c>
    </row>
    <row r="931" spans="2:2">
      <c r="B931" s="3067">
        <v>0</v>
      </c>
    </row>
    <row r="932" spans="2:2">
      <c r="B932" s="3067">
        <v>0</v>
      </c>
    </row>
    <row r="933" spans="2:2">
      <c r="B933" s="3067">
        <v>0</v>
      </c>
    </row>
    <row r="934" spans="2:2">
      <c r="B934" s="3067">
        <v>0</v>
      </c>
    </row>
    <row r="935" spans="2:2">
      <c r="B935" s="3067">
        <v>0</v>
      </c>
    </row>
    <row r="936" spans="2:2">
      <c r="B936" s="3067">
        <v>0</v>
      </c>
    </row>
    <row r="937" spans="2:2">
      <c r="B937" s="3067">
        <v>0</v>
      </c>
    </row>
    <row r="938" spans="2:2">
      <c r="B938" s="3067">
        <v>0</v>
      </c>
    </row>
    <row r="939" spans="2:2">
      <c r="B939" s="3067">
        <v>0</v>
      </c>
    </row>
    <row r="940" spans="2:2">
      <c r="B940" s="3067">
        <v>0</v>
      </c>
    </row>
    <row r="941" spans="2:2">
      <c r="B941" s="3067">
        <v>0</v>
      </c>
    </row>
    <row r="942" spans="2:2">
      <c r="B942" s="3067">
        <v>0</v>
      </c>
    </row>
    <row r="943" spans="2:2">
      <c r="B943" s="3067">
        <v>0</v>
      </c>
    </row>
    <row r="944" spans="2:2">
      <c r="B944" s="3067">
        <v>0</v>
      </c>
    </row>
    <row r="945" spans="2:2">
      <c r="B945" s="3067">
        <v>0</v>
      </c>
    </row>
    <row r="946" spans="2:2">
      <c r="B946" s="3067">
        <v>0</v>
      </c>
    </row>
    <row r="947" spans="2:2">
      <c r="B947" s="3067">
        <v>0</v>
      </c>
    </row>
    <row r="948" spans="2:2">
      <c r="B948" s="3067">
        <v>0</v>
      </c>
    </row>
    <row r="949" spans="2:2">
      <c r="B949" s="3067">
        <v>0</v>
      </c>
    </row>
    <row r="950" spans="2:2">
      <c r="B950" s="3067">
        <v>0</v>
      </c>
    </row>
    <row r="951" spans="2:2">
      <c r="B951" s="3067">
        <v>0</v>
      </c>
    </row>
    <row r="952" spans="2:2">
      <c r="B952" s="3067">
        <v>0</v>
      </c>
    </row>
    <row r="953" spans="2:2">
      <c r="B953" s="3067">
        <v>0</v>
      </c>
    </row>
    <row r="954" spans="2:2">
      <c r="B954" s="3067">
        <v>0</v>
      </c>
    </row>
    <row r="955" spans="2:2">
      <c r="B955" s="3067">
        <v>0</v>
      </c>
    </row>
    <row r="956" spans="2:2">
      <c r="B956" s="3067">
        <v>0</v>
      </c>
    </row>
    <row r="957" spans="2:2">
      <c r="B957" s="3067">
        <v>0</v>
      </c>
    </row>
    <row r="958" spans="2:2">
      <c r="B958" s="3067">
        <v>0</v>
      </c>
    </row>
    <row r="959" spans="2:2">
      <c r="B959" s="3067">
        <v>0</v>
      </c>
    </row>
    <row r="960" spans="2:2">
      <c r="B960" s="3067">
        <v>0</v>
      </c>
    </row>
    <row r="961" spans="2:2">
      <c r="B961" s="3067">
        <v>0</v>
      </c>
    </row>
    <row r="962" spans="2:2">
      <c r="B962" s="3067">
        <v>0</v>
      </c>
    </row>
    <row r="963" spans="2:2">
      <c r="B963" s="3067">
        <v>0</v>
      </c>
    </row>
    <row r="964" spans="2:2">
      <c r="B964" s="3067">
        <v>0</v>
      </c>
    </row>
    <row r="965" spans="2:2">
      <c r="B965" s="3067">
        <v>0</v>
      </c>
    </row>
    <row r="966" spans="2:2">
      <c r="B966" s="3067">
        <v>0</v>
      </c>
    </row>
    <row r="967" spans="2:2">
      <c r="B967" s="3067">
        <v>0</v>
      </c>
    </row>
    <row r="968" spans="2:2">
      <c r="B968" s="3067">
        <v>0</v>
      </c>
    </row>
    <row r="969" spans="2:2">
      <c r="B969" s="3067">
        <v>0</v>
      </c>
    </row>
    <row r="970" spans="2:2">
      <c r="B970" s="3067">
        <v>0</v>
      </c>
    </row>
    <row r="971" spans="2:2">
      <c r="B971" s="3067">
        <v>0</v>
      </c>
    </row>
    <row r="972" spans="2:2">
      <c r="B972" s="3067">
        <v>0</v>
      </c>
    </row>
    <row r="973" spans="2:2">
      <c r="B973" s="3067">
        <v>0</v>
      </c>
    </row>
    <row r="974" spans="2:2">
      <c r="B974" s="3067">
        <v>0</v>
      </c>
    </row>
    <row r="975" spans="2:2">
      <c r="B975" s="3067">
        <v>0</v>
      </c>
    </row>
    <row r="976" spans="2:2">
      <c r="B976" s="3067">
        <v>0</v>
      </c>
    </row>
    <row r="977" spans="2:2">
      <c r="B977" s="3067">
        <v>0</v>
      </c>
    </row>
    <row r="978" spans="2:2">
      <c r="B978" s="3067">
        <v>0</v>
      </c>
    </row>
    <row r="979" spans="2:2">
      <c r="B979" s="3067">
        <v>0</v>
      </c>
    </row>
    <row r="980" spans="2:2">
      <c r="B980" s="3067">
        <v>0</v>
      </c>
    </row>
    <row r="981" spans="2:2">
      <c r="B981" s="3067">
        <v>0</v>
      </c>
    </row>
    <row r="982" spans="2:2">
      <c r="B982" s="3067">
        <v>0</v>
      </c>
    </row>
    <row r="983" spans="2:2">
      <c r="B983" s="3067">
        <v>0</v>
      </c>
    </row>
    <row r="984" spans="2:2">
      <c r="B984" s="3067">
        <v>0</v>
      </c>
    </row>
    <row r="985" spans="2:2">
      <c r="B985" s="3067">
        <v>0</v>
      </c>
    </row>
    <row r="986" spans="2:2">
      <c r="B986" s="3067">
        <v>0</v>
      </c>
    </row>
    <row r="987" spans="2:2">
      <c r="B987" s="3067">
        <v>0</v>
      </c>
    </row>
    <row r="988" spans="2:2">
      <c r="B988" s="3067">
        <v>0</v>
      </c>
    </row>
    <row r="989" spans="2:2">
      <c r="B989" s="3067">
        <v>0</v>
      </c>
    </row>
    <row r="990" spans="2:2">
      <c r="B990" s="3067">
        <v>0</v>
      </c>
    </row>
    <row r="991" spans="2:2">
      <c r="B991" s="3067">
        <v>0</v>
      </c>
    </row>
    <row r="992" spans="2:2">
      <c r="B992" s="3067">
        <v>0</v>
      </c>
    </row>
    <row r="993" spans="2:2">
      <c r="B993" s="3067">
        <v>0</v>
      </c>
    </row>
    <row r="994" spans="2:2">
      <c r="B994" s="3067">
        <v>0</v>
      </c>
    </row>
    <row r="995" spans="2:2">
      <c r="B995" s="3067">
        <v>0</v>
      </c>
    </row>
    <row r="996" spans="2:2">
      <c r="B996" s="3067">
        <v>0</v>
      </c>
    </row>
    <row r="997" spans="2:2">
      <c r="B997" s="3067">
        <v>0</v>
      </c>
    </row>
    <row r="998" spans="2:2">
      <c r="B998" s="3067">
        <v>0</v>
      </c>
    </row>
    <row r="999" spans="2:2">
      <c r="B999" s="3067">
        <v>0</v>
      </c>
    </row>
    <row r="1000" spans="2:2">
      <c r="B1000" s="3067">
        <v>0</v>
      </c>
    </row>
    <row r="1001" spans="2:2">
      <c r="B1001" s="3067">
        <v>0</v>
      </c>
    </row>
    <row r="1002" spans="2:2">
      <c r="B1002" s="3067">
        <v>0</v>
      </c>
    </row>
    <row r="1003" spans="2:2">
      <c r="B1003" s="3067">
        <v>0</v>
      </c>
    </row>
    <row r="1004" spans="2:2">
      <c r="B1004" s="3067">
        <v>0</v>
      </c>
    </row>
    <row r="1005" spans="2:2">
      <c r="B1005" s="3067">
        <v>0</v>
      </c>
    </row>
    <row r="1006" spans="2:2">
      <c r="B1006" s="3067">
        <v>0</v>
      </c>
    </row>
    <row r="1007" spans="2:2">
      <c r="B1007" s="3067">
        <v>0</v>
      </c>
    </row>
    <row r="1008" spans="2:2">
      <c r="B1008" s="3067">
        <v>0</v>
      </c>
    </row>
    <row r="1009" spans="2:2">
      <c r="B1009" s="3067">
        <v>0</v>
      </c>
    </row>
    <row r="1010" spans="2:2">
      <c r="B1010" s="3067">
        <v>0</v>
      </c>
    </row>
    <row r="1011" spans="2:2">
      <c r="B1011" s="3067">
        <v>0</v>
      </c>
    </row>
    <row r="1012" spans="2:2">
      <c r="B1012" s="3067">
        <v>0</v>
      </c>
    </row>
    <row r="1013" spans="2:2">
      <c r="B1013" s="3067">
        <v>0</v>
      </c>
    </row>
    <row r="1014" spans="2:2">
      <c r="B1014" s="3067">
        <v>0</v>
      </c>
    </row>
    <row r="1015" spans="2:2">
      <c r="B1015" s="3067">
        <v>0</v>
      </c>
    </row>
    <row r="1016" spans="2:2">
      <c r="B1016" s="3067">
        <v>0</v>
      </c>
    </row>
    <row r="1017" spans="2:2">
      <c r="B1017" s="3067">
        <v>0</v>
      </c>
    </row>
    <row r="1018" spans="2:2">
      <c r="B1018" s="3067">
        <v>0</v>
      </c>
    </row>
    <row r="1019" spans="2:2">
      <c r="B1019" s="3067">
        <v>0</v>
      </c>
    </row>
    <row r="1020" spans="2:2">
      <c r="B1020" s="3067">
        <v>0</v>
      </c>
    </row>
    <row r="1021" spans="2:2">
      <c r="B1021" s="3067">
        <v>0</v>
      </c>
    </row>
    <row r="1022" spans="2:2">
      <c r="B1022" s="3067">
        <v>0</v>
      </c>
    </row>
    <row r="1023" spans="2:2">
      <c r="B1023" s="3067">
        <v>0</v>
      </c>
    </row>
    <row r="1024" spans="2:2">
      <c r="B1024" s="3067">
        <v>0</v>
      </c>
    </row>
    <row r="1025" spans="2:2">
      <c r="B1025" s="3067">
        <v>0</v>
      </c>
    </row>
    <row r="1026" spans="2:2">
      <c r="B1026" s="3067">
        <v>0</v>
      </c>
    </row>
    <row r="1027" spans="2:2">
      <c r="B1027" s="3067">
        <v>0</v>
      </c>
    </row>
    <row r="1028" spans="2:2">
      <c r="B1028" s="3067">
        <v>0</v>
      </c>
    </row>
    <row r="1029" spans="2:2">
      <c r="B1029" s="3067">
        <v>0</v>
      </c>
    </row>
    <row r="1030" spans="2:2">
      <c r="B1030" s="3067">
        <v>0</v>
      </c>
    </row>
    <row r="1031" spans="2:2">
      <c r="B1031" s="3067">
        <v>0</v>
      </c>
    </row>
    <row r="1032" spans="2:2">
      <c r="B1032" s="3067">
        <v>0</v>
      </c>
    </row>
    <row r="1033" spans="2:2">
      <c r="B1033" s="3067">
        <v>0</v>
      </c>
    </row>
    <row r="1034" spans="2:2">
      <c r="B1034" s="3067">
        <v>0</v>
      </c>
    </row>
    <row r="1035" spans="2:2">
      <c r="B1035" s="3067">
        <v>0</v>
      </c>
    </row>
    <row r="1036" spans="2:2">
      <c r="B1036" s="3067">
        <v>0</v>
      </c>
    </row>
    <row r="1037" spans="2:2">
      <c r="B1037" s="3067">
        <v>0</v>
      </c>
    </row>
    <row r="1038" spans="2:2">
      <c r="B1038" s="3067">
        <v>0</v>
      </c>
    </row>
    <row r="1039" spans="2:2">
      <c r="B1039" s="3067">
        <v>0</v>
      </c>
    </row>
    <row r="1040" spans="2:2">
      <c r="B1040" s="3067">
        <v>0</v>
      </c>
    </row>
    <row r="1041" spans="2:2">
      <c r="B1041" s="3067">
        <v>0</v>
      </c>
    </row>
    <row r="1042" spans="2:2">
      <c r="B1042" s="3067">
        <v>0</v>
      </c>
    </row>
    <row r="1043" spans="2:2">
      <c r="B1043" s="3067">
        <v>0</v>
      </c>
    </row>
    <row r="1044" spans="2:2">
      <c r="B1044" s="3067">
        <v>0</v>
      </c>
    </row>
    <row r="1045" spans="2:2">
      <c r="B1045" s="3067">
        <v>0</v>
      </c>
    </row>
    <row r="1046" spans="2:2">
      <c r="B1046" s="3067">
        <v>0</v>
      </c>
    </row>
    <row r="1047" spans="2:2">
      <c r="B1047" s="3067">
        <v>0</v>
      </c>
    </row>
    <row r="1048" spans="2:2">
      <c r="B1048" s="3067">
        <v>0</v>
      </c>
    </row>
    <row r="1049" spans="2:2">
      <c r="B1049" s="3067">
        <v>0</v>
      </c>
    </row>
    <row r="1050" spans="2:2">
      <c r="B1050" s="3067">
        <v>0</v>
      </c>
    </row>
    <row r="1051" spans="2:2">
      <c r="B1051" s="3067">
        <v>0</v>
      </c>
    </row>
    <row r="1052" spans="2:2">
      <c r="B1052" s="3067">
        <v>0</v>
      </c>
    </row>
    <row r="1053" spans="2:2">
      <c r="B1053" s="3067">
        <v>0</v>
      </c>
    </row>
    <row r="1054" spans="2:2">
      <c r="B1054" s="3067">
        <v>0</v>
      </c>
    </row>
    <row r="1055" spans="2:2">
      <c r="B1055" s="3067">
        <v>0</v>
      </c>
    </row>
    <row r="1056" spans="2:2">
      <c r="B1056" s="3067">
        <v>0</v>
      </c>
    </row>
    <row r="1057" spans="2:2">
      <c r="B1057" s="3067">
        <v>0</v>
      </c>
    </row>
    <row r="1058" spans="2:2">
      <c r="B1058" s="3067">
        <v>0</v>
      </c>
    </row>
    <row r="1059" spans="2:2">
      <c r="B1059" s="3067">
        <v>0</v>
      </c>
    </row>
    <row r="1060" spans="2:2">
      <c r="B1060" s="3067">
        <v>0</v>
      </c>
    </row>
    <row r="1061" spans="2:2">
      <c r="B1061" s="3067">
        <v>0</v>
      </c>
    </row>
    <row r="1062" spans="2:2">
      <c r="B1062" s="3067">
        <v>0</v>
      </c>
    </row>
    <row r="1063" spans="2:2">
      <c r="B1063" s="3067">
        <v>0</v>
      </c>
    </row>
    <row r="1064" spans="2:2">
      <c r="B1064" s="3067">
        <v>0</v>
      </c>
    </row>
    <row r="1065" spans="2:2">
      <c r="B1065" s="3067">
        <v>0</v>
      </c>
    </row>
    <row r="1066" spans="2:2">
      <c r="B1066" s="3067">
        <v>0</v>
      </c>
    </row>
    <row r="1067" spans="2:2">
      <c r="B1067" s="3067">
        <v>0</v>
      </c>
    </row>
    <row r="1068" spans="2:2">
      <c r="B1068" s="3067">
        <v>0</v>
      </c>
    </row>
    <row r="1069" spans="2:2">
      <c r="B1069" s="3067">
        <v>0</v>
      </c>
    </row>
    <row r="1070" spans="2:2">
      <c r="B1070" s="3067">
        <v>0</v>
      </c>
    </row>
    <row r="1071" spans="2:2">
      <c r="B1071" s="3067">
        <v>0</v>
      </c>
    </row>
    <row r="1072" spans="2:2">
      <c r="B1072" s="3067">
        <v>0</v>
      </c>
    </row>
    <row r="1073" spans="2:2">
      <c r="B1073" s="3067">
        <v>0</v>
      </c>
    </row>
    <row r="1074" spans="2:2">
      <c r="B1074" s="3067">
        <v>0</v>
      </c>
    </row>
    <row r="1075" spans="2:2">
      <c r="B1075" s="3067">
        <v>0</v>
      </c>
    </row>
    <row r="1076" spans="2:2">
      <c r="B1076" s="3067">
        <v>0</v>
      </c>
    </row>
    <row r="1077" spans="2:2">
      <c r="B1077" s="3067">
        <v>0</v>
      </c>
    </row>
    <row r="1078" spans="2:2">
      <c r="B1078" s="3067">
        <v>0</v>
      </c>
    </row>
    <row r="1079" spans="2:2">
      <c r="B1079" s="3067">
        <v>0</v>
      </c>
    </row>
    <row r="1080" spans="2:2">
      <c r="B1080" s="3067">
        <v>0</v>
      </c>
    </row>
    <row r="1081" spans="2:2">
      <c r="B1081" s="3067">
        <v>0</v>
      </c>
    </row>
    <row r="1082" spans="2:2">
      <c r="B1082" s="3067">
        <v>0</v>
      </c>
    </row>
    <row r="1083" spans="2:2">
      <c r="B1083" s="3067">
        <v>0</v>
      </c>
    </row>
    <row r="1084" spans="2:2">
      <c r="B1084" s="3067">
        <v>0</v>
      </c>
    </row>
    <row r="1085" spans="2:2">
      <c r="B1085" s="3067">
        <v>0</v>
      </c>
    </row>
    <row r="1086" spans="2:2">
      <c r="B1086" s="3067">
        <v>0</v>
      </c>
    </row>
    <row r="1087" spans="2:2">
      <c r="B1087" s="3067">
        <v>0</v>
      </c>
    </row>
    <row r="1088" spans="2:2">
      <c r="B1088" s="3067">
        <v>0</v>
      </c>
    </row>
    <row r="1089" spans="2:2">
      <c r="B1089" s="3067">
        <v>0</v>
      </c>
    </row>
    <row r="1090" spans="2:2">
      <c r="B1090" s="3067">
        <v>0</v>
      </c>
    </row>
    <row r="1091" spans="2:2">
      <c r="B1091" s="3067">
        <v>0</v>
      </c>
    </row>
    <row r="1092" spans="2:2">
      <c r="B1092" s="3067">
        <v>0</v>
      </c>
    </row>
    <row r="1093" spans="2:2">
      <c r="B1093" s="3067">
        <v>0</v>
      </c>
    </row>
    <row r="1094" spans="2:2">
      <c r="B1094" s="3067">
        <v>0</v>
      </c>
    </row>
    <row r="1095" spans="2:2">
      <c r="B1095" s="3067">
        <v>0</v>
      </c>
    </row>
    <row r="1096" spans="2:2">
      <c r="B1096" s="3067">
        <v>0</v>
      </c>
    </row>
    <row r="1097" spans="2:2">
      <c r="B1097" s="3067">
        <v>0</v>
      </c>
    </row>
    <row r="1098" spans="2:2">
      <c r="B1098" s="3067">
        <v>0</v>
      </c>
    </row>
    <row r="1099" spans="2:2">
      <c r="B1099" s="3067">
        <v>0</v>
      </c>
    </row>
    <row r="1100" spans="2:2">
      <c r="B1100" s="3067">
        <v>0</v>
      </c>
    </row>
    <row r="1101" spans="2:2">
      <c r="B1101" s="3067">
        <v>0</v>
      </c>
    </row>
    <row r="1102" spans="2:2">
      <c r="B1102" s="3067">
        <v>0</v>
      </c>
    </row>
    <row r="1103" spans="2:2">
      <c r="B1103" s="3067">
        <v>0</v>
      </c>
    </row>
    <row r="1104" spans="2:2">
      <c r="B1104" s="3067">
        <v>0</v>
      </c>
    </row>
    <row r="1105" spans="2:2">
      <c r="B1105" s="3067">
        <v>0</v>
      </c>
    </row>
    <row r="1106" spans="2:2">
      <c r="B1106" s="3067">
        <v>0</v>
      </c>
    </row>
    <row r="1107" spans="2:2">
      <c r="B1107" s="3067">
        <v>0</v>
      </c>
    </row>
    <row r="1108" spans="2:2">
      <c r="B1108" s="3067">
        <v>0</v>
      </c>
    </row>
    <row r="1109" spans="2:2">
      <c r="B1109" s="3067">
        <v>0</v>
      </c>
    </row>
    <row r="1110" spans="2:2">
      <c r="B1110" s="3067">
        <v>0</v>
      </c>
    </row>
    <row r="1111" spans="2:2">
      <c r="B1111" s="3067">
        <v>0</v>
      </c>
    </row>
    <row r="1112" spans="2:2">
      <c r="B1112" s="3067">
        <v>0</v>
      </c>
    </row>
    <row r="1113" spans="2:2">
      <c r="B1113" s="3067">
        <v>0</v>
      </c>
    </row>
    <row r="1114" spans="2:2">
      <c r="B1114" s="3067">
        <v>0</v>
      </c>
    </row>
    <row r="1115" spans="2:2">
      <c r="B1115" s="3067">
        <v>0</v>
      </c>
    </row>
    <row r="1116" spans="2:2">
      <c r="B1116" s="3067">
        <v>0</v>
      </c>
    </row>
    <row r="1117" spans="2:2">
      <c r="B1117" s="3067">
        <v>0</v>
      </c>
    </row>
    <row r="1118" spans="2:2">
      <c r="B1118" s="3067">
        <v>0</v>
      </c>
    </row>
    <row r="1119" spans="2:2">
      <c r="B1119" s="3067">
        <v>0</v>
      </c>
    </row>
    <row r="1120" spans="2:2">
      <c r="B1120" s="3067">
        <v>0</v>
      </c>
    </row>
    <row r="1121" spans="2:2">
      <c r="B1121" s="3067">
        <v>0</v>
      </c>
    </row>
    <row r="1122" spans="2:2">
      <c r="B1122" s="3067">
        <v>0</v>
      </c>
    </row>
    <row r="1123" spans="2:2">
      <c r="B1123" s="3067">
        <v>0</v>
      </c>
    </row>
    <row r="1124" spans="2:2">
      <c r="B1124" s="3067">
        <v>0</v>
      </c>
    </row>
    <row r="1125" spans="2:2">
      <c r="B1125" s="3067">
        <v>0</v>
      </c>
    </row>
    <row r="1126" spans="2:2">
      <c r="B1126" s="3067">
        <v>0</v>
      </c>
    </row>
    <row r="1127" spans="2:2">
      <c r="B1127" s="3067">
        <v>0</v>
      </c>
    </row>
    <row r="1128" spans="2:2">
      <c r="B1128" s="3067">
        <v>0</v>
      </c>
    </row>
    <row r="1129" spans="2:2">
      <c r="B1129" s="3067">
        <v>0</v>
      </c>
    </row>
    <row r="1130" spans="2:2">
      <c r="B1130" s="3067">
        <v>0</v>
      </c>
    </row>
    <row r="1131" spans="2:2">
      <c r="B1131" s="3067">
        <v>0</v>
      </c>
    </row>
    <row r="1132" spans="2:2">
      <c r="B1132" s="3067">
        <v>0</v>
      </c>
    </row>
    <row r="1133" spans="2:2">
      <c r="B1133" s="3067">
        <v>0</v>
      </c>
    </row>
    <row r="1134" spans="2:2">
      <c r="B1134" s="3067">
        <v>0</v>
      </c>
    </row>
    <row r="1135" spans="2:2">
      <c r="B1135" s="3067">
        <v>0</v>
      </c>
    </row>
    <row r="1136" spans="2:2">
      <c r="B1136" s="3067">
        <v>0</v>
      </c>
    </row>
    <row r="1137" spans="2:2">
      <c r="B1137" s="3067">
        <v>0</v>
      </c>
    </row>
    <row r="1138" spans="2:2">
      <c r="B1138" s="3067">
        <v>0</v>
      </c>
    </row>
    <row r="1139" spans="2:2">
      <c r="B1139" s="3067">
        <v>0</v>
      </c>
    </row>
    <row r="1140" spans="2:2">
      <c r="B1140" s="3067">
        <v>0</v>
      </c>
    </row>
    <row r="1141" spans="2:2">
      <c r="B1141" s="3067">
        <v>0</v>
      </c>
    </row>
    <row r="1142" spans="2:2">
      <c r="B1142" s="3067">
        <v>0</v>
      </c>
    </row>
    <row r="1143" spans="2:2">
      <c r="B1143" s="3067">
        <v>0</v>
      </c>
    </row>
    <row r="1144" spans="2:2">
      <c r="B1144" s="3067">
        <v>0</v>
      </c>
    </row>
    <row r="1145" spans="2:2">
      <c r="B1145" s="3067">
        <v>0</v>
      </c>
    </row>
    <row r="1146" spans="2:2">
      <c r="B1146" s="3067">
        <v>0</v>
      </c>
    </row>
    <row r="1147" spans="2:2">
      <c r="B1147" s="3067">
        <v>0</v>
      </c>
    </row>
    <row r="1148" spans="2:2">
      <c r="B1148" s="3067">
        <v>0</v>
      </c>
    </row>
    <row r="1149" spans="2:2">
      <c r="B1149" s="3067">
        <v>0</v>
      </c>
    </row>
    <row r="1150" spans="2:2">
      <c r="B1150" s="3067">
        <v>0</v>
      </c>
    </row>
    <row r="1151" spans="2:2">
      <c r="B1151" s="3067">
        <v>0</v>
      </c>
    </row>
    <row r="1152" spans="2:2">
      <c r="B1152" s="3067">
        <v>0</v>
      </c>
    </row>
    <row r="1153" spans="2:2">
      <c r="B1153" s="3067">
        <v>0</v>
      </c>
    </row>
    <row r="1154" spans="2:2">
      <c r="B1154" s="3067">
        <v>0</v>
      </c>
    </row>
    <row r="1155" spans="2:2">
      <c r="B1155" s="3067">
        <v>0</v>
      </c>
    </row>
    <row r="1156" spans="2:2">
      <c r="B1156" s="3067">
        <v>0</v>
      </c>
    </row>
    <row r="1157" spans="2:2">
      <c r="B1157" s="3067">
        <v>0</v>
      </c>
    </row>
    <row r="1158" spans="2:2">
      <c r="B1158" s="3067">
        <v>0</v>
      </c>
    </row>
    <row r="1159" spans="2:2">
      <c r="B1159" s="3067">
        <v>0</v>
      </c>
    </row>
    <row r="1160" spans="2:2">
      <c r="B1160" s="3067">
        <v>0</v>
      </c>
    </row>
    <row r="1161" spans="2:2">
      <c r="B1161" s="3067">
        <v>0</v>
      </c>
    </row>
    <row r="1162" spans="2:2">
      <c r="B1162" s="3067">
        <v>0</v>
      </c>
    </row>
    <row r="1163" spans="2:2">
      <c r="B1163" s="3067">
        <v>0</v>
      </c>
    </row>
    <row r="1164" spans="2:2">
      <c r="B1164" s="3067">
        <v>0</v>
      </c>
    </row>
    <row r="1165" spans="2:2">
      <c r="B1165" s="3067">
        <v>0</v>
      </c>
    </row>
    <row r="1166" spans="2:2">
      <c r="B1166" s="3067">
        <v>0</v>
      </c>
    </row>
    <row r="1167" spans="2:2">
      <c r="B1167" s="3067">
        <v>0</v>
      </c>
    </row>
    <row r="1168" spans="2:2">
      <c r="B1168" s="3067">
        <v>0</v>
      </c>
    </row>
    <row r="1169" spans="2:2">
      <c r="B1169" s="3067">
        <v>0</v>
      </c>
    </row>
    <row r="1170" spans="2:2">
      <c r="B1170" s="3067">
        <v>0</v>
      </c>
    </row>
    <row r="1171" spans="2:2">
      <c r="B1171" s="3067">
        <v>0</v>
      </c>
    </row>
    <row r="1172" spans="2:2">
      <c r="B1172" s="3067">
        <v>0</v>
      </c>
    </row>
    <row r="1173" spans="2:2">
      <c r="B1173" s="3067">
        <v>0</v>
      </c>
    </row>
    <row r="1174" spans="2:2">
      <c r="B1174" s="3067">
        <v>0</v>
      </c>
    </row>
    <row r="1175" spans="2:2">
      <c r="B1175" s="3067">
        <v>0</v>
      </c>
    </row>
    <row r="1176" spans="2:2">
      <c r="B1176" s="3067">
        <v>0</v>
      </c>
    </row>
    <row r="1177" spans="2:2">
      <c r="B1177" s="3067">
        <v>0</v>
      </c>
    </row>
    <row r="1178" spans="2:2">
      <c r="B1178" s="3067">
        <v>0</v>
      </c>
    </row>
    <row r="1179" spans="2:2">
      <c r="B1179" s="3067">
        <v>0</v>
      </c>
    </row>
    <row r="1180" spans="2:2">
      <c r="B1180" s="3067">
        <v>0</v>
      </c>
    </row>
    <row r="1181" spans="2:2">
      <c r="B1181" s="3067">
        <v>0</v>
      </c>
    </row>
    <row r="1182" spans="2:2">
      <c r="B1182" s="3067">
        <v>0</v>
      </c>
    </row>
    <row r="1183" spans="2:2">
      <c r="B1183" s="3067">
        <v>0</v>
      </c>
    </row>
    <row r="1184" spans="2:2">
      <c r="B1184" s="3067">
        <v>0</v>
      </c>
    </row>
    <row r="1185" spans="2:2">
      <c r="B1185" s="3067">
        <v>0</v>
      </c>
    </row>
    <row r="1186" spans="2:2">
      <c r="B1186" s="3067">
        <v>0</v>
      </c>
    </row>
    <row r="1187" spans="2:2">
      <c r="B1187" s="3067">
        <v>0</v>
      </c>
    </row>
    <row r="1188" spans="2:2">
      <c r="B1188" s="3067">
        <v>0</v>
      </c>
    </row>
    <row r="1189" spans="2:2">
      <c r="B1189" s="3067">
        <v>0</v>
      </c>
    </row>
    <row r="1190" spans="2:2">
      <c r="B1190" s="3067">
        <v>0</v>
      </c>
    </row>
    <row r="1191" spans="2:2">
      <c r="B1191" s="3067">
        <v>0</v>
      </c>
    </row>
    <row r="1192" spans="2:2">
      <c r="B1192" s="3067">
        <v>0</v>
      </c>
    </row>
    <row r="1193" spans="2:2">
      <c r="B1193" s="3067">
        <v>0</v>
      </c>
    </row>
    <row r="1194" spans="2:2">
      <c r="B1194" s="3067">
        <v>0</v>
      </c>
    </row>
    <row r="1195" spans="2:2">
      <c r="B1195" s="3067">
        <v>0</v>
      </c>
    </row>
    <row r="1196" spans="2:2">
      <c r="B1196" s="3067">
        <v>0</v>
      </c>
    </row>
    <row r="1197" spans="2:2">
      <c r="B1197" s="3067">
        <v>0</v>
      </c>
    </row>
    <row r="1198" spans="2:2">
      <c r="B1198" s="3067">
        <v>0</v>
      </c>
    </row>
    <row r="1199" spans="2:2">
      <c r="B1199" s="3067">
        <v>0</v>
      </c>
    </row>
    <row r="1200" spans="2:2">
      <c r="B1200" s="3067">
        <v>0</v>
      </c>
    </row>
    <row r="1201" spans="2:2">
      <c r="B1201" s="3067">
        <v>0</v>
      </c>
    </row>
    <row r="1202" spans="2:2">
      <c r="B1202" s="3067">
        <v>0</v>
      </c>
    </row>
    <row r="1203" spans="2:2">
      <c r="B1203" s="3067">
        <v>0</v>
      </c>
    </row>
    <row r="1204" spans="2:2">
      <c r="B1204" s="3067">
        <v>0</v>
      </c>
    </row>
    <row r="1205" spans="2:2">
      <c r="B1205" s="3067">
        <v>0</v>
      </c>
    </row>
    <row r="1206" spans="2:2">
      <c r="B1206" s="3067">
        <v>0</v>
      </c>
    </row>
    <row r="1207" spans="2:2">
      <c r="B1207" s="3067">
        <v>0</v>
      </c>
    </row>
    <row r="1208" spans="2:2">
      <c r="B1208" s="3067">
        <v>0</v>
      </c>
    </row>
    <row r="1209" spans="2:2">
      <c r="B1209" s="3067">
        <v>0</v>
      </c>
    </row>
    <row r="1210" spans="2:2">
      <c r="B1210" s="3067">
        <v>0</v>
      </c>
    </row>
    <row r="1211" spans="2:2">
      <c r="B1211" s="3067">
        <v>0</v>
      </c>
    </row>
    <row r="1212" spans="2:2">
      <c r="B1212" s="3067">
        <v>0</v>
      </c>
    </row>
    <row r="1213" spans="2:2">
      <c r="B1213" s="3067">
        <v>0</v>
      </c>
    </row>
    <row r="1214" spans="2:2">
      <c r="B1214" s="3067">
        <v>0</v>
      </c>
    </row>
    <row r="1215" spans="2:2">
      <c r="B1215" s="3067">
        <v>0</v>
      </c>
    </row>
    <row r="1216" spans="2:2">
      <c r="B1216" s="3067">
        <v>0</v>
      </c>
    </row>
    <row r="1217" spans="2:2">
      <c r="B1217" s="3067">
        <v>0</v>
      </c>
    </row>
    <row r="1218" spans="2:2">
      <c r="B1218" s="3067">
        <v>0</v>
      </c>
    </row>
    <row r="1219" spans="2:2">
      <c r="B1219" s="3067">
        <v>0</v>
      </c>
    </row>
    <row r="1220" spans="2:2">
      <c r="B1220" s="3067">
        <v>0</v>
      </c>
    </row>
    <row r="1221" spans="2:2">
      <c r="B1221" s="3067">
        <v>0</v>
      </c>
    </row>
    <row r="1222" spans="2:2">
      <c r="B1222" s="3067">
        <v>0</v>
      </c>
    </row>
    <row r="1223" spans="2:2">
      <c r="B1223" s="3067">
        <v>0</v>
      </c>
    </row>
    <row r="1224" spans="2:2">
      <c r="B1224" s="3067">
        <v>0</v>
      </c>
    </row>
    <row r="1225" spans="2:2">
      <c r="B1225" s="3067">
        <v>0</v>
      </c>
    </row>
    <row r="1226" spans="2:2">
      <c r="B1226" s="3067">
        <v>0</v>
      </c>
    </row>
    <row r="1227" spans="2:2">
      <c r="B1227" s="3067">
        <v>0</v>
      </c>
    </row>
    <row r="1228" spans="2:2">
      <c r="B1228" s="3067">
        <v>0</v>
      </c>
    </row>
    <row r="1229" spans="2:2">
      <c r="B1229" s="3067">
        <v>0</v>
      </c>
    </row>
    <row r="1230" spans="2:2">
      <c r="B1230" s="3067">
        <v>0</v>
      </c>
    </row>
    <row r="1231" spans="2:2">
      <c r="B1231" s="3067">
        <v>0</v>
      </c>
    </row>
    <row r="1232" spans="2:2">
      <c r="B1232" s="3067">
        <v>0</v>
      </c>
    </row>
    <row r="1233" spans="2:2">
      <c r="B1233" s="3067">
        <v>0</v>
      </c>
    </row>
    <row r="1234" spans="2:2">
      <c r="B1234" s="3067">
        <v>0</v>
      </c>
    </row>
    <row r="1235" spans="2:2">
      <c r="B1235" s="3067">
        <v>0</v>
      </c>
    </row>
    <row r="1236" spans="2:2">
      <c r="B1236" s="3067">
        <v>0</v>
      </c>
    </row>
    <row r="1237" spans="2:2">
      <c r="B1237" s="3067">
        <v>0</v>
      </c>
    </row>
    <row r="1238" spans="2:2">
      <c r="B1238" s="3067">
        <v>0</v>
      </c>
    </row>
    <row r="1239" spans="2:2">
      <c r="B1239" s="3067">
        <v>0</v>
      </c>
    </row>
    <row r="1240" spans="2:2">
      <c r="B1240" s="3067">
        <v>0</v>
      </c>
    </row>
    <row r="1241" spans="2:2">
      <c r="B1241" s="3067">
        <v>0</v>
      </c>
    </row>
    <row r="1242" spans="2:2">
      <c r="B1242" s="3067">
        <v>0</v>
      </c>
    </row>
    <row r="1243" spans="2:2">
      <c r="B1243" s="3067">
        <v>0</v>
      </c>
    </row>
    <row r="1244" spans="2:2">
      <c r="B1244" s="3067">
        <v>0</v>
      </c>
    </row>
    <row r="1245" spans="2:2">
      <c r="B1245" s="3067">
        <v>0</v>
      </c>
    </row>
    <row r="1246" spans="2:2">
      <c r="B1246" s="3067">
        <v>0</v>
      </c>
    </row>
    <row r="1247" spans="2:2">
      <c r="B1247" s="3067">
        <v>0</v>
      </c>
    </row>
    <row r="1248" spans="2:2">
      <c r="B1248" s="3067">
        <v>0</v>
      </c>
    </row>
    <row r="1249" spans="2:2">
      <c r="B1249" s="3067">
        <v>0</v>
      </c>
    </row>
    <row r="1250" spans="2:2">
      <c r="B1250" s="3067">
        <v>0</v>
      </c>
    </row>
    <row r="1251" spans="2:2">
      <c r="B1251" s="3067">
        <v>0</v>
      </c>
    </row>
    <row r="1252" spans="2:2">
      <c r="B1252" s="3067">
        <v>0</v>
      </c>
    </row>
    <row r="1253" spans="2:2">
      <c r="B1253" s="3067">
        <v>0</v>
      </c>
    </row>
    <row r="1254" spans="2:2">
      <c r="B1254" s="3067">
        <v>0</v>
      </c>
    </row>
    <row r="1255" spans="2:2">
      <c r="B1255" s="3067">
        <v>0</v>
      </c>
    </row>
    <row r="1256" spans="2:2">
      <c r="B1256" s="3067">
        <v>0</v>
      </c>
    </row>
    <row r="1257" spans="2:2">
      <c r="B1257" s="3067">
        <v>0</v>
      </c>
    </row>
    <row r="1258" spans="2:2">
      <c r="B1258" s="3067">
        <v>0</v>
      </c>
    </row>
    <row r="1259" spans="2:2">
      <c r="B1259" s="3067">
        <v>0</v>
      </c>
    </row>
    <row r="1260" spans="2:2">
      <c r="B1260" s="3067">
        <v>0</v>
      </c>
    </row>
    <row r="1261" spans="2:2">
      <c r="B1261" s="3067">
        <v>0</v>
      </c>
    </row>
    <row r="1262" spans="2:2">
      <c r="B1262" s="3067">
        <v>0</v>
      </c>
    </row>
    <row r="1263" spans="2:2">
      <c r="B1263" s="3067">
        <v>0</v>
      </c>
    </row>
    <row r="1264" spans="2:2">
      <c r="B1264" s="3067">
        <v>0</v>
      </c>
    </row>
    <row r="1265" spans="2:2">
      <c r="B1265" s="3067">
        <v>0</v>
      </c>
    </row>
    <row r="1266" spans="2:2">
      <c r="B1266" s="3067">
        <v>0</v>
      </c>
    </row>
    <row r="1267" spans="2:2">
      <c r="B1267" s="3067">
        <v>0</v>
      </c>
    </row>
    <row r="1268" spans="2:2">
      <c r="B1268" s="3067">
        <v>0</v>
      </c>
    </row>
    <row r="1269" spans="2:2">
      <c r="B1269" s="3067">
        <v>0</v>
      </c>
    </row>
    <row r="1270" spans="2:2">
      <c r="B1270" s="3067">
        <v>0</v>
      </c>
    </row>
    <row r="1271" spans="2:2">
      <c r="B1271" s="3067">
        <v>0</v>
      </c>
    </row>
    <row r="1272" spans="2:2">
      <c r="B1272" s="3067">
        <v>0</v>
      </c>
    </row>
    <row r="1273" spans="2:2">
      <c r="B1273" s="3067">
        <v>0</v>
      </c>
    </row>
    <row r="1274" spans="2:2">
      <c r="B1274" s="3067">
        <v>0</v>
      </c>
    </row>
    <row r="1275" spans="2:2">
      <c r="B1275" s="3067">
        <v>0</v>
      </c>
    </row>
    <row r="1276" spans="2:2">
      <c r="B1276" s="3067">
        <v>0</v>
      </c>
    </row>
    <row r="1277" spans="2:2">
      <c r="B1277" s="3067">
        <v>0</v>
      </c>
    </row>
    <row r="1278" spans="2:2">
      <c r="B1278" s="3067">
        <v>0</v>
      </c>
    </row>
    <row r="1279" spans="2:2">
      <c r="B1279" s="3067">
        <v>0</v>
      </c>
    </row>
    <row r="1280" spans="2:2">
      <c r="B1280" s="3067">
        <v>0</v>
      </c>
    </row>
    <row r="1281" spans="2:2">
      <c r="B1281" s="3067">
        <v>0</v>
      </c>
    </row>
    <row r="1282" spans="2:2">
      <c r="B1282" s="3067">
        <v>0</v>
      </c>
    </row>
    <row r="1283" spans="2:2">
      <c r="B1283" s="3067">
        <v>0</v>
      </c>
    </row>
    <row r="1284" spans="2:2">
      <c r="B1284" s="3067">
        <v>0</v>
      </c>
    </row>
    <row r="1285" spans="2:2">
      <c r="B1285" s="3067">
        <v>0</v>
      </c>
    </row>
    <row r="1286" spans="2:2">
      <c r="B1286" s="3067">
        <v>0</v>
      </c>
    </row>
    <row r="1287" spans="2:2">
      <c r="B1287" s="3067">
        <v>0</v>
      </c>
    </row>
    <row r="1288" spans="2:2">
      <c r="B1288" s="3067">
        <v>0</v>
      </c>
    </row>
    <row r="1289" spans="2:2">
      <c r="B1289" s="3067">
        <v>0</v>
      </c>
    </row>
    <row r="1290" spans="2:2">
      <c r="B1290" s="3067">
        <v>0</v>
      </c>
    </row>
    <row r="1291" spans="2:2">
      <c r="B1291" s="3067">
        <v>0</v>
      </c>
    </row>
    <row r="1292" spans="2:2">
      <c r="B1292" s="3067">
        <v>0</v>
      </c>
    </row>
    <row r="1293" spans="2:2">
      <c r="B1293" s="3067">
        <v>0</v>
      </c>
    </row>
    <row r="1294" spans="2:2">
      <c r="B1294" s="3067">
        <v>0</v>
      </c>
    </row>
    <row r="1295" spans="2:2">
      <c r="B1295" s="3067">
        <v>0</v>
      </c>
    </row>
    <row r="1296" spans="2:2">
      <c r="B1296" s="3067">
        <v>0</v>
      </c>
    </row>
    <row r="1297" spans="2:2">
      <c r="B1297" s="3067">
        <v>0</v>
      </c>
    </row>
    <row r="1298" spans="2:2">
      <c r="B1298" s="3067">
        <v>0</v>
      </c>
    </row>
    <row r="1299" spans="2:2">
      <c r="B1299" s="3067">
        <v>0</v>
      </c>
    </row>
    <row r="1300" spans="2:2">
      <c r="B1300" s="3067">
        <v>0</v>
      </c>
    </row>
    <row r="1301" spans="2:2">
      <c r="B1301" s="3067">
        <v>0</v>
      </c>
    </row>
    <row r="1302" spans="2:2">
      <c r="B1302" s="3067">
        <v>0</v>
      </c>
    </row>
    <row r="1303" spans="2:2">
      <c r="B1303" s="3067">
        <v>0</v>
      </c>
    </row>
    <row r="1304" spans="2:2">
      <c r="B1304" s="3067">
        <v>0</v>
      </c>
    </row>
    <row r="1305" spans="2:2">
      <c r="B1305" s="3067">
        <v>0</v>
      </c>
    </row>
    <row r="1306" spans="2:2">
      <c r="B1306" s="3067">
        <v>0</v>
      </c>
    </row>
    <row r="1307" spans="2:2">
      <c r="B1307" s="3067">
        <v>0</v>
      </c>
    </row>
    <row r="1308" spans="2:2">
      <c r="B1308" s="3067">
        <v>0</v>
      </c>
    </row>
    <row r="1309" spans="2:2">
      <c r="B1309" s="3067">
        <v>0</v>
      </c>
    </row>
    <row r="1310" spans="2:2">
      <c r="B1310" s="3067">
        <v>0</v>
      </c>
    </row>
    <row r="1311" spans="2:2">
      <c r="B1311" s="3067">
        <v>0</v>
      </c>
    </row>
    <row r="1312" spans="2:2">
      <c r="B1312" s="3067">
        <v>0</v>
      </c>
    </row>
    <row r="1313" spans="2:2">
      <c r="B1313" s="3067">
        <v>0</v>
      </c>
    </row>
    <row r="1314" spans="2:2">
      <c r="B1314" s="3067">
        <v>0</v>
      </c>
    </row>
    <row r="1315" spans="2:2">
      <c r="B1315" s="3067">
        <v>0</v>
      </c>
    </row>
    <row r="1316" spans="2:2">
      <c r="B1316" s="3067">
        <v>0</v>
      </c>
    </row>
    <row r="1317" spans="2:2">
      <c r="B1317" s="3067">
        <v>0</v>
      </c>
    </row>
    <row r="1318" spans="2:2">
      <c r="B1318" s="3067">
        <v>0</v>
      </c>
    </row>
    <row r="1319" spans="2:2">
      <c r="B1319" s="3067">
        <v>0</v>
      </c>
    </row>
    <row r="1320" spans="2:2">
      <c r="B1320" s="3067">
        <v>0</v>
      </c>
    </row>
    <row r="1321" spans="2:2">
      <c r="B1321" s="3067">
        <v>0</v>
      </c>
    </row>
    <row r="1322" spans="2:2">
      <c r="B1322" s="3067">
        <v>0</v>
      </c>
    </row>
    <row r="1323" spans="2:2">
      <c r="B1323" s="3067">
        <v>0</v>
      </c>
    </row>
    <row r="1324" spans="2:2">
      <c r="B1324" s="3067">
        <v>0</v>
      </c>
    </row>
    <row r="1325" spans="2:2">
      <c r="B1325" s="3067">
        <v>0</v>
      </c>
    </row>
    <row r="1326" spans="2:2">
      <c r="B1326" s="3067">
        <v>0</v>
      </c>
    </row>
    <row r="1327" spans="2:2">
      <c r="B1327" s="3067">
        <v>0</v>
      </c>
    </row>
    <row r="1328" spans="2:2">
      <c r="B1328" s="3067">
        <v>0</v>
      </c>
    </row>
    <row r="1329" spans="2:2">
      <c r="B1329" s="3067">
        <v>0</v>
      </c>
    </row>
    <row r="1330" spans="2:2">
      <c r="B1330" s="3067">
        <v>0</v>
      </c>
    </row>
    <row r="1331" spans="2:2">
      <c r="B1331" s="3067">
        <v>0</v>
      </c>
    </row>
    <row r="1332" spans="2:2">
      <c r="B1332" s="3067">
        <v>0</v>
      </c>
    </row>
    <row r="1333" spans="2:2">
      <c r="B1333" s="3067">
        <v>0</v>
      </c>
    </row>
    <row r="1334" spans="2:2">
      <c r="B1334" s="3067">
        <v>0</v>
      </c>
    </row>
    <row r="1335" spans="2:2">
      <c r="B1335" s="3067">
        <v>0</v>
      </c>
    </row>
    <row r="1336" spans="2:2">
      <c r="B1336" s="3067">
        <v>0</v>
      </c>
    </row>
    <row r="1337" spans="2:2">
      <c r="B1337" s="3067">
        <v>0</v>
      </c>
    </row>
    <row r="1338" spans="2:2">
      <c r="B1338" s="3067">
        <v>0</v>
      </c>
    </row>
    <row r="1339" spans="2:2">
      <c r="B1339" s="3067">
        <v>0</v>
      </c>
    </row>
    <row r="1340" spans="2:2">
      <c r="B1340" s="3067">
        <v>0</v>
      </c>
    </row>
    <row r="1341" spans="2:2">
      <c r="B1341" s="3067">
        <v>0</v>
      </c>
    </row>
    <row r="1342" spans="2:2">
      <c r="B1342" s="3067">
        <v>0</v>
      </c>
    </row>
    <row r="1343" spans="2:2">
      <c r="B1343" s="3067">
        <v>0</v>
      </c>
    </row>
    <row r="1344" spans="2:2">
      <c r="B1344" s="3067">
        <v>0</v>
      </c>
    </row>
    <row r="1345" spans="2:2">
      <c r="B1345" s="3067">
        <v>0</v>
      </c>
    </row>
    <row r="1346" spans="2:2">
      <c r="B1346" s="3067">
        <v>0</v>
      </c>
    </row>
    <row r="1347" spans="2:2">
      <c r="B1347" s="3067">
        <v>0</v>
      </c>
    </row>
    <row r="1348" spans="2:2">
      <c r="B1348" s="3067">
        <v>0</v>
      </c>
    </row>
    <row r="1349" spans="2:2">
      <c r="B1349" s="3067">
        <v>0</v>
      </c>
    </row>
    <row r="1350" spans="2:2">
      <c r="B1350" s="3067">
        <v>0</v>
      </c>
    </row>
    <row r="1351" spans="2:2">
      <c r="B1351" s="3067">
        <v>0</v>
      </c>
    </row>
    <row r="1352" spans="2:2">
      <c r="B1352" s="3067">
        <v>0</v>
      </c>
    </row>
    <row r="1353" spans="2:2">
      <c r="B1353" s="3067">
        <v>0</v>
      </c>
    </row>
    <row r="1354" spans="2:2">
      <c r="B1354" s="3067">
        <v>0</v>
      </c>
    </row>
    <row r="1355" spans="2:2">
      <c r="B1355" s="3067">
        <v>0</v>
      </c>
    </row>
    <row r="1356" spans="2:2">
      <c r="B1356" s="3067">
        <v>0</v>
      </c>
    </row>
    <row r="1357" spans="2:2">
      <c r="B1357" s="3067">
        <v>0</v>
      </c>
    </row>
    <row r="1358" spans="2:2">
      <c r="B1358" s="3067">
        <v>0</v>
      </c>
    </row>
    <row r="1359" spans="2:2">
      <c r="B1359" s="3067">
        <v>0</v>
      </c>
    </row>
    <row r="1360" spans="2:2">
      <c r="B1360" s="3067">
        <v>0</v>
      </c>
    </row>
    <row r="1361" spans="2:2">
      <c r="B1361" s="3067">
        <v>0</v>
      </c>
    </row>
    <row r="1362" spans="2:2">
      <c r="B1362" s="3067">
        <v>0</v>
      </c>
    </row>
    <row r="1363" spans="2:2">
      <c r="B1363" s="3067">
        <v>0</v>
      </c>
    </row>
    <row r="1364" spans="2:2">
      <c r="B1364" s="3067">
        <v>0</v>
      </c>
    </row>
    <row r="1365" spans="2:2">
      <c r="B1365" s="3067">
        <v>0</v>
      </c>
    </row>
    <row r="1366" spans="2:2">
      <c r="B1366" s="3067">
        <v>0</v>
      </c>
    </row>
    <row r="1367" spans="2:2">
      <c r="B1367" s="3067">
        <v>0</v>
      </c>
    </row>
    <row r="1368" spans="2:2">
      <c r="B1368" s="3067">
        <v>0</v>
      </c>
    </row>
    <row r="1369" spans="2:2">
      <c r="B1369" s="3067">
        <v>0</v>
      </c>
    </row>
    <row r="1370" spans="2:2">
      <c r="B1370" s="3067">
        <v>0</v>
      </c>
    </row>
    <row r="1371" spans="2:2">
      <c r="B1371" s="3067">
        <v>0</v>
      </c>
    </row>
    <row r="1372" spans="2:2">
      <c r="B1372" s="3067">
        <v>0</v>
      </c>
    </row>
    <row r="1373" spans="2:2">
      <c r="B1373" s="3067">
        <v>0</v>
      </c>
    </row>
    <row r="1374" spans="2:2">
      <c r="B1374" s="3067">
        <v>0</v>
      </c>
    </row>
    <row r="1375" spans="2:2">
      <c r="B1375" s="3067">
        <v>0</v>
      </c>
    </row>
    <row r="1376" spans="2:2">
      <c r="B1376" s="3067">
        <v>0</v>
      </c>
    </row>
    <row r="1377" spans="2:2">
      <c r="B1377" s="3067">
        <v>0</v>
      </c>
    </row>
    <row r="1378" spans="2:2">
      <c r="B1378" s="3067">
        <v>0</v>
      </c>
    </row>
    <row r="1379" spans="2:2">
      <c r="B1379" s="3067">
        <v>0</v>
      </c>
    </row>
    <row r="1380" spans="2:2">
      <c r="B1380" s="3067">
        <v>0</v>
      </c>
    </row>
    <row r="1381" spans="2:2">
      <c r="B1381" s="3067">
        <v>0</v>
      </c>
    </row>
    <row r="1382" spans="2:2">
      <c r="B1382" s="3067">
        <v>0</v>
      </c>
    </row>
    <row r="1383" spans="2:2">
      <c r="B1383" s="3067">
        <v>0</v>
      </c>
    </row>
    <row r="1384" spans="2:2">
      <c r="B1384" s="3067">
        <v>0</v>
      </c>
    </row>
    <row r="1385" spans="2:2">
      <c r="B1385" s="3067">
        <v>0</v>
      </c>
    </row>
    <row r="1386" spans="2:2">
      <c r="B1386" s="3067">
        <v>0</v>
      </c>
    </row>
    <row r="1387" spans="2:2">
      <c r="B1387" s="3067">
        <v>0</v>
      </c>
    </row>
    <row r="1388" spans="2:2">
      <c r="B1388" s="3067">
        <v>0</v>
      </c>
    </row>
    <row r="1389" spans="2:2">
      <c r="B1389" s="3067">
        <v>0</v>
      </c>
    </row>
    <row r="1390" spans="2:2">
      <c r="B1390" s="3067">
        <v>0</v>
      </c>
    </row>
    <row r="1391" spans="2:2">
      <c r="B1391" s="3067">
        <v>0</v>
      </c>
    </row>
    <row r="1392" spans="2:2">
      <c r="B1392" s="3067">
        <v>0</v>
      </c>
    </row>
    <row r="1393" spans="2:2">
      <c r="B1393" s="3067">
        <v>0</v>
      </c>
    </row>
    <row r="1394" spans="2:2">
      <c r="B1394" s="3067">
        <v>0</v>
      </c>
    </row>
    <row r="1395" spans="2:2">
      <c r="B1395" s="3067">
        <v>0</v>
      </c>
    </row>
    <row r="1396" spans="2:2">
      <c r="B1396" s="3067">
        <v>0</v>
      </c>
    </row>
    <row r="1397" spans="2:2">
      <c r="B1397" s="3067">
        <v>0</v>
      </c>
    </row>
    <row r="1398" spans="2:2">
      <c r="B1398" s="3067">
        <v>0</v>
      </c>
    </row>
    <row r="1399" spans="2:2">
      <c r="B1399" s="3067">
        <v>0</v>
      </c>
    </row>
    <row r="1400" spans="2:2">
      <c r="B1400" s="3067">
        <v>0</v>
      </c>
    </row>
    <row r="1401" spans="2:2">
      <c r="B1401" s="3067">
        <v>0</v>
      </c>
    </row>
    <row r="1402" spans="2:2">
      <c r="B1402" s="3067">
        <v>0</v>
      </c>
    </row>
    <row r="1403" spans="2:2">
      <c r="B1403" s="3067">
        <v>0</v>
      </c>
    </row>
    <row r="1404" spans="2:2">
      <c r="B1404" s="3067">
        <v>0</v>
      </c>
    </row>
    <row r="1405" spans="2:2">
      <c r="B1405" s="3067">
        <v>0</v>
      </c>
    </row>
    <row r="1406" spans="2:2">
      <c r="B1406" s="3067">
        <v>0</v>
      </c>
    </row>
    <row r="1407" spans="2:2">
      <c r="B1407" s="3067">
        <v>0</v>
      </c>
    </row>
    <row r="1408" spans="2:2">
      <c r="B1408" s="3067">
        <v>0</v>
      </c>
    </row>
    <row r="1409" spans="2:2">
      <c r="B1409" s="3067">
        <v>0</v>
      </c>
    </row>
    <row r="1410" spans="2:2">
      <c r="B1410" s="3067">
        <v>0</v>
      </c>
    </row>
    <row r="1411" spans="2:2">
      <c r="B1411" s="3067">
        <v>0</v>
      </c>
    </row>
    <row r="1412" spans="2:2">
      <c r="B1412" s="3067">
        <v>0</v>
      </c>
    </row>
    <row r="1413" spans="2:2">
      <c r="B1413" s="3067">
        <v>0</v>
      </c>
    </row>
    <row r="1414" spans="2:2">
      <c r="B1414" s="3067">
        <v>0</v>
      </c>
    </row>
    <row r="1415" spans="2:2">
      <c r="B1415" s="3067">
        <v>0</v>
      </c>
    </row>
    <row r="1416" spans="2:2">
      <c r="B1416" s="3067">
        <v>0</v>
      </c>
    </row>
    <row r="1417" spans="2:2">
      <c r="B1417" s="3067">
        <v>0</v>
      </c>
    </row>
    <row r="1418" spans="2:2">
      <c r="B1418" s="3067">
        <v>0</v>
      </c>
    </row>
    <row r="1419" spans="2:2">
      <c r="B1419" s="3067">
        <v>0</v>
      </c>
    </row>
    <row r="1420" spans="2:2">
      <c r="B1420" s="3067">
        <v>0</v>
      </c>
    </row>
    <row r="1421" spans="2:2">
      <c r="B1421" s="3067">
        <v>0</v>
      </c>
    </row>
    <row r="1422" spans="2:2">
      <c r="B1422" s="3067">
        <v>0</v>
      </c>
    </row>
    <row r="1423" spans="2:2">
      <c r="B1423" s="3067">
        <v>0</v>
      </c>
    </row>
    <row r="1424" spans="2:2">
      <c r="B1424" s="3067">
        <v>0</v>
      </c>
    </row>
    <row r="1425" spans="2:2">
      <c r="B1425" s="3067">
        <v>0</v>
      </c>
    </row>
    <row r="1426" spans="2:2">
      <c r="B1426" s="3067">
        <v>0</v>
      </c>
    </row>
    <row r="1427" spans="2:2">
      <c r="B1427" s="3067">
        <v>0</v>
      </c>
    </row>
    <row r="1428" spans="2:2">
      <c r="B1428" s="3067">
        <v>0</v>
      </c>
    </row>
    <row r="1429" spans="2:2">
      <c r="B1429" s="3067">
        <v>0</v>
      </c>
    </row>
    <row r="1430" spans="2:2">
      <c r="B1430" s="3067">
        <v>0</v>
      </c>
    </row>
    <row r="1431" spans="2:2">
      <c r="B1431" s="3067">
        <v>0</v>
      </c>
    </row>
    <row r="1432" spans="2:2">
      <c r="B1432" s="3067">
        <v>0</v>
      </c>
    </row>
    <row r="1433" spans="2:2">
      <c r="B1433" s="3067">
        <v>0</v>
      </c>
    </row>
    <row r="1434" spans="2:2">
      <c r="B1434" s="3067">
        <v>0</v>
      </c>
    </row>
    <row r="1435" spans="2:2">
      <c r="B1435" s="3067">
        <v>0</v>
      </c>
    </row>
    <row r="1436" spans="2:2">
      <c r="B1436" s="3067">
        <v>0</v>
      </c>
    </row>
    <row r="1437" spans="2:2">
      <c r="B1437" s="3067">
        <v>0</v>
      </c>
    </row>
    <row r="1438" spans="2:2">
      <c r="B1438" s="3067">
        <v>0</v>
      </c>
    </row>
    <row r="1439" spans="2:2">
      <c r="B1439" s="3067">
        <v>0</v>
      </c>
    </row>
    <row r="1440" spans="2:2">
      <c r="B1440" s="3067">
        <v>0</v>
      </c>
    </row>
    <row r="1441" spans="2:2">
      <c r="B1441" s="3067">
        <v>0</v>
      </c>
    </row>
    <row r="1442" spans="2:2">
      <c r="B1442" s="3067">
        <v>0</v>
      </c>
    </row>
    <row r="1443" spans="2:2">
      <c r="B1443" s="3067">
        <v>0</v>
      </c>
    </row>
    <row r="1444" spans="2:2">
      <c r="B1444" s="3067">
        <v>0</v>
      </c>
    </row>
    <row r="1445" spans="2:2">
      <c r="B1445" s="3067">
        <v>0</v>
      </c>
    </row>
    <row r="1446" spans="2:2">
      <c r="B1446" s="3067">
        <v>0</v>
      </c>
    </row>
    <row r="1447" spans="2:2">
      <c r="B1447" s="3067">
        <v>0</v>
      </c>
    </row>
    <row r="1448" spans="2:2">
      <c r="B1448" s="3067">
        <v>0</v>
      </c>
    </row>
    <row r="1449" spans="2:2">
      <c r="B1449" s="3067">
        <v>0</v>
      </c>
    </row>
    <row r="1450" spans="2:2">
      <c r="B1450" s="3067">
        <v>0</v>
      </c>
    </row>
    <row r="1451" spans="2:2">
      <c r="B1451" s="3067">
        <v>0</v>
      </c>
    </row>
    <row r="1452" spans="2:2">
      <c r="B1452" s="3067">
        <v>0</v>
      </c>
    </row>
    <row r="1453" spans="2:2">
      <c r="B1453" s="3067">
        <v>0</v>
      </c>
    </row>
    <row r="1454" spans="2:2">
      <c r="B1454" s="3067">
        <v>0</v>
      </c>
    </row>
    <row r="1455" spans="2:2">
      <c r="B1455" s="3067">
        <v>0</v>
      </c>
    </row>
    <row r="1456" spans="2:2">
      <c r="B1456" s="3067">
        <v>0</v>
      </c>
    </row>
    <row r="1457" spans="2:2">
      <c r="B1457" s="3067">
        <v>0</v>
      </c>
    </row>
    <row r="1458" spans="2:2">
      <c r="B1458" s="3067">
        <v>0</v>
      </c>
    </row>
    <row r="1459" spans="2:2">
      <c r="B1459" s="3067">
        <v>0</v>
      </c>
    </row>
    <row r="1460" spans="2:2">
      <c r="B1460" s="3067">
        <v>0</v>
      </c>
    </row>
    <row r="1461" spans="2:2">
      <c r="B1461" s="3067">
        <v>0</v>
      </c>
    </row>
    <row r="1462" spans="2:2">
      <c r="B1462" s="3067">
        <v>0</v>
      </c>
    </row>
    <row r="1463" spans="2:2">
      <c r="B1463" s="3067">
        <v>0</v>
      </c>
    </row>
    <row r="1464" spans="2:2">
      <c r="B1464" s="3067">
        <v>0</v>
      </c>
    </row>
    <row r="1465" spans="2:2">
      <c r="B1465" s="3067">
        <v>0</v>
      </c>
    </row>
    <row r="1466" spans="2:2">
      <c r="B1466" s="3067">
        <v>0</v>
      </c>
    </row>
    <row r="1467" spans="2:2">
      <c r="B1467" s="3067">
        <v>0</v>
      </c>
    </row>
    <row r="1468" spans="2:2">
      <c r="B1468" s="3067">
        <v>0</v>
      </c>
    </row>
    <row r="1469" spans="2:2">
      <c r="B1469" s="3067">
        <v>0</v>
      </c>
    </row>
    <row r="1470" spans="2:2">
      <c r="B1470" s="3067">
        <v>0</v>
      </c>
    </row>
    <row r="1471" spans="2:2">
      <c r="B1471" s="3067">
        <v>0</v>
      </c>
    </row>
    <row r="1472" spans="2:2">
      <c r="B1472" s="3067">
        <v>0</v>
      </c>
    </row>
    <row r="1473" spans="2:2">
      <c r="B1473" s="3067">
        <v>0</v>
      </c>
    </row>
    <row r="1474" spans="2:2">
      <c r="B1474" s="3067">
        <v>0</v>
      </c>
    </row>
    <row r="1475" spans="2:2">
      <c r="B1475" s="3067">
        <v>0</v>
      </c>
    </row>
    <row r="1476" spans="2:2">
      <c r="B1476" s="3067">
        <v>0</v>
      </c>
    </row>
    <row r="1477" spans="2:2">
      <c r="B1477" s="3067">
        <v>0</v>
      </c>
    </row>
    <row r="1478" spans="2:2">
      <c r="B1478" s="3067">
        <v>0</v>
      </c>
    </row>
    <row r="1479" spans="2:2">
      <c r="B1479" s="3067">
        <v>0</v>
      </c>
    </row>
    <row r="1480" spans="2:2">
      <c r="B1480" s="3067">
        <v>0</v>
      </c>
    </row>
    <row r="1481" spans="2:2">
      <c r="B1481" s="3067">
        <v>0</v>
      </c>
    </row>
    <row r="1482" spans="2:2">
      <c r="B1482" s="3067">
        <v>0</v>
      </c>
    </row>
    <row r="1483" spans="2:2">
      <c r="B1483" s="3067">
        <v>0</v>
      </c>
    </row>
    <row r="1484" spans="2:2">
      <c r="B1484" s="3067">
        <v>0</v>
      </c>
    </row>
    <row r="1485" spans="2:2">
      <c r="B1485" s="3067">
        <v>0</v>
      </c>
    </row>
    <row r="1486" spans="2:2">
      <c r="B1486" s="3067">
        <v>0</v>
      </c>
    </row>
    <row r="1487" spans="2:2">
      <c r="B1487" s="3067">
        <v>0</v>
      </c>
    </row>
    <row r="1488" spans="2:2">
      <c r="B1488" s="3067">
        <v>0</v>
      </c>
    </row>
    <row r="1489" spans="2:2">
      <c r="B1489" s="3067">
        <v>0</v>
      </c>
    </row>
    <row r="1490" spans="2:2">
      <c r="B1490" s="3067">
        <v>0</v>
      </c>
    </row>
    <row r="1491" spans="2:2">
      <c r="B1491" s="3067">
        <v>0</v>
      </c>
    </row>
    <row r="1492" spans="2:2">
      <c r="B1492" s="3067">
        <v>0</v>
      </c>
    </row>
    <row r="1493" spans="2:2">
      <c r="B1493" s="3067">
        <v>0</v>
      </c>
    </row>
    <row r="1494" spans="2:2">
      <c r="B1494" s="3067">
        <v>0</v>
      </c>
    </row>
    <row r="1495" spans="2:2">
      <c r="B1495" s="3067">
        <v>0</v>
      </c>
    </row>
    <row r="1496" spans="2:2">
      <c r="B1496" s="3067">
        <v>0</v>
      </c>
    </row>
    <row r="1497" spans="2:2">
      <c r="B1497" s="3067">
        <v>0</v>
      </c>
    </row>
    <row r="1498" spans="2:2">
      <c r="B1498" s="3067">
        <v>0</v>
      </c>
    </row>
    <row r="1499" spans="2:2">
      <c r="B1499" s="3067">
        <v>0</v>
      </c>
    </row>
    <row r="1500" spans="2:2">
      <c r="B1500" s="3067">
        <v>0</v>
      </c>
    </row>
    <row r="1501" spans="2:2">
      <c r="B1501" s="3067">
        <v>0</v>
      </c>
    </row>
    <row r="1502" spans="2:2">
      <c r="B1502" s="3067">
        <v>0</v>
      </c>
    </row>
    <row r="1503" spans="2:2">
      <c r="B1503" s="3067">
        <v>0</v>
      </c>
    </row>
    <row r="1504" spans="2:2">
      <c r="B1504" s="3067">
        <v>0</v>
      </c>
    </row>
    <row r="1505" spans="2:2">
      <c r="B1505" s="3067">
        <v>0</v>
      </c>
    </row>
    <row r="1506" spans="2:2">
      <c r="B1506" s="3067">
        <v>0</v>
      </c>
    </row>
    <row r="1507" spans="2:2">
      <c r="B1507" s="3067">
        <v>0</v>
      </c>
    </row>
    <row r="1508" spans="2:2">
      <c r="B1508" s="3067">
        <v>0</v>
      </c>
    </row>
    <row r="1509" spans="2:2">
      <c r="B1509" s="3067">
        <v>0</v>
      </c>
    </row>
    <row r="1510" spans="2:2">
      <c r="B1510" s="3067">
        <v>0</v>
      </c>
    </row>
    <row r="1511" spans="2:2">
      <c r="B1511" s="3067">
        <v>0</v>
      </c>
    </row>
    <row r="1512" spans="2:2">
      <c r="B1512" s="3067">
        <v>0</v>
      </c>
    </row>
    <row r="1513" spans="2:2">
      <c r="B1513" s="3067">
        <v>0</v>
      </c>
    </row>
    <row r="1514" spans="2:2">
      <c r="B1514" s="3067">
        <v>0</v>
      </c>
    </row>
    <row r="1515" spans="2:2">
      <c r="B1515" s="3067">
        <v>0</v>
      </c>
    </row>
    <row r="1516" spans="2:2">
      <c r="B1516" s="3067">
        <v>0</v>
      </c>
    </row>
  </sheetData>
  <conditionalFormatting sqref="A1:A1048576">
    <cfRule type="duplicateValues" dxfId="4" priority="1"/>
  </conditionalFormatting>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48F025-6338-479A-8AE8-4A61CBECC736}">
  <sheetPr>
    <tabColor theme="8" tint="0.39997558519241921"/>
    <pageSetUpPr fitToPage="1"/>
  </sheetPr>
  <dimension ref="A1:Z190"/>
  <sheetViews>
    <sheetView zoomScale="70" zoomScaleNormal="70" workbookViewId="0">
      <pane xSplit="3" ySplit="3" topLeftCell="G139" activePane="bottomRight" state="frozen"/>
      <selection pane="topRight" activeCell="D1" sqref="D1"/>
      <selection pane="bottomLeft" activeCell="A4" sqref="A4"/>
      <selection pane="bottomRight" activeCell="G139" sqref="G139"/>
    </sheetView>
  </sheetViews>
  <sheetFormatPr defaultColWidth="32.140625" defaultRowHeight="58.5" customHeight="1"/>
  <cols>
    <col min="1" max="1" width="11" style="359" customWidth="1"/>
    <col min="2" max="2" width="31.42578125" style="763" customWidth="1"/>
    <col min="3" max="3" width="37.28515625" style="1" customWidth="1"/>
    <col min="4" max="4" width="24.85546875" style="1138" customWidth="1"/>
    <col min="5" max="5" width="25.85546875" style="271" customWidth="1"/>
    <col min="6" max="6" width="32.140625" style="1" customWidth="1"/>
    <col min="7" max="8" width="32.140625" style="271" customWidth="1"/>
    <col min="9" max="10" width="29.42578125" style="271" customWidth="1"/>
    <col min="11" max="11" width="110.42578125" style="9" customWidth="1"/>
    <col min="12" max="12" width="25.5703125" style="2217" customWidth="1"/>
    <col min="13" max="13" width="66.5703125" style="1" customWidth="1"/>
    <col min="14" max="14" width="23.140625" style="1" customWidth="1"/>
    <col min="15" max="15" width="32.140625" style="2260" customWidth="1"/>
    <col min="16" max="16" width="45.140625" style="2225" customWidth="1"/>
    <col min="17" max="19" width="24.140625" style="271" customWidth="1"/>
    <col min="20" max="20" width="24.140625" style="2671" customWidth="1"/>
    <col min="21" max="21" width="36.42578125" style="3" bestFit="1" customWidth="1"/>
    <col min="22" max="23" width="9.42578125" style="3"/>
    <col min="24" max="26" width="32.140625" style="1" bestFit="1" customWidth="1"/>
    <col min="27" max="16384" width="32.140625" style="3"/>
  </cols>
  <sheetData>
    <row r="1" spans="1:26" ht="87" customHeight="1">
      <c r="A1" s="3760" t="s">
        <v>8821</v>
      </c>
      <c r="B1" s="3760"/>
      <c r="C1" s="3760"/>
      <c r="D1" s="3760"/>
      <c r="E1" s="3760"/>
      <c r="F1" s="3760"/>
      <c r="G1" s="3760"/>
      <c r="H1" s="3760"/>
      <c r="I1" s="3760"/>
      <c r="J1" s="3760"/>
      <c r="K1" s="3760"/>
      <c r="L1" s="3760"/>
      <c r="M1" s="3760"/>
      <c r="N1" s="3760"/>
      <c r="O1" s="3760"/>
      <c r="P1" s="3760"/>
      <c r="Q1" s="2670"/>
    </row>
    <row r="2" spans="1:26" ht="58.5" customHeight="1">
      <c r="A2" s="3761" t="s">
        <v>5186</v>
      </c>
      <c r="B2" s="3761"/>
      <c r="C2" s="3761"/>
      <c r="D2" s="2215">
        <f>SUBTOTAL(9,D3:D189)</f>
        <v>359966</v>
      </c>
      <c r="E2" s="1932"/>
      <c r="F2" s="2092"/>
      <c r="G2" s="2269" t="s">
        <v>5187</v>
      </c>
      <c r="H2" s="1932"/>
      <c r="I2" s="1932"/>
      <c r="J2" s="2765"/>
      <c r="K2" s="2762">
        <f ca="1">TODAY()</f>
        <v>45960</v>
      </c>
      <c r="L2" s="2272">
        <f>SUBTOTAL(9,L4:L190)</f>
        <v>361980.29599999997</v>
      </c>
      <c r="M2" s="2339" t="s">
        <v>5188</v>
      </c>
      <c r="N2" s="2722"/>
      <c r="O2" s="2099" t="s">
        <v>5925</v>
      </c>
      <c r="P2" s="2786" t="s">
        <v>5170</v>
      </c>
      <c r="Q2" s="3762" t="s">
        <v>5926</v>
      </c>
      <c r="R2" s="3762"/>
      <c r="S2" s="3763"/>
      <c r="T2" s="3763"/>
    </row>
    <row r="3" spans="1:26" s="2709" customFormat="1" ht="58.5" customHeight="1">
      <c r="A3" s="2703" t="s">
        <v>1</v>
      </c>
      <c r="B3" s="2704" t="s">
        <v>5190</v>
      </c>
      <c r="C3" s="2707"/>
      <c r="D3" s="2706" t="s">
        <v>5423</v>
      </c>
      <c r="E3" s="2707" t="s">
        <v>3389</v>
      </c>
      <c r="F3" s="2705" t="s">
        <v>5</v>
      </c>
      <c r="G3" s="2707" t="s">
        <v>3390</v>
      </c>
      <c r="H3" s="2707" t="s">
        <v>5927</v>
      </c>
      <c r="I3" s="2707" t="s">
        <v>8</v>
      </c>
      <c r="J3" s="2707" t="s">
        <v>9</v>
      </c>
      <c r="K3" s="2707" t="s">
        <v>8415</v>
      </c>
      <c r="L3" s="2711" t="s">
        <v>5197</v>
      </c>
      <c r="M3" s="2710" t="s">
        <v>5929</v>
      </c>
      <c r="N3" s="2755" t="s">
        <v>5199</v>
      </c>
      <c r="O3" s="2704" t="s">
        <v>11</v>
      </c>
      <c r="P3" s="2794" t="s">
        <v>5200</v>
      </c>
      <c r="Q3" s="2707" t="s">
        <v>5202</v>
      </c>
      <c r="R3" s="2707" t="s">
        <v>5931</v>
      </c>
      <c r="S3" s="2715" t="s">
        <v>5932</v>
      </c>
      <c r="T3" s="2672" t="s">
        <v>5933</v>
      </c>
      <c r="U3" s="2708"/>
      <c r="X3" s="2708"/>
      <c r="Y3" s="2708"/>
      <c r="Z3" s="2708"/>
    </row>
    <row r="4" spans="1:26" s="2643" customFormat="1" ht="58.5" customHeight="1">
      <c r="A4" s="3749">
        <v>1</v>
      </c>
      <c r="B4" s="2187" t="str">
        <f>TEXT(LEFT(K4,10),"0000000000")</f>
        <v>2000002961</v>
      </c>
      <c r="C4" s="1902" t="s">
        <v>3507</v>
      </c>
      <c r="D4" s="2607">
        <v>4400</v>
      </c>
      <c r="E4" s="1921" t="s">
        <v>8822</v>
      </c>
      <c r="F4" s="1902" t="s">
        <v>61</v>
      </c>
      <c r="G4" s="1909" t="s">
        <v>8823</v>
      </c>
      <c r="H4" s="1921"/>
      <c r="I4" s="1921" t="s">
        <v>19</v>
      </c>
      <c r="J4" s="1921" t="s">
        <v>74</v>
      </c>
      <c r="K4" s="1845" t="s">
        <v>8824</v>
      </c>
      <c r="L4" s="2583">
        <v>4000</v>
      </c>
      <c r="M4" s="2506" t="s">
        <v>5937</v>
      </c>
      <c r="N4" s="1902" t="s">
        <v>6113</v>
      </c>
      <c r="O4" s="1775"/>
      <c r="P4" s="1790">
        <v>1</v>
      </c>
      <c r="Q4" s="1921">
        <v>2000002961</v>
      </c>
      <c r="R4" s="2724" t="e">
        <f>VLOOKUP(Q4,#REF!,2,0)</f>
        <v>#REF!</v>
      </c>
      <c r="S4" s="2724" t="e">
        <f>VLOOKUP(Q4,#REF!,3,0)</f>
        <v>#REF!</v>
      </c>
      <c r="T4" s="2721" t="e">
        <f>R4-S4</f>
        <v>#REF!</v>
      </c>
      <c r="U4" s="2150"/>
      <c r="V4" s="2150"/>
      <c r="W4" s="2150"/>
      <c r="X4" s="1902"/>
      <c r="Y4" s="1902"/>
      <c r="Z4" s="1902"/>
    </row>
    <row r="5" spans="1:26" s="2643" customFormat="1" ht="58.5" customHeight="1">
      <c r="A5" s="3750"/>
      <c r="B5" s="1543" t="str">
        <f t="shared" ref="B5:B29" si="0">TEXT(LEFT(K5,10),"0000000000")</f>
        <v>2000003065</v>
      </c>
      <c r="C5" s="1493" t="s">
        <v>3507</v>
      </c>
      <c r="D5" s="1494"/>
      <c r="E5" s="1495"/>
      <c r="F5" s="1902" t="s">
        <v>61</v>
      </c>
      <c r="G5" s="1495"/>
      <c r="H5" s="1495"/>
      <c r="I5" s="1495" t="s">
        <v>19</v>
      </c>
      <c r="J5" s="1495" t="s">
        <v>74</v>
      </c>
      <c r="K5" s="1547" t="s">
        <v>8825</v>
      </c>
      <c r="L5" s="2357">
        <v>500</v>
      </c>
      <c r="M5" s="2196" t="s">
        <v>5937</v>
      </c>
      <c r="N5" s="1493"/>
      <c r="O5" s="1859"/>
      <c r="P5" s="1790">
        <v>1</v>
      </c>
      <c r="Q5" s="1495"/>
      <c r="R5" s="1495"/>
      <c r="S5" s="1495"/>
      <c r="T5" s="1909"/>
      <c r="U5" s="1548"/>
      <c r="V5" s="1548"/>
      <c r="W5" s="1548"/>
      <c r="X5" s="1493"/>
      <c r="Y5" s="1493"/>
      <c r="Z5" s="1493"/>
    </row>
    <row r="6" spans="1:26" s="2643" customFormat="1" ht="58.5" customHeight="1">
      <c r="A6" s="3749">
        <v>2</v>
      </c>
      <c r="B6" s="2187" t="str">
        <f t="shared" si="0"/>
        <v>2000003015</v>
      </c>
      <c r="C6" s="2601" t="s">
        <v>3455</v>
      </c>
      <c r="D6" s="2456">
        <v>8800</v>
      </c>
      <c r="E6" s="2187" t="s">
        <v>8826</v>
      </c>
      <c r="F6" s="2263" t="s">
        <v>3401</v>
      </c>
      <c r="G6" s="2788" t="s">
        <v>8827</v>
      </c>
      <c r="H6" s="2187"/>
      <c r="I6" s="2187" t="s">
        <v>19</v>
      </c>
      <c r="J6" s="2187" t="s">
        <v>123</v>
      </c>
      <c r="K6" s="2617" t="s">
        <v>8828</v>
      </c>
      <c r="L6" s="2564">
        <v>500</v>
      </c>
      <c r="M6" s="2506" t="s">
        <v>8829</v>
      </c>
      <c r="N6" s="2263" t="s">
        <v>6026</v>
      </c>
      <c r="O6" s="2565"/>
      <c r="P6" s="1852">
        <v>1</v>
      </c>
      <c r="Q6" s="2187"/>
      <c r="R6" s="2187"/>
      <c r="S6" s="2187"/>
      <c r="T6" s="2261"/>
      <c r="U6" s="2127"/>
      <c r="V6" s="2127"/>
      <c r="W6" s="2127"/>
      <c r="X6" s="2263"/>
      <c r="Y6" s="2263"/>
      <c r="Z6" s="2263"/>
    </row>
    <row r="7" spans="1:26" s="1467" customFormat="1" ht="58.5" customHeight="1">
      <c r="A7" s="3751"/>
      <c r="B7" s="1543" t="str">
        <f t="shared" si="0"/>
        <v>2000003086</v>
      </c>
      <c r="C7" s="1601" t="s">
        <v>3455</v>
      </c>
      <c r="D7" s="1494"/>
      <c r="E7" s="1495"/>
      <c r="F7" s="1545" t="s">
        <v>3401</v>
      </c>
      <c r="G7" s="1495"/>
      <c r="H7" s="1495"/>
      <c r="I7" s="1495" t="s">
        <v>19</v>
      </c>
      <c r="J7" s="1495" t="s">
        <v>123</v>
      </c>
      <c r="K7" s="1547" t="s">
        <v>8830</v>
      </c>
      <c r="L7" s="2357">
        <v>5000</v>
      </c>
      <c r="M7" s="1748" t="s">
        <v>5961</v>
      </c>
      <c r="N7" s="1493"/>
      <c r="O7" s="1859"/>
      <c r="P7" s="1790">
        <v>1</v>
      </c>
      <c r="Q7" s="1495"/>
      <c r="R7" s="1495"/>
      <c r="S7" s="1495"/>
      <c r="T7" s="1909"/>
      <c r="U7" s="1548"/>
      <c r="V7" s="1548"/>
      <c r="W7" s="1548"/>
      <c r="X7" s="1493"/>
      <c r="Y7" s="1493"/>
      <c r="Z7" s="1493"/>
    </row>
    <row r="8" spans="1:26" s="1467" customFormat="1" ht="58.5" customHeight="1">
      <c r="A8" s="3750"/>
      <c r="B8" s="1543" t="str">
        <f t="shared" si="0"/>
        <v>2000003051</v>
      </c>
      <c r="C8" s="1601" t="s">
        <v>3455</v>
      </c>
      <c r="D8" s="1494"/>
      <c r="E8" s="1495"/>
      <c r="F8" s="1545" t="s">
        <v>3401</v>
      </c>
      <c r="G8" s="1495"/>
      <c r="H8" s="1495"/>
      <c r="I8" s="1495" t="s">
        <v>19</v>
      </c>
      <c r="J8" s="1495" t="s">
        <v>1230</v>
      </c>
      <c r="K8" s="1600" t="s">
        <v>8831</v>
      </c>
      <c r="L8" s="2357">
        <v>3300</v>
      </c>
      <c r="M8" s="2506" t="s">
        <v>5937</v>
      </c>
      <c r="N8" s="1493"/>
      <c r="O8" s="1859"/>
      <c r="P8" s="1790">
        <v>1</v>
      </c>
      <c r="Q8" s="1495"/>
      <c r="R8" s="1495"/>
      <c r="S8" s="1495"/>
      <c r="T8" s="1909"/>
      <c r="U8" s="1548"/>
      <c r="V8" s="1548"/>
      <c r="W8" s="1548"/>
      <c r="X8" s="1493"/>
      <c r="Y8" s="1493"/>
      <c r="Z8" s="1493"/>
    </row>
    <row r="9" spans="1:26" s="2643" customFormat="1" ht="58.5" customHeight="1">
      <c r="A9" s="3735">
        <v>3</v>
      </c>
      <c r="B9" s="2187" t="str">
        <f t="shared" si="0"/>
        <v>2000003085</v>
      </c>
      <c r="C9" s="1902" t="s">
        <v>5319</v>
      </c>
      <c r="D9" s="2607">
        <v>11900</v>
      </c>
      <c r="E9" s="2187" t="s">
        <v>8832</v>
      </c>
      <c r="F9" s="2263" t="s">
        <v>3401</v>
      </c>
      <c r="G9" s="2789" t="s">
        <v>8833</v>
      </c>
      <c r="H9" s="1921"/>
      <c r="I9" s="1921" t="s">
        <v>19</v>
      </c>
      <c r="J9" s="1921" t="s">
        <v>20</v>
      </c>
      <c r="K9" s="1845" t="s">
        <v>8834</v>
      </c>
      <c r="L9" s="2746">
        <v>6300</v>
      </c>
      <c r="M9" s="1748" t="s">
        <v>5961</v>
      </c>
      <c r="N9" s="2601" t="s">
        <v>6009</v>
      </c>
      <c r="O9" s="1775"/>
      <c r="P9" s="1790">
        <v>1</v>
      </c>
      <c r="Q9" s="1921"/>
      <c r="R9" s="1921"/>
      <c r="S9" s="1921"/>
      <c r="T9" s="1909"/>
      <c r="U9" s="2150"/>
      <c r="V9" s="2150"/>
      <c r="W9" s="2150"/>
      <c r="X9" s="1902"/>
      <c r="Y9" s="1902"/>
      <c r="Z9" s="1902"/>
    </row>
    <row r="10" spans="1:26" s="1467" customFormat="1" ht="58.5" customHeight="1">
      <c r="A10" s="3736"/>
      <c r="B10" s="1543" t="str">
        <f t="shared" si="0"/>
        <v>2200002046</v>
      </c>
      <c r="C10" s="1493" t="s">
        <v>5319</v>
      </c>
      <c r="D10" s="1494"/>
      <c r="E10" s="1495"/>
      <c r="F10" s="1545" t="s">
        <v>3401</v>
      </c>
      <c r="G10" s="1495"/>
      <c r="H10" s="1495"/>
      <c r="I10" s="1495" t="s">
        <v>19</v>
      </c>
      <c r="J10" s="1495" t="s">
        <v>1138</v>
      </c>
      <c r="K10" s="1551" t="s">
        <v>8835</v>
      </c>
      <c r="L10" s="2357">
        <v>569</v>
      </c>
      <c r="M10" s="2190" t="s">
        <v>5937</v>
      </c>
      <c r="N10" s="1493"/>
      <c r="O10" s="2712"/>
      <c r="P10" s="1790">
        <v>1</v>
      </c>
      <c r="Q10" s="1495"/>
      <c r="R10" s="1495"/>
      <c r="S10" s="1495"/>
      <c r="T10" s="1909"/>
      <c r="U10" s="1548"/>
      <c r="V10" s="1548"/>
      <c r="W10" s="1548"/>
      <c r="X10" s="1493"/>
      <c r="Y10" s="1493"/>
      <c r="Z10" s="1493"/>
    </row>
    <row r="11" spans="1:26" s="1467" customFormat="1" ht="81" customHeight="1">
      <c r="A11" s="3737"/>
      <c r="B11" s="1543" t="str">
        <f t="shared" si="0"/>
        <v>2000003025</v>
      </c>
      <c r="C11" s="1493" t="s">
        <v>5319</v>
      </c>
      <c r="D11" s="1494"/>
      <c r="E11" s="1495"/>
      <c r="F11" s="1545" t="s">
        <v>3401</v>
      </c>
      <c r="G11" s="1495"/>
      <c r="H11" s="1495"/>
      <c r="I11" s="1495" t="s">
        <v>19</v>
      </c>
      <c r="J11" s="1495" t="s">
        <v>1138</v>
      </c>
      <c r="K11" s="1600" t="s">
        <v>8836</v>
      </c>
      <c r="L11" s="2361">
        <v>5000</v>
      </c>
      <c r="M11" s="1790" t="s">
        <v>8837</v>
      </c>
      <c r="N11" s="1630"/>
      <c r="O11" s="1859"/>
      <c r="P11" s="1790">
        <v>1</v>
      </c>
      <c r="Q11" s="1495"/>
      <c r="R11" s="1495"/>
      <c r="S11" s="1495"/>
      <c r="T11" s="1909"/>
      <c r="U11" s="1548"/>
      <c r="V11" s="1548"/>
      <c r="W11" s="1548"/>
      <c r="X11" s="1493"/>
      <c r="Y11" s="1493"/>
      <c r="Z11" s="1493"/>
    </row>
    <row r="12" spans="1:26" s="1467" customFormat="1" ht="81" customHeight="1">
      <c r="A12" s="2436">
        <v>4</v>
      </c>
      <c r="B12" s="2419" t="str">
        <f t="shared" si="0"/>
        <v>2000003047</v>
      </c>
      <c r="C12" s="1902" t="s">
        <v>3699</v>
      </c>
      <c r="D12" s="2607">
        <v>4250</v>
      </c>
      <c r="E12" s="1921" t="s">
        <v>8838</v>
      </c>
      <c r="F12" s="1902" t="s">
        <v>84</v>
      </c>
      <c r="G12" s="1921" t="s">
        <v>8839</v>
      </c>
      <c r="H12" s="1921"/>
      <c r="I12" s="1921" t="s">
        <v>19</v>
      </c>
      <c r="J12" s="1921" t="s">
        <v>20</v>
      </c>
      <c r="K12" s="1845" t="s">
        <v>8840</v>
      </c>
      <c r="L12" s="2583">
        <v>4250</v>
      </c>
      <c r="M12" s="2506" t="s">
        <v>5937</v>
      </c>
      <c r="N12" s="1902" t="s">
        <v>6030</v>
      </c>
      <c r="O12" s="1775"/>
      <c r="P12" s="1790">
        <v>1</v>
      </c>
      <c r="Q12" s="1921"/>
      <c r="R12" s="1921"/>
      <c r="S12" s="1921"/>
      <c r="T12" s="1909"/>
      <c r="U12" s="2150"/>
      <c r="V12" s="2150"/>
      <c r="W12" s="2150"/>
      <c r="X12" s="1902"/>
      <c r="Y12" s="1902"/>
      <c r="Z12" s="1902"/>
    </row>
    <row r="13" spans="1:26" s="1467" customFormat="1" ht="63.75" customHeight="1">
      <c r="A13" s="3749">
        <v>5</v>
      </c>
      <c r="B13" s="2187" t="str">
        <f t="shared" si="0"/>
        <v>2000003051</v>
      </c>
      <c r="C13" s="2601" t="s">
        <v>52</v>
      </c>
      <c r="D13" s="2607">
        <v>4600</v>
      </c>
      <c r="E13" s="1921" t="s">
        <v>8841</v>
      </c>
      <c r="F13" s="1902" t="s">
        <v>16</v>
      </c>
      <c r="G13" s="1921" t="s">
        <v>8842</v>
      </c>
      <c r="H13" s="1921"/>
      <c r="I13" s="1921" t="s">
        <v>19</v>
      </c>
      <c r="J13" s="1921" t="s">
        <v>1230</v>
      </c>
      <c r="K13" s="1845" t="s">
        <v>8843</v>
      </c>
      <c r="L13" s="2583">
        <v>1700</v>
      </c>
      <c r="M13" s="2506" t="s">
        <v>5937</v>
      </c>
      <c r="N13" s="1902" t="s">
        <v>6026</v>
      </c>
      <c r="O13" s="1775"/>
      <c r="P13" s="1790">
        <v>1</v>
      </c>
      <c r="Q13" s="1921"/>
      <c r="R13" s="1921"/>
      <c r="S13" s="1921"/>
      <c r="T13" s="1909"/>
      <c r="U13" s="2150"/>
      <c r="V13" s="2150"/>
      <c r="W13" s="2150"/>
      <c r="X13" s="1902"/>
      <c r="Y13" s="1902"/>
      <c r="Z13" s="1902"/>
    </row>
    <row r="14" spans="1:26" s="1467" customFormat="1" ht="63.75" customHeight="1">
      <c r="A14" s="3751"/>
      <c r="B14" s="1543" t="str">
        <f t="shared" si="0"/>
        <v>2000002993</v>
      </c>
      <c r="C14" s="1601" t="s">
        <v>52</v>
      </c>
      <c r="D14" s="1494"/>
      <c r="E14" s="1495"/>
      <c r="F14" s="1493" t="s">
        <v>16</v>
      </c>
      <c r="G14" s="1495"/>
      <c r="H14" s="1495"/>
      <c r="I14" s="1495" t="s">
        <v>19</v>
      </c>
      <c r="J14" s="1495" t="s">
        <v>123</v>
      </c>
      <c r="K14" s="1547" t="s">
        <v>8844</v>
      </c>
      <c r="L14" s="2357">
        <v>1000</v>
      </c>
      <c r="M14" s="1493" t="s">
        <v>5961</v>
      </c>
      <c r="N14" s="1493"/>
      <c r="O14" s="1859"/>
      <c r="P14" s="1790">
        <v>1</v>
      </c>
      <c r="Q14" s="1495"/>
      <c r="R14" s="1495"/>
      <c r="S14" s="1495"/>
      <c r="T14" s="1909"/>
      <c r="U14" s="1548"/>
      <c r="V14" s="1548"/>
      <c r="W14" s="1548"/>
      <c r="X14" s="1493"/>
      <c r="Y14" s="1493"/>
      <c r="Z14" s="1493"/>
    </row>
    <row r="15" spans="1:26" s="1467" customFormat="1" ht="54.75" customHeight="1">
      <c r="A15" s="3750"/>
      <c r="B15" s="1543" t="str">
        <f t="shared" si="0"/>
        <v>2000003052</v>
      </c>
      <c r="C15" s="1601" t="s">
        <v>52</v>
      </c>
      <c r="D15" s="1494"/>
      <c r="E15" s="1495"/>
      <c r="F15" s="1493" t="s">
        <v>16</v>
      </c>
      <c r="G15" s="1495"/>
      <c r="H15" s="1495"/>
      <c r="I15" s="1495" t="s">
        <v>19</v>
      </c>
      <c r="J15" s="1495" t="s">
        <v>199</v>
      </c>
      <c r="K15" s="1600" t="s">
        <v>8845</v>
      </c>
      <c r="L15" s="2357">
        <v>1900</v>
      </c>
      <c r="M15" s="2506" t="s">
        <v>5937</v>
      </c>
      <c r="N15" s="1493"/>
      <c r="O15" s="1859"/>
      <c r="P15" s="1790">
        <v>1</v>
      </c>
      <c r="Q15" s="1495"/>
      <c r="R15" s="1495"/>
      <c r="S15" s="1495"/>
      <c r="T15" s="1909"/>
      <c r="U15" s="1548"/>
      <c r="V15" s="1548"/>
      <c r="W15" s="1548"/>
      <c r="X15" s="1493"/>
      <c r="Y15" s="1493"/>
      <c r="Z15" s="1493"/>
    </row>
    <row r="16" spans="1:26" s="1467" customFormat="1" ht="54.75" customHeight="1">
      <c r="A16" s="3735">
        <v>6</v>
      </c>
      <c r="B16" s="2187" t="str">
        <f t="shared" si="0"/>
        <v>2000003052</v>
      </c>
      <c r="C16" s="1902" t="s">
        <v>3563</v>
      </c>
      <c r="D16" s="2607">
        <v>3490</v>
      </c>
      <c r="E16" s="1921" t="s">
        <v>8846</v>
      </c>
      <c r="F16" s="1902" t="s">
        <v>61</v>
      </c>
      <c r="G16" s="1921" t="s">
        <v>8847</v>
      </c>
      <c r="H16" s="1921"/>
      <c r="I16" s="1921" t="s">
        <v>19</v>
      </c>
      <c r="J16" s="1921" t="s">
        <v>199</v>
      </c>
      <c r="K16" s="1911" t="s">
        <v>8848</v>
      </c>
      <c r="L16" s="2583">
        <v>3100</v>
      </c>
      <c r="M16" s="2506" t="s">
        <v>5937</v>
      </c>
      <c r="N16" s="1902" t="s">
        <v>6030</v>
      </c>
      <c r="O16" s="1859"/>
      <c r="P16" s="1790">
        <v>1</v>
      </c>
      <c r="Q16" s="1495"/>
      <c r="R16" s="1495"/>
      <c r="S16" s="1495"/>
      <c r="T16" s="1909"/>
      <c r="U16" s="1548"/>
      <c r="V16" s="1548"/>
      <c r="W16" s="1548"/>
      <c r="X16" s="1493"/>
      <c r="Y16" s="1493"/>
      <c r="Z16" s="1493"/>
    </row>
    <row r="17" spans="1:26" s="1467" customFormat="1" ht="54.75" customHeight="1">
      <c r="A17" s="3736"/>
      <c r="B17" s="1543" t="str">
        <f t="shared" si="0"/>
        <v>2200002044</v>
      </c>
      <c r="C17" s="1493" t="s">
        <v>3563</v>
      </c>
      <c r="D17" s="1494"/>
      <c r="E17" s="1495"/>
      <c r="F17" s="1493" t="s">
        <v>61</v>
      </c>
      <c r="G17" s="1495"/>
      <c r="H17" s="1495"/>
      <c r="I17" s="1495" t="s">
        <v>19</v>
      </c>
      <c r="J17" s="1495" t="s">
        <v>101</v>
      </c>
      <c r="K17" s="1547" t="s">
        <v>6231</v>
      </c>
      <c r="L17" s="2357">
        <v>165</v>
      </c>
      <c r="M17" s="2791" t="s">
        <v>5961</v>
      </c>
      <c r="N17" s="1902"/>
      <c r="O17" s="1859"/>
      <c r="P17" s="1790">
        <v>1</v>
      </c>
      <c r="Q17" s="1495"/>
      <c r="R17" s="1495"/>
      <c r="S17" s="1495"/>
      <c r="T17" s="1909"/>
      <c r="U17" s="1548"/>
      <c r="V17" s="1548"/>
      <c r="W17" s="1548"/>
      <c r="X17" s="1493"/>
      <c r="Y17" s="1493"/>
      <c r="Z17" s="1493"/>
    </row>
    <row r="18" spans="1:26" s="1467" customFormat="1" ht="66" customHeight="1">
      <c r="A18" s="3737"/>
      <c r="B18" s="1543" t="str">
        <f t="shared" si="0"/>
        <v>2200002034</v>
      </c>
      <c r="C18" s="1493" t="s">
        <v>3563</v>
      </c>
      <c r="D18" s="1494"/>
      <c r="E18" s="1495"/>
      <c r="F18" s="1493" t="s">
        <v>61</v>
      </c>
      <c r="G18" s="1495"/>
      <c r="H18" s="1495"/>
      <c r="I18" s="1495" t="s">
        <v>19</v>
      </c>
      <c r="J18" s="1495" t="s">
        <v>101</v>
      </c>
      <c r="K18" s="1600" t="s">
        <v>8849</v>
      </c>
      <c r="L18" s="2357">
        <v>208</v>
      </c>
      <c r="M18" s="2791" t="s">
        <v>5961</v>
      </c>
      <c r="N18" s="1902"/>
      <c r="O18" s="1859"/>
      <c r="P18" s="1790">
        <v>1</v>
      </c>
      <c r="Q18" s="1495"/>
      <c r="R18" s="1495"/>
      <c r="S18" s="1495"/>
      <c r="T18" s="1909"/>
      <c r="U18" s="1548"/>
      <c r="V18" s="1548"/>
      <c r="W18" s="1548"/>
      <c r="X18" s="1493"/>
      <c r="Y18" s="1493"/>
      <c r="Z18" s="1493"/>
    </row>
    <row r="19" spans="1:26" s="2643" customFormat="1" ht="58.5" customHeight="1">
      <c r="A19" s="3749">
        <v>7</v>
      </c>
      <c r="B19" s="2187" t="str">
        <f t="shared" si="0"/>
        <v>2000003061</v>
      </c>
      <c r="C19" s="1902" t="s">
        <v>3957</v>
      </c>
      <c r="D19" s="2607">
        <v>12800</v>
      </c>
      <c r="E19" s="1921" t="s">
        <v>8850</v>
      </c>
      <c r="F19" s="1902" t="s">
        <v>3416</v>
      </c>
      <c r="G19" s="1921" t="s">
        <v>8851</v>
      </c>
      <c r="H19" s="1921"/>
      <c r="I19" s="1921" t="s">
        <v>19</v>
      </c>
      <c r="J19" s="1921" t="s">
        <v>1138</v>
      </c>
      <c r="K19" s="1845" t="s">
        <v>8852</v>
      </c>
      <c r="L19" s="2583">
        <v>5000</v>
      </c>
      <c r="M19" s="1748" t="s">
        <v>5961</v>
      </c>
      <c r="N19" s="1902" t="s">
        <v>6113</v>
      </c>
      <c r="O19" s="1775"/>
      <c r="P19" s="1790">
        <v>1</v>
      </c>
      <c r="Q19" s="1921"/>
      <c r="R19" s="1921"/>
      <c r="S19" s="1921"/>
      <c r="T19" s="1909"/>
      <c r="U19" s="2150"/>
      <c r="V19" s="2150"/>
      <c r="W19" s="2150"/>
      <c r="X19" s="1902"/>
      <c r="Y19" s="1902"/>
      <c r="Z19" s="1902"/>
    </row>
    <row r="20" spans="1:26" s="1467" customFormat="1" ht="58.5" customHeight="1">
      <c r="A20" s="3751"/>
      <c r="B20" s="1543" t="str">
        <f t="shared" si="0"/>
        <v>2000003033</v>
      </c>
      <c r="C20" s="1493" t="s">
        <v>3957</v>
      </c>
      <c r="D20" s="1494"/>
      <c r="E20" s="1495"/>
      <c r="F20" s="1493" t="s">
        <v>3416</v>
      </c>
      <c r="G20" s="1495"/>
      <c r="H20" s="1495"/>
      <c r="I20" s="1495" t="s">
        <v>19</v>
      </c>
      <c r="J20" s="1495" t="s">
        <v>1138</v>
      </c>
      <c r="K20" s="1600" t="s">
        <v>8853</v>
      </c>
      <c r="L20" s="2357">
        <v>5000</v>
      </c>
      <c r="M20" s="1748" t="s">
        <v>8854</v>
      </c>
      <c r="N20" s="1493"/>
      <c r="O20" s="1859"/>
      <c r="P20" s="1790">
        <v>1</v>
      </c>
      <c r="Q20" s="1495"/>
      <c r="R20" s="1495"/>
      <c r="S20" s="1495"/>
      <c r="T20" s="1909"/>
      <c r="U20" s="1548"/>
      <c r="V20" s="1548"/>
      <c r="W20" s="1548"/>
      <c r="X20" s="1493"/>
      <c r="Y20" s="1493"/>
      <c r="Z20" s="1493"/>
    </row>
    <row r="21" spans="1:26" s="1467" customFormat="1" ht="58.5" customHeight="1">
      <c r="A21" s="3751"/>
      <c r="B21" s="1543" t="str">
        <f t="shared" si="0"/>
        <v>2200002011</v>
      </c>
      <c r="C21" s="1493" t="s">
        <v>3957</v>
      </c>
      <c r="D21" s="1494"/>
      <c r="E21" s="1495"/>
      <c r="F21" s="1493" t="s">
        <v>3416</v>
      </c>
      <c r="G21" s="1495"/>
      <c r="H21" s="1495"/>
      <c r="I21" s="1495" t="s">
        <v>19</v>
      </c>
      <c r="J21" s="1495" t="s">
        <v>1138</v>
      </c>
      <c r="K21" s="1600" t="s">
        <v>8855</v>
      </c>
      <c r="L21" s="2357">
        <v>575</v>
      </c>
      <c r="M21" s="2506" t="s">
        <v>5937</v>
      </c>
      <c r="N21" s="1493"/>
      <c r="O21" s="1859"/>
      <c r="P21" s="1790">
        <v>1</v>
      </c>
      <c r="Q21" s="1495"/>
      <c r="R21" s="1495"/>
      <c r="S21" s="1495"/>
      <c r="T21" s="1909"/>
      <c r="U21" s="1548"/>
      <c r="V21" s="1548"/>
      <c r="W21" s="1548"/>
      <c r="X21" s="1493"/>
      <c r="Y21" s="1493"/>
      <c r="Z21" s="1493"/>
    </row>
    <row r="22" spans="1:26" s="1467" customFormat="1" ht="58.5" customHeight="1">
      <c r="A22" s="3751"/>
      <c r="B22" s="1543" t="str">
        <f t="shared" si="0"/>
        <v>2200002047</v>
      </c>
      <c r="C22" s="1493" t="s">
        <v>3957</v>
      </c>
      <c r="D22" s="1494"/>
      <c r="E22" s="1495"/>
      <c r="F22" s="1493" t="s">
        <v>3416</v>
      </c>
      <c r="G22" s="1495"/>
      <c r="H22" s="1495"/>
      <c r="I22" s="1495" t="s">
        <v>19</v>
      </c>
      <c r="J22" s="1495" t="s">
        <v>1138</v>
      </c>
      <c r="K22" s="1605" t="s">
        <v>8856</v>
      </c>
      <c r="L22" s="2543">
        <v>90</v>
      </c>
      <c r="M22" s="2506" t="s">
        <v>5937</v>
      </c>
      <c r="N22" s="1493"/>
      <c r="O22" s="1859"/>
      <c r="P22" s="1790">
        <v>1</v>
      </c>
      <c r="Q22" s="1495"/>
      <c r="R22" s="1495"/>
      <c r="S22" s="1495"/>
      <c r="T22" s="1909"/>
      <c r="U22" s="1548"/>
      <c r="V22" s="1548"/>
      <c r="W22" s="1548"/>
      <c r="X22" s="1493"/>
      <c r="Y22" s="1493"/>
      <c r="Z22" s="1493"/>
    </row>
    <row r="23" spans="1:26" s="1467" customFormat="1" ht="58.5" customHeight="1">
      <c r="A23" s="3751"/>
      <c r="B23" s="1543" t="str">
        <f t="shared" si="0"/>
        <v>2200002048</v>
      </c>
      <c r="C23" s="1493" t="s">
        <v>3957</v>
      </c>
      <c r="D23" s="1494"/>
      <c r="E23" s="1495"/>
      <c r="F23" s="1493" t="s">
        <v>3416</v>
      </c>
      <c r="G23" s="1495"/>
      <c r="H23" s="1495"/>
      <c r="I23" s="1495" t="s">
        <v>19</v>
      </c>
      <c r="J23" s="1495" t="s">
        <v>1138</v>
      </c>
      <c r="K23" s="1605" t="s">
        <v>8857</v>
      </c>
      <c r="L23" s="2543">
        <v>1543</v>
      </c>
      <c r="M23" s="2506" t="s">
        <v>5937</v>
      </c>
      <c r="N23" s="1493"/>
      <c r="O23" s="1859"/>
      <c r="P23" s="1790">
        <v>1</v>
      </c>
      <c r="Q23" s="1495"/>
      <c r="R23" s="1495"/>
      <c r="S23" s="1495"/>
      <c r="T23" s="1909"/>
      <c r="U23" s="1548"/>
      <c r="V23" s="1548"/>
      <c r="W23" s="1548"/>
      <c r="X23" s="1493"/>
      <c r="Y23" s="1493"/>
      <c r="Z23" s="1493"/>
    </row>
    <row r="24" spans="1:26" s="2643" customFormat="1" ht="58.5" customHeight="1">
      <c r="A24" s="3744">
        <v>8</v>
      </c>
      <c r="B24" s="1900" t="str">
        <f t="shared" si="0"/>
        <v>2000003019</v>
      </c>
      <c r="C24" s="1902" t="s">
        <v>3414</v>
      </c>
      <c r="D24" s="2607">
        <v>24000</v>
      </c>
      <c r="E24" s="1921" t="s">
        <v>8826</v>
      </c>
      <c r="F24" s="1902" t="s">
        <v>3416</v>
      </c>
      <c r="G24" s="1921" t="s">
        <v>8858</v>
      </c>
      <c r="H24" s="1921"/>
      <c r="I24" s="2187" t="s">
        <v>19</v>
      </c>
      <c r="J24" s="2370" t="s">
        <v>20</v>
      </c>
      <c r="K24" s="2696" t="s">
        <v>8859</v>
      </c>
      <c r="L24" s="2608">
        <v>11293</v>
      </c>
      <c r="M24" s="2196" t="s">
        <v>5937</v>
      </c>
      <c r="N24" s="2563" t="s">
        <v>5993</v>
      </c>
      <c r="O24" s="1775"/>
      <c r="P24" s="1790">
        <v>1</v>
      </c>
      <c r="Q24" s="1921"/>
      <c r="R24" s="1921"/>
      <c r="S24" s="1921"/>
      <c r="T24" s="1909"/>
      <c r="U24" s="2150"/>
      <c r="V24" s="2150"/>
      <c r="W24" s="2150"/>
      <c r="X24" s="1902"/>
      <c r="Y24" s="1902"/>
      <c r="Z24" s="1902"/>
    </row>
    <row r="25" spans="1:26" s="1467" customFormat="1" ht="58.5" customHeight="1">
      <c r="A25" s="3744"/>
      <c r="B25" s="1900" t="str">
        <f t="shared" si="0"/>
        <v>2000003040</v>
      </c>
      <c r="C25" s="1493" t="s">
        <v>3414</v>
      </c>
      <c r="D25" s="1494"/>
      <c r="E25" s="1495"/>
      <c r="F25" s="1493" t="s">
        <v>3416</v>
      </c>
      <c r="G25" s="1495"/>
      <c r="H25" s="1495"/>
      <c r="I25" s="1495" t="s">
        <v>19</v>
      </c>
      <c r="J25" s="1495" t="s">
        <v>959</v>
      </c>
      <c r="K25" s="1881" t="s">
        <v>8860</v>
      </c>
      <c r="L25" s="2361">
        <v>5000</v>
      </c>
      <c r="M25" s="2196" t="s">
        <v>5937</v>
      </c>
      <c r="N25" s="1495"/>
      <c r="O25" s="1859"/>
      <c r="P25" s="1790">
        <v>1</v>
      </c>
      <c r="Q25" s="1495" t="s">
        <v>5994</v>
      </c>
      <c r="R25" s="2720" t="e">
        <f>VLOOKUP(Q25,#REF!,2,0)</f>
        <v>#REF!</v>
      </c>
      <c r="S25" s="2720" t="e">
        <f>VLOOKUP(Q25,#REF!,3,0)</f>
        <v>#REF!</v>
      </c>
      <c r="T25" s="2721" t="e">
        <f>R25-S25</f>
        <v>#REF!</v>
      </c>
      <c r="U25" s="1548"/>
      <c r="V25" s="1548"/>
      <c r="W25" s="1548"/>
      <c r="X25" s="1493"/>
      <c r="Y25" s="1493"/>
      <c r="Z25" s="1493"/>
    </row>
    <row r="26" spans="1:26" s="1467" customFormat="1" ht="58.5" customHeight="1">
      <c r="A26" s="3744"/>
      <c r="B26" s="1900" t="str">
        <f t="shared" si="0"/>
        <v>2000003037</v>
      </c>
      <c r="C26" s="1493" t="s">
        <v>3414</v>
      </c>
      <c r="D26" s="1494"/>
      <c r="E26" s="1495"/>
      <c r="F26" s="1493" t="s">
        <v>3416</v>
      </c>
      <c r="G26" s="1495"/>
      <c r="H26" s="1495"/>
      <c r="I26" s="1495" t="s">
        <v>19</v>
      </c>
      <c r="J26" s="1495" t="s">
        <v>959</v>
      </c>
      <c r="K26" s="1547" t="s">
        <v>8861</v>
      </c>
      <c r="L26" s="2357">
        <v>4712</v>
      </c>
      <c r="M26" s="1748" t="s">
        <v>8862</v>
      </c>
      <c r="N26" s="1495"/>
      <c r="O26" s="1859"/>
      <c r="P26" s="1790">
        <v>1</v>
      </c>
      <c r="Q26" s="1495"/>
      <c r="R26" s="1495"/>
      <c r="S26" s="1495"/>
      <c r="T26" s="1909"/>
      <c r="U26" s="1548"/>
      <c r="V26" s="1548"/>
      <c r="W26" s="1548"/>
      <c r="X26" s="1493"/>
      <c r="Y26" s="1493"/>
      <c r="Z26" s="1493"/>
    </row>
    <row r="27" spans="1:26" s="1467" customFormat="1" ht="58.5" customHeight="1">
      <c r="A27" s="3749"/>
      <c r="B27" s="1900" t="str">
        <f t="shared" si="0"/>
        <v>2000003066</v>
      </c>
      <c r="C27" s="1493" t="s">
        <v>3414</v>
      </c>
      <c r="D27" s="1494"/>
      <c r="E27" s="1495"/>
      <c r="F27" s="1493" t="s">
        <v>3416</v>
      </c>
      <c r="G27" s="1495"/>
      <c r="H27" s="1495"/>
      <c r="I27" s="1495" t="s">
        <v>19</v>
      </c>
      <c r="J27" s="1495" t="s">
        <v>959</v>
      </c>
      <c r="K27" s="1547" t="s">
        <v>8863</v>
      </c>
      <c r="L27" s="2357">
        <v>3000</v>
      </c>
      <c r="M27" s="2196" t="s">
        <v>5937</v>
      </c>
      <c r="N27" s="1493"/>
      <c r="O27" s="1859"/>
      <c r="P27" s="1790">
        <v>1</v>
      </c>
      <c r="Q27" s="1495"/>
      <c r="R27" s="1495"/>
      <c r="S27" s="1495"/>
      <c r="T27" s="1909"/>
      <c r="U27" s="1548"/>
      <c r="V27" s="1548"/>
      <c r="W27" s="1548"/>
      <c r="X27" s="1493"/>
      <c r="Y27" s="1493"/>
      <c r="Z27" s="1493"/>
    </row>
    <row r="28" spans="1:26" s="2643" customFormat="1" ht="58.5" customHeight="1">
      <c r="A28" s="2436">
        <v>9</v>
      </c>
      <c r="B28" s="2419" t="str">
        <f t="shared" si="0"/>
        <v>2000003047</v>
      </c>
      <c r="C28" s="1902" t="s">
        <v>3464</v>
      </c>
      <c r="D28" s="2607">
        <v>3180</v>
      </c>
      <c r="E28" s="2187" t="s">
        <v>8864</v>
      </c>
      <c r="F28" s="1902" t="s">
        <v>89</v>
      </c>
      <c r="G28" s="1921" t="s">
        <v>8865</v>
      </c>
      <c r="H28" s="1921"/>
      <c r="I28" s="2187" t="s">
        <v>19</v>
      </c>
      <c r="J28" s="2370" t="s">
        <v>20</v>
      </c>
      <c r="K28" s="1845" t="s">
        <v>8866</v>
      </c>
      <c r="L28" s="2583">
        <v>3180</v>
      </c>
      <c r="M28" s="2196" t="s">
        <v>5937</v>
      </c>
      <c r="N28" s="1902" t="s">
        <v>6030</v>
      </c>
      <c r="O28" s="1775"/>
      <c r="P28" s="1790">
        <v>1</v>
      </c>
      <c r="Q28" s="1921"/>
      <c r="R28" s="1921"/>
      <c r="S28" s="1921"/>
      <c r="T28" s="1909"/>
      <c r="U28" s="2150"/>
      <c r="V28" s="2150"/>
      <c r="W28" s="2150"/>
      <c r="X28" s="1902"/>
      <c r="Y28" s="1902"/>
      <c r="Z28" s="1902"/>
    </row>
    <row r="29" spans="1:26" s="1467" customFormat="1" ht="58.5" customHeight="1">
      <c r="A29" s="3773">
        <v>10</v>
      </c>
      <c r="B29" s="2419" t="str">
        <f t="shared" si="0"/>
        <v>2000003066</v>
      </c>
      <c r="C29" s="1902" t="s">
        <v>2927</v>
      </c>
      <c r="D29" s="2792">
        <v>12000</v>
      </c>
      <c r="E29" s="1921" t="s">
        <v>8867</v>
      </c>
      <c r="F29" s="2563" t="s">
        <v>3416</v>
      </c>
      <c r="G29" s="1921" t="s">
        <v>8868</v>
      </c>
      <c r="H29" s="1921"/>
      <c r="I29" s="1921" t="s">
        <v>19</v>
      </c>
      <c r="J29" s="1921" t="s">
        <v>1138</v>
      </c>
      <c r="K29" s="1911" t="s">
        <v>8869</v>
      </c>
      <c r="L29" s="2583">
        <v>2000</v>
      </c>
      <c r="M29" s="2196" t="s">
        <v>5937</v>
      </c>
      <c r="N29" s="1902" t="s">
        <v>6026</v>
      </c>
      <c r="O29" s="1775"/>
      <c r="P29" s="1790">
        <v>1</v>
      </c>
      <c r="Q29" s="1921"/>
      <c r="R29" s="1921"/>
      <c r="S29" s="1921"/>
      <c r="T29" s="1909"/>
      <c r="U29" s="2150"/>
      <c r="V29" s="2150"/>
      <c r="W29" s="2150"/>
      <c r="X29" s="1902"/>
      <c r="Y29" s="1902"/>
      <c r="Z29" s="1902"/>
    </row>
    <row r="30" spans="1:26" s="1467" customFormat="1" ht="58.5" customHeight="1">
      <c r="A30" s="3788"/>
      <c r="B30" s="2873">
        <v>2200002049</v>
      </c>
      <c r="C30" s="1626" t="s">
        <v>2927</v>
      </c>
      <c r="D30" s="2793"/>
      <c r="E30" s="1495"/>
      <c r="F30" s="1626" t="s">
        <v>3416</v>
      </c>
      <c r="G30" s="1495"/>
      <c r="H30" s="1495"/>
      <c r="I30" s="1495" t="s">
        <v>19</v>
      </c>
      <c r="J30" s="1495" t="s">
        <v>1138</v>
      </c>
      <c r="K30" s="1547" t="s">
        <v>8870</v>
      </c>
      <c r="L30" s="2357">
        <v>2388</v>
      </c>
      <c r="M30" s="1748" t="s">
        <v>8871</v>
      </c>
      <c r="N30" s="1902"/>
      <c r="O30" s="1775"/>
      <c r="P30" s="1790">
        <v>1</v>
      </c>
      <c r="Q30" s="1921"/>
      <c r="R30" s="1921"/>
      <c r="S30" s="1921"/>
      <c r="T30" s="1909"/>
      <c r="U30" s="2150"/>
      <c r="V30" s="2150"/>
      <c r="W30" s="2150"/>
      <c r="X30" s="1902"/>
      <c r="Y30" s="1902"/>
      <c r="Z30" s="1902"/>
    </row>
    <row r="31" spans="1:26" s="1467" customFormat="1" ht="58.5" customHeight="1">
      <c r="A31" s="3767"/>
      <c r="B31" s="1946" t="str">
        <f t="shared" ref="B31:B62" si="1">TEXT(LEFT(K31,10),"0000000000")</f>
        <v>2200002051</v>
      </c>
      <c r="C31" s="1493" t="s">
        <v>2927</v>
      </c>
      <c r="D31" s="2793"/>
      <c r="E31" s="1495"/>
      <c r="F31" s="1626" t="s">
        <v>3416</v>
      </c>
      <c r="G31" s="1495"/>
      <c r="H31" s="1495"/>
      <c r="I31" s="1495" t="s">
        <v>19</v>
      </c>
      <c r="J31" s="1495" t="s">
        <v>1138</v>
      </c>
      <c r="K31" s="1547" t="s">
        <v>8872</v>
      </c>
      <c r="L31" s="2357">
        <v>781</v>
      </c>
      <c r="M31" s="1748" t="s">
        <v>8873</v>
      </c>
      <c r="N31" s="1902"/>
      <c r="O31" s="1775"/>
      <c r="P31" s="1790">
        <v>1</v>
      </c>
      <c r="Q31" s="1921"/>
      <c r="R31" s="1921"/>
      <c r="S31" s="1921"/>
      <c r="T31" s="1909"/>
      <c r="U31" s="2150"/>
      <c r="V31" s="2150"/>
      <c r="W31" s="2150"/>
      <c r="X31" s="1902"/>
      <c r="Y31" s="1902"/>
      <c r="Z31" s="1902"/>
    </row>
    <row r="32" spans="1:26" s="1467" customFormat="1" ht="58.5" customHeight="1">
      <c r="A32" s="3767"/>
      <c r="B32" s="1900" t="str">
        <f t="shared" si="1"/>
        <v>2200002055</v>
      </c>
      <c r="C32" s="1493" t="s">
        <v>2927</v>
      </c>
      <c r="D32" s="2793"/>
      <c r="E32" s="1495"/>
      <c r="F32" s="1626" t="s">
        <v>3416</v>
      </c>
      <c r="G32" s="1495"/>
      <c r="H32" s="1495"/>
      <c r="I32" s="1495" t="s">
        <v>19</v>
      </c>
      <c r="J32" s="1495" t="s">
        <v>1138</v>
      </c>
      <c r="K32" s="1600" t="s">
        <v>8874</v>
      </c>
      <c r="L32" s="2357">
        <v>4654</v>
      </c>
      <c r="M32" s="1748" t="s">
        <v>8875</v>
      </c>
      <c r="N32" s="1902"/>
      <c r="O32" s="1775"/>
      <c r="P32" s="1790">
        <v>1</v>
      </c>
      <c r="Q32" s="1921"/>
      <c r="R32" s="1921"/>
      <c r="S32" s="1921"/>
      <c r="T32" s="1909"/>
      <c r="U32" s="2150"/>
      <c r="V32" s="2150"/>
      <c r="W32" s="2150"/>
      <c r="X32" s="1902"/>
      <c r="Y32" s="1902"/>
      <c r="Z32" s="1902"/>
    </row>
    <row r="33" spans="1:26" s="1467" customFormat="1" ht="58.5" customHeight="1">
      <c r="A33" s="3767"/>
      <c r="B33" s="1900" t="str">
        <f t="shared" si="1"/>
        <v>2200002053</v>
      </c>
      <c r="C33" s="1493" t="s">
        <v>2927</v>
      </c>
      <c r="D33" s="2793"/>
      <c r="E33" s="1495"/>
      <c r="F33" s="1626" t="s">
        <v>3416</v>
      </c>
      <c r="G33" s="1495"/>
      <c r="H33" s="1495"/>
      <c r="I33" s="1495" t="s">
        <v>19</v>
      </c>
      <c r="J33" s="1495" t="s">
        <v>1138</v>
      </c>
      <c r="K33" s="1547" t="s">
        <v>8876</v>
      </c>
      <c r="L33" s="2357">
        <v>1102</v>
      </c>
      <c r="M33" s="1748" t="s">
        <v>8877</v>
      </c>
      <c r="N33" s="1902"/>
      <c r="O33" s="1775"/>
      <c r="P33" s="1790">
        <v>1</v>
      </c>
      <c r="Q33" s="1921"/>
      <c r="R33" s="1921"/>
      <c r="S33" s="1921"/>
      <c r="T33" s="1909"/>
      <c r="U33" s="2150"/>
      <c r="V33" s="2150"/>
      <c r="W33" s="2150"/>
      <c r="X33" s="1902"/>
      <c r="Y33" s="1902"/>
      <c r="Z33" s="1902"/>
    </row>
    <row r="34" spans="1:26" s="1467" customFormat="1" ht="58.5" customHeight="1">
      <c r="A34" s="3767"/>
      <c r="B34" s="1900" t="str">
        <f t="shared" si="1"/>
        <v>2200002007</v>
      </c>
      <c r="C34" s="1493" t="s">
        <v>2927</v>
      </c>
      <c r="D34" s="2793"/>
      <c r="E34" s="1495"/>
      <c r="F34" s="1626" t="s">
        <v>3416</v>
      </c>
      <c r="G34" s="1495"/>
      <c r="H34" s="1495"/>
      <c r="I34" s="1495" t="s">
        <v>19</v>
      </c>
      <c r="J34" s="1495" t="s">
        <v>1138</v>
      </c>
      <c r="K34" s="1600" t="s">
        <v>6049</v>
      </c>
      <c r="L34" s="2357">
        <v>236</v>
      </c>
      <c r="M34" s="2196" t="s">
        <v>5937</v>
      </c>
      <c r="N34" s="1495"/>
      <c r="O34" s="1859"/>
      <c r="P34" s="1790">
        <v>1</v>
      </c>
      <c r="Q34" s="1921"/>
      <c r="R34" s="1921"/>
      <c r="S34" s="1921"/>
      <c r="T34" s="1909"/>
      <c r="U34" s="2150"/>
      <c r="V34" s="2150"/>
      <c r="W34" s="2150"/>
      <c r="X34" s="1902"/>
      <c r="Y34" s="1902"/>
      <c r="Z34" s="1902"/>
    </row>
    <row r="35" spans="1:26" s="1467" customFormat="1" ht="58.5" customHeight="1">
      <c r="A35" s="3767"/>
      <c r="B35" s="1900" t="str">
        <f t="shared" si="1"/>
        <v>2200002020</v>
      </c>
      <c r="C35" s="1493" t="s">
        <v>2927</v>
      </c>
      <c r="D35" s="2793"/>
      <c r="E35" s="1548"/>
      <c r="F35" s="1626" t="s">
        <v>3416</v>
      </c>
      <c r="G35" s="1495"/>
      <c r="H35" s="1495"/>
      <c r="I35" s="1495" t="s">
        <v>19</v>
      </c>
      <c r="J35" s="1495" t="s">
        <v>1138</v>
      </c>
      <c r="K35" s="1600" t="s">
        <v>8878</v>
      </c>
      <c r="L35" s="2357">
        <v>233</v>
      </c>
      <c r="M35" s="2196" t="s">
        <v>5937</v>
      </c>
      <c r="N35" s="1495"/>
      <c r="O35" s="1859"/>
      <c r="P35" s="1790">
        <v>1</v>
      </c>
      <c r="Q35" s="1495"/>
      <c r="R35" s="2720"/>
      <c r="S35" s="2720"/>
      <c r="T35" s="2721"/>
      <c r="U35" s="1548"/>
      <c r="V35" s="1548"/>
      <c r="W35" s="1548"/>
      <c r="X35" s="1493"/>
      <c r="Y35" s="1493"/>
      <c r="Z35" s="1493"/>
    </row>
    <row r="36" spans="1:26" s="1467" customFormat="1" ht="58.5" customHeight="1">
      <c r="A36" s="3768"/>
      <c r="B36" s="1900" t="str">
        <f t="shared" si="1"/>
        <v>2000003053</v>
      </c>
      <c r="C36" s="1493" t="s">
        <v>2927</v>
      </c>
      <c r="D36" s="2793"/>
      <c r="E36" s="1548"/>
      <c r="F36" s="1626" t="s">
        <v>3416</v>
      </c>
      <c r="G36" s="1495"/>
      <c r="H36" s="1495"/>
      <c r="I36" s="1495" t="s">
        <v>19</v>
      </c>
      <c r="J36" s="1495" t="s">
        <v>1138</v>
      </c>
      <c r="K36" s="1547" t="s">
        <v>8879</v>
      </c>
      <c r="L36" s="2357">
        <v>1000</v>
      </c>
      <c r="M36" s="2196" t="s">
        <v>8880</v>
      </c>
      <c r="N36" s="1493"/>
      <c r="O36" s="1859"/>
      <c r="P36" s="1790">
        <v>1</v>
      </c>
      <c r="Q36" s="1495"/>
      <c r="R36" s="2720"/>
      <c r="S36" s="2720"/>
      <c r="T36" s="2721"/>
      <c r="U36" s="1548"/>
      <c r="V36" s="1548"/>
      <c r="W36" s="1548"/>
      <c r="X36" s="1493"/>
      <c r="Y36" s="1493"/>
      <c r="Z36" s="1493"/>
    </row>
    <row r="37" spans="1:26" s="1467" customFormat="1" ht="55.5" customHeight="1">
      <c r="A37" s="3735">
        <v>11</v>
      </c>
      <c r="B37" s="2187" t="str">
        <f t="shared" si="1"/>
        <v>2200002037</v>
      </c>
      <c r="C37" s="1921" t="s">
        <v>8881</v>
      </c>
      <c r="D37" s="2607">
        <v>4700</v>
      </c>
      <c r="E37" s="2187" t="s">
        <v>8882</v>
      </c>
      <c r="F37" s="1902" t="s">
        <v>3401</v>
      </c>
      <c r="G37" s="1909" t="s">
        <v>8883</v>
      </c>
      <c r="H37" s="1921"/>
      <c r="I37" s="1921" t="s">
        <v>19</v>
      </c>
      <c r="J37" s="1921" t="s">
        <v>1138</v>
      </c>
      <c r="K37" s="1911" t="s">
        <v>8884</v>
      </c>
      <c r="L37" s="2583">
        <v>1971</v>
      </c>
      <c r="M37" s="1909" t="s">
        <v>8885</v>
      </c>
      <c r="N37" s="1902" t="s">
        <v>6026</v>
      </c>
      <c r="O37" s="1859"/>
      <c r="P37" s="1790">
        <v>1</v>
      </c>
      <c r="Q37" s="1921"/>
      <c r="R37" s="1921"/>
      <c r="S37" s="1921"/>
      <c r="T37" s="1909"/>
      <c r="U37" s="2150"/>
      <c r="V37" s="2150"/>
      <c r="W37" s="2150"/>
      <c r="X37" s="1902"/>
      <c r="Y37" s="1902"/>
      <c r="Z37" s="1902"/>
    </row>
    <row r="38" spans="1:26" s="1467" customFormat="1" ht="55.5" customHeight="1">
      <c r="A38" s="3736"/>
      <c r="B38" s="1543" t="str">
        <f t="shared" si="1"/>
        <v>2000003050</v>
      </c>
      <c r="C38" s="1495" t="s">
        <v>8886</v>
      </c>
      <c r="D38" s="2793"/>
      <c r="E38" s="1559"/>
      <c r="F38" s="1626" t="s">
        <v>3401</v>
      </c>
      <c r="G38" s="1495"/>
      <c r="H38" s="1495"/>
      <c r="I38" s="1495" t="s">
        <v>19</v>
      </c>
      <c r="J38" s="1495" t="s">
        <v>1138</v>
      </c>
      <c r="K38" s="1600" t="s">
        <v>8887</v>
      </c>
      <c r="L38" s="2357">
        <v>310</v>
      </c>
      <c r="M38" s="1790" t="s">
        <v>5961</v>
      </c>
      <c r="N38" s="1493"/>
      <c r="O38" s="1859"/>
      <c r="P38" s="1790">
        <v>1</v>
      </c>
      <c r="Q38" s="1495"/>
      <c r="R38" s="1495"/>
      <c r="S38" s="1495"/>
      <c r="T38" s="1909"/>
      <c r="U38" s="1548"/>
      <c r="V38" s="1548"/>
      <c r="W38" s="1548"/>
      <c r="X38" s="1493"/>
      <c r="Y38" s="1493"/>
      <c r="Z38" s="1493"/>
    </row>
    <row r="39" spans="1:26" s="1467" customFormat="1" ht="61.5" customHeight="1">
      <c r="A39" s="3736"/>
      <c r="B39" s="1543" t="str">
        <f t="shared" si="1"/>
        <v>2000003041</v>
      </c>
      <c r="C39" s="1495" t="s">
        <v>8886</v>
      </c>
      <c r="D39" s="2793"/>
      <c r="E39" s="1548"/>
      <c r="F39" s="1626" t="s">
        <v>3401</v>
      </c>
      <c r="G39" s="1495"/>
      <c r="H39" s="1495"/>
      <c r="I39" s="1495" t="s">
        <v>19</v>
      </c>
      <c r="J39" s="1495" t="s">
        <v>1138</v>
      </c>
      <c r="K39" s="1547" t="s">
        <v>8888</v>
      </c>
      <c r="L39" s="2543">
        <v>2000</v>
      </c>
      <c r="M39" s="2196" t="s">
        <v>5937</v>
      </c>
      <c r="N39" s="1495"/>
      <c r="O39" s="1859"/>
      <c r="P39" s="1790">
        <v>1</v>
      </c>
      <c r="Q39" s="1495" t="s">
        <v>5994</v>
      </c>
      <c r="R39" s="2720" t="e">
        <f>VLOOKUP(Q39,#REF!,2,0)</f>
        <v>#REF!</v>
      </c>
      <c r="S39" s="2720" t="e">
        <f>VLOOKUP(Q39,#REF!,3,0)</f>
        <v>#REF!</v>
      </c>
      <c r="T39" s="2721" t="e">
        <f>R39-S39</f>
        <v>#REF!</v>
      </c>
      <c r="U39" s="1548"/>
      <c r="V39" s="1548"/>
      <c r="W39" s="1548"/>
      <c r="X39" s="1493"/>
      <c r="Y39" s="1493"/>
      <c r="Z39" s="1493"/>
    </row>
    <row r="40" spans="1:26" s="1467" customFormat="1" ht="55.5" customHeight="1">
      <c r="A40" s="3736"/>
      <c r="B40" s="1543" t="str">
        <f t="shared" si="1"/>
        <v>2200002036</v>
      </c>
      <c r="C40" s="1495" t="s">
        <v>8886</v>
      </c>
      <c r="D40" s="2793"/>
      <c r="E40" s="1548"/>
      <c r="F40" s="1626" t="s">
        <v>3401</v>
      </c>
      <c r="G40" s="1495"/>
      <c r="H40" s="1495"/>
      <c r="I40" s="1495" t="s">
        <v>19</v>
      </c>
      <c r="J40" s="1495" t="s">
        <v>1138</v>
      </c>
      <c r="K40" s="1995" t="s">
        <v>6160</v>
      </c>
      <c r="L40" s="2357">
        <v>150</v>
      </c>
      <c r="M40" s="2749" t="s">
        <v>5961</v>
      </c>
      <c r="N40" s="1495"/>
      <c r="O40" s="1859"/>
      <c r="P40" s="1790">
        <v>1</v>
      </c>
      <c r="Q40" s="1495"/>
      <c r="R40" s="2720"/>
      <c r="S40" s="2720"/>
      <c r="T40" s="2721"/>
      <c r="U40" s="1548"/>
      <c r="V40" s="1548"/>
      <c r="W40" s="1548"/>
      <c r="X40" s="1493"/>
      <c r="Y40" s="1493"/>
      <c r="Z40" s="1493"/>
    </row>
    <row r="41" spans="1:26" s="1467" customFormat="1" ht="55.5" customHeight="1">
      <c r="A41" s="3736"/>
      <c r="B41" s="1543" t="str">
        <f t="shared" si="1"/>
        <v>2200002016</v>
      </c>
      <c r="C41" s="1495" t="s">
        <v>8886</v>
      </c>
      <c r="D41" s="2793"/>
      <c r="E41" s="1548"/>
      <c r="F41" s="1626" t="s">
        <v>3401</v>
      </c>
      <c r="G41" s="1495"/>
      <c r="H41" s="1495"/>
      <c r="I41" s="1495" t="s">
        <v>19</v>
      </c>
      <c r="J41" s="1495" t="s">
        <v>1138</v>
      </c>
      <c r="K41" s="1547" t="s">
        <v>8889</v>
      </c>
      <c r="L41" s="2361">
        <v>220</v>
      </c>
      <c r="M41" s="2749" t="s">
        <v>5961</v>
      </c>
      <c r="N41" s="1493"/>
      <c r="O41" s="1859"/>
      <c r="P41" s="1790">
        <v>1</v>
      </c>
      <c r="Q41" s="1495"/>
      <c r="R41" s="2720"/>
      <c r="S41" s="2720"/>
      <c r="T41" s="2721"/>
      <c r="U41" s="1548"/>
      <c r="V41" s="1548"/>
      <c r="W41" s="1548"/>
      <c r="X41" s="1493"/>
      <c r="Y41" s="1493"/>
      <c r="Z41" s="1493"/>
    </row>
    <row r="42" spans="1:26" s="1467" customFormat="1" ht="55.5" customHeight="1">
      <c r="A42" s="3737"/>
      <c r="B42" s="1543" t="str">
        <f t="shared" si="1"/>
        <v>2200002055</v>
      </c>
      <c r="C42" s="1495" t="s">
        <v>8886</v>
      </c>
      <c r="D42" s="2793"/>
      <c r="E42" s="1548"/>
      <c r="F42" s="1626" t="s">
        <v>3401</v>
      </c>
      <c r="G42" s="1495"/>
      <c r="H42" s="1495"/>
      <c r="I42" s="1495" t="s">
        <v>19</v>
      </c>
      <c r="J42" s="1495" t="s">
        <v>1138</v>
      </c>
      <c r="K42" s="1600" t="s">
        <v>8890</v>
      </c>
      <c r="L42" s="2361">
        <v>100</v>
      </c>
      <c r="M42" s="1748" t="s">
        <v>8891</v>
      </c>
      <c r="N42" s="1626"/>
      <c r="O42" s="1859"/>
      <c r="P42" s="1790">
        <v>1</v>
      </c>
      <c r="Q42" s="1495"/>
      <c r="R42" s="2720"/>
      <c r="S42" s="2720"/>
      <c r="T42" s="2721"/>
      <c r="U42" s="1548"/>
      <c r="V42" s="1548"/>
      <c r="W42" s="1548"/>
      <c r="X42" s="1493"/>
      <c r="Y42" s="1493"/>
      <c r="Z42" s="1493"/>
    </row>
    <row r="43" spans="1:26" s="1467" customFormat="1" ht="58.5" customHeight="1">
      <c r="A43" s="3735">
        <v>12</v>
      </c>
      <c r="B43" s="2187" t="str">
        <f t="shared" si="1"/>
        <v>2200002005</v>
      </c>
      <c r="C43" s="1921" t="s">
        <v>3455</v>
      </c>
      <c r="D43" s="2792">
        <v>8800</v>
      </c>
      <c r="E43" s="2118" t="s">
        <v>8892</v>
      </c>
      <c r="F43" s="2563" t="s">
        <v>3401</v>
      </c>
      <c r="G43" s="1921" t="s">
        <v>8893</v>
      </c>
      <c r="H43" s="1921"/>
      <c r="I43" s="1921" t="s">
        <v>19</v>
      </c>
      <c r="J43" s="1921" t="s">
        <v>123</v>
      </c>
      <c r="K43" s="1845" t="s">
        <v>8894</v>
      </c>
      <c r="L43" s="2583">
        <v>660</v>
      </c>
      <c r="M43" s="1909" t="s">
        <v>5961</v>
      </c>
      <c r="N43" s="1495"/>
      <c r="O43" s="1859"/>
      <c r="P43" s="1790">
        <v>2</v>
      </c>
      <c r="Q43" s="1495"/>
      <c r="R43" s="2720"/>
      <c r="S43" s="2720"/>
      <c r="T43" s="2721"/>
      <c r="U43" s="1548"/>
      <c r="V43" s="1548"/>
      <c r="W43" s="1548"/>
      <c r="X43" s="1493"/>
      <c r="Y43" s="1493"/>
      <c r="Z43" s="1493"/>
    </row>
    <row r="44" spans="1:26" s="1467" customFormat="1" ht="58.5" customHeight="1">
      <c r="A44" s="3736"/>
      <c r="B44" s="1543" t="str">
        <f t="shared" si="1"/>
        <v>2000003087</v>
      </c>
      <c r="C44" s="1495" t="s">
        <v>3455</v>
      </c>
      <c r="D44" s="1494"/>
      <c r="E44" s="1495"/>
      <c r="F44" s="1626" t="s">
        <v>3401</v>
      </c>
      <c r="G44" s="1495"/>
      <c r="H44" s="1495"/>
      <c r="I44" s="1495" t="s">
        <v>19</v>
      </c>
      <c r="J44" s="1495" t="s">
        <v>123</v>
      </c>
      <c r="K44" s="1600" t="s">
        <v>8895</v>
      </c>
      <c r="L44" s="2357">
        <v>400</v>
      </c>
      <c r="M44" s="2196" t="s">
        <v>5937</v>
      </c>
      <c r="N44" s="1493"/>
      <c r="O44" s="1859"/>
      <c r="P44" s="1790">
        <v>2</v>
      </c>
      <c r="Q44" s="1495"/>
      <c r="R44" s="1495"/>
      <c r="S44" s="1495"/>
      <c r="T44" s="1909"/>
      <c r="U44" s="1548"/>
      <c r="V44" s="1548"/>
      <c r="W44" s="1548"/>
      <c r="X44" s="1493"/>
      <c r="Y44" s="1493"/>
      <c r="Z44" s="1493"/>
    </row>
    <row r="45" spans="1:26" s="1467" customFormat="1" ht="58.5" customHeight="1">
      <c r="A45" s="3736"/>
      <c r="B45" s="1543" t="str">
        <f t="shared" si="1"/>
        <v>2000003105</v>
      </c>
      <c r="C45" s="1495" t="s">
        <v>3455</v>
      </c>
      <c r="D45" s="1494"/>
      <c r="E45" s="1495"/>
      <c r="F45" s="1626" t="s">
        <v>3401</v>
      </c>
      <c r="G45" s="1495"/>
      <c r="H45" s="1495"/>
      <c r="I45" s="1495" t="s">
        <v>19</v>
      </c>
      <c r="J45" s="1493" t="s">
        <v>123</v>
      </c>
      <c r="K45" s="1770" t="s">
        <v>8896</v>
      </c>
      <c r="L45" s="1548">
        <v>2400</v>
      </c>
      <c r="M45" s="2196" t="s">
        <v>5937</v>
      </c>
      <c r="N45" s="1493"/>
      <c r="O45" s="1859"/>
      <c r="P45" s="1790">
        <v>2</v>
      </c>
      <c r="Q45" s="1495"/>
      <c r="R45" s="1495"/>
      <c r="S45" s="1495"/>
      <c r="T45" s="1909"/>
      <c r="U45" s="1548"/>
      <c r="V45" s="1548"/>
      <c r="W45" s="1548"/>
      <c r="X45" s="1493"/>
      <c r="Y45" s="1493"/>
      <c r="Z45" s="1493"/>
    </row>
    <row r="46" spans="1:26" s="1467" customFormat="1" ht="58.5" customHeight="1">
      <c r="A46" s="3736"/>
      <c r="B46" s="1543" t="str">
        <f t="shared" si="1"/>
        <v>2000003044</v>
      </c>
      <c r="C46" s="1495" t="s">
        <v>3455</v>
      </c>
      <c r="D46" s="1494"/>
      <c r="E46" s="1495"/>
      <c r="F46" s="1626" t="s">
        <v>3401</v>
      </c>
      <c r="G46" s="1495"/>
      <c r="H46" s="1495"/>
      <c r="I46" s="1495" t="s">
        <v>19</v>
      </c>
      <c r="J46" s="1495" t="s">
        <v>63</v>
      </c>
      <c r="K46" s="1600" t="s">
        <v>8897</v>
      </c>
      <c r="L46" s="2357">
        <v>5000</v>
      </c>
      <c r="M46" s="1495" t="s">
        <v>5961</v>
      </c>
      <c r="N46" s="1493"/>
      <c r="O46" s="1859"/>
      <c r="P46" s="1790">
        <v>2</v>
      </c>
      <c r="Q46" s="1495"/>
      <c r="R46" s="1495"/>
      <c r="S46" s="1495"/>
      <c r="T46" s="1909"/>
      <c r="U46" s="1548"/>
      <c r="V46" s="1548"/>
      <c r="W46" s="1548"/>
      <c r="X46" s="1493"/>
      <c r="Y46" s="1493"/>
      <c r="Z46" s="1493"/>
    </row>
    <row r="47" spans="1:26" s="1467" customFormat="1" ht="75" customHeight="1">
      <c r="A47" s="3737"/>
      <c r="B47" s="1543" t="str">
        <f t="shared" si="1"/>
        <v>2000003055</v>
      </c>
      <c r="C47" s="1495" t="s">
        <v>3455</v>
      </c>
      <c r="D47" s="1494"/>
      <c r="E47" s="1495"/>
      <c r="F47" s="1626" t="s">
        <v>3401</v>
      </c>
      <c r="G47" s="1495"/>
      <c r="H47" s="1495"/>
      <c r="I47" s="1495" t="s">
        <v>19</v>
      </c>
      <c r="J47" s="1495" t="s">
        <v>63</v>
      </c>
      <c r="K47" s="1600" t="s">
        <v>8898</v>
      </c>
      <c r="L47" s="2357">
        <v>500</v>
      </c>
      <c r="M47" s="1495" t="s">
        <v>5961</v>
      </c>
      <c r="N47" s="1493"/>
      <c r="O47" s="1859"/>
      <c r="P47" s="1790">
        <v>2</v>
      </c>
      <c r="Q47" s="1495"/>
      <c r="R47" s="1495"/>
      <c r="S47" s="1495"/>
      <c r="T47" s="1909"/>
      <c r="U47" s="1548"/>
      <c r="V47" s="1548"/>
      <c r="W47" s="1548"/>
      <c r="X47" s="1493"/>
      <c r="Y47" s="1493"/>
      <c r="Z47" s="1493"/>
    </row>
    <row r="48" spans="1:26" s="2643" customFormat="1" ht="75" customHeight="1">
      <c r="A48" s="3735">
        <v>13</v>
      </c>
      <c r="B48" s="2187" t="str">
        <f t="shared" si="1"/>
        <v>2000003005</v>
      </c>
      <c r="C48" s="1902" t="s">
        <v>3924</v>
      </c>
      <c r="D48" s="2607">
        <v>7200</v>
      </c>
      <c r="E48" s="1921" t="s">
        <v>8899</v>
      </c>
      <c r="F48" s="2563" t="s">
        <v>3401</v>
      </c>
      <c r="G48" s="1909" t="s">
        <v>8900</v>
      </c>
      <c r="H48" s="1921"/>
      <c r="I48" s="2187" t="s">
        <v>19</v>
      </c>
      <c r="J48" s="1921" t="s">
        <v>4348</v>
      </c>
      <c r="K48" s="1845" t="s">
        <v>8901</v>
      </c>
      <c r="L48" s="2583">
        <v>3000</v>
      </c>
      <c r="M48" s="1748" t="s">
        <v>8902</v>
      </c>
      <c r="N48" s="1902"/>
      <c r="O48" s="1775"/>
      <c r="P48" s="1790">
        <v>2</v>
      </c>
      <c r="Q48" s="1921"/>
      <c r="R48" s="1921"/>
      <c r="S48" s="1921"/>
      <c r="T48" s="1909"/>
      <c r="U48" s="2150"/>
      <c r="V48" s="2150"/>
      <c r="W48" s="2150"/>
      <c r="X48" s="1902"/>
      <c r="Y48" s="1902"/>
      <c r="Z48" s="1902"/>
    </row>
    <row r="49" spans="1:26" s="1467" customFormat="1" ht="60.75" customHeight="1">
      <c r="A49" s="3736"/>
      <c r="B49" s="1543" t="str">
        <f t="shared" si="1"/>
        <v>2000003088</v>
      </c>
      <c r="C49" s="1493" t="s">
        <v>3924</v>
      </c>
      <c r="D49" s="2795"/>
      <c r="E49" s="2030"/>
      <c r="F49" s="1626" t="s">
        <v>3401</v>
      </c>
      <c r="G49" s="1748"/>
      <c r="H49" s="1748"/>
      <c r="I49" s="1495" t="s">
        <v>19</v>
      </c>
      <c r="J49" s="1495" t="s">
        <v>63</v>
      </c>
      <c r="K49" s="1600" t="s">
        <v>8903</v>
      </c>
      <c r="L49" s="2357">
        <v>100</v>
      </c>
      <c r="M49" s="1493" t="s">
        <v>5961</v>
      </c>
      <c r="N49" s="1493"/>
      <c r="O49" s="1859"/>
      <c r="P49" s="1790">
        <v>2</v>
      </c>
      <c r="Q49" s="1495"/>
      <c r="R49" s="1495"/>
      <c r="S49" s="1495"/>
      <c r="T49" s="1909"/>
      <c r="U49" s="1548"/>
      <c r="V49" s="1548"/>
      <c r="W49" s="1548"/>
      <c r="X49" s="1493"/>
      <c r="Y49" s="1493"/>
      <c r="Z49" s="1493"/>
    </row>
    <row r="50" spans="1:26" s="1467" customFormat="1" ht="116.25" customHeight="1">
      <c r="A50" s="3737"/>
      <c r="B50" s="1543" t="str">
        <f t="shared" si="1"/>
        <v>2000003078</v>
      </c>
      <c r="C50" s="1493" t="s">
        <v>3924</v>
      </c>
      <c r="D50" s="1494"/>
      <c r="E50" s="1495"/>
      <c r="F50" s="1626" t="s">
        <v>3401</v>
      </c>
      <c r="G50" s="1495"/>
      <c r="H50" s="1495"/>
      <c r="I50" s="1495" t="s">
        <v>19</v>
      </c>
      <c r="J50" s="1495" t="s">
        <v>63</v>
      </c>
      <c r="K50" s="1600" t="s">
        <v>8904</v>
      </c>
      <c r="L50" s="2357">
        <v>4000</v>
      </c>
      <c r="M50" s="2196" t="s">
        <v>5937</v>
      </c>
      <c r="N50" s="1493"/>
      <c r="O50" s="1859"/>
      <c r="P50" s="1790">
        <v>2</v>
      </c>
      <c r="Q50" s="1495"/>
      <c r="R50" s="1495"/>
      <c r="S50" s="1495"/>
      <c r="T50" s="1909"/>
      <c r="U50" s="1548"/>
      <c r="V50" s="1548"/>
      <c r="W50" s="1548"/>
      <c r="X50" s="1493"/>
      <c r="Y50" s="1493"/>
      <c r="Z50" s="1493"/>
    </row>
    <row r="51" spans="1:26" s="1467" customFormat="1" ht="69" customHeight="1">
      <c r="A51" s="3749">
        <v>14</v>
      </c>
      <c r="B51" s="1543" t="str">
        <f t="shared" si="1"/>
        <v>2000003047</v>
      </c>
      <c r="C51" s="1902" t="s">
        <v>3460</v>
      </c>
      <c r="D51" s="2607">
        <v>4000</v>
      </c>
      <c r="E51" s="1921" t="s">
        <v>8899</v>
      </c>
      <c r="F51" s="1902" t="s">
        <v>61</v>
      </c>
      <c r="G51" s="1921" t="s">
        <v>8905</v>
      </c>
      <c r="H51" s="1921"/>
      <c r="I51" s="1921" t="s">
        <v>19</v>
      </c>
      <c r="J51" s="1921" t="s">
        <v>20</v>
      </c>
      <c r="K51" s="1845" t="s">
        <v>8906</v>
      </c>
      <c r="L51" s="2583">
        <v>3000</v>
      </c>
      <c r="M51" s="2196" t="s">
        <v>5937</v>
      </c>
      <c r="N51" s="2563"/>
      <c r="O51" s="1775"/>
      <c r="P51" s="1790">
        <v>2</v>
      </c>
      <c r="Q51" s="1921"/>
      <c r="R51" s="1921"/>
      <c r="S51" s="1921"/>
      <c r="T51" s="1909"/>
      <c r="U51" s="2150"/>
      <c r="V51" s="2150"/>
      <c r="W51" s="2150"/>
      <c r="X51" s="1902"/>
      <c r="Y51" s="1902"/>
      <c r="Z51" s="1902"/>
    </row>
    <row r="52" spans="1:26" s="1467" customFormat="1" ht="66" customHeight="1">
      <c r="A52" s="3750"/>
      <c r="B52" s="1543" t="str">
        <f t="shared" si="1"/>
        <v>2000003067</v>
      </c>
      <c r="C52" s="1493" t="s">
        <v>3460</v>
      </c>
      <c r="D52" s="1494"/>
      <c r="E52" s="1495"/>
      <c r="F52" s="1493" t="s">
        <v>61</v>
      </c>
      <c r="G52" s="1495"/>
      <c r="H52" s="1495"/>
      <c r="I52" s="1495" t="s">
        <v>19</v>
      </c>
      <c r="J52" s="1495" t="s">
        <v>959</v>
      </c>
      <c r="K52" s="1547" t="s">
        <v>8907</v>
      </c>
      <c r="L52" s="2357">
        <v>1000</v>
      </c>
      <c r="M52" s="1748" t="s">
        <v>5961</v>
      </c>
      <c r="N52" s="1493"/>
      <c r="O52" s="1859"/>
      <c r="P52" s="1790">
        <v>2</v>
      </c>
      <c r="Q52" s="1495"/>
      <c r="R52" s="1495"/>
      <c r="S52" s="1495"/>
      <c r="T52" s="1909"/>
      <c r="U52" s="1548"/>
      <c r="V52" s="1548"/>
      <c r="W52" s="1548"/>
      <c r="X52" s="1493"/>
      <c r="Y52" s="1493"/>
      <c r="Z52" s="1493"/>
    </row>
    <row r="53" spans="1:26" s="1467" customFormat="1" ht="66" customHeight="1">
      <c r="A53" s="3735">
        <v>15</v>
      </c>
      <c r="B53" s="2187" t="str">
        <f t="shared" si="1"/>
        <v>2000003144</v>
      </c>
      <c r="C53" s="1902" t="s">
        <v>3629</v>
      </c>
      <c r="D53" s="2456">
        <v>22200</v>
      </c>
      <c r="E53" s="2187" t="s">
        <v>8899</v>
      </c>
      <c r="F53" s="2263" t="s">
        <v>3416</v>
      </c>
      <c r="G53" s="2261" t="s">
        <v>8908</v>
      </c>
      <c r="H53" s="2187" t="s">
        <v>8909</v>
      </c>
      <c r="I53" s="2279" t="s">
        <v>19</v>
      </c>
      <c r="J53" s="1921" t="s">
        <v>63</v>
      </c>
      <c r="K53" s="1600" t="s">
        <v>8910</v>
      </c>
      <c r="L53" s="2357">
        <v>275</v>
      </c>
      <c r="M53" s="1748" t="s">
        <v>8911</v>
      </c>
      <c r="N53" s="1493"/>
      <c r="O53" s="1859"/>
      <c r="P53" s="1790">
        <v>2</v>
      </c>
      <c r="Q53" s="1495"/>
      <c r="R53" s="1495"/>
      <c r="S53" s="1495"/>
      <c r="T53" s="1909"/>
      <c r="U53" s="1548"/>
      <c r="V53" s="1548"/>
      <c r="W53" s="1548"/>
      <c r="X53" s="1493"/>
      <c r="Y53" s="1493"/>
      <c r="Z53" s="1493"/>
    </row>
    <row r="54" spans="1:26" s="2643" customFormat="1" ht="58.5" customHeight="1">
      <c r="A54" s="3736"/>
      <c r="B54" s="1543" t="str">
        <f t="shared" si="1"/>
        <v>2000003079</v>
      </c>
      <c r="C54" s="1769" t="s">
        <v>3629</v>
      </c>
      <c r="D54" s="1548"/>
      <c r="E54" s="2797"/>
      <c r="F54" s="1493" t="s">
        <v>3416</v>
      </c>
      <c r="G54" s="1807"/>
      <c r="H54" s="1548"/>
      <c r="I54" s="1568" t="s">
        <v>19</v>
      </c>
      <c r="J54" s="1495" t="s">
        <v>63</v>
      </c>
      <c r="K54" s="1845" t="s">
        <v>8912</v>
      </c>
      <c r="L54" s="2583">
        <v>500</v>
      </c>
      <c r="M54" s="1748" t="s">
        <v>8913</v>
      </c>
      <c r="N54" s="1902"/>
      <c r="O54" s="1775" t="s">
        <v>6066</v>
      </c>
      <c r="P54" s="1790">
        <v>2</v>
      </c>
      <c r="Q54" s="1921"/>
      <c r="R54" s="1921"/>
      <c r="S54" s="1921"/>
      <c r="T54" s="1909"/>
      <c r="U54" s="2150"/>
      <c r="V54" s="2150"/>
      <c r="W54" s="2150"/>
      <c r="X54" s="1902"/>
      <c r="Y54" s="1902"/>
      <c r="Z54" s="1902"/>
    </row>
    <row r="55" spans="1:26" s="1467" customFormat="1" ht="48" customHeight="1">
      <c r="A55" s="3736"/>
      <c r="B55" s="1543" t="str">
        <f t="shared" si="1"/>
        <v>2000003083</v>
      </c>
      <c r="C55" s="1493" t="s">
        <v>3629</v>
      </c>
      <c r="D55" s="1631"/>
      <c r="E55" s="1851"/>
      <c r="F55" s="1630" t="s">
        <v>3416</v>
      </c>
      <c r="G55" s="1851"/>
      <c r="H55" s="1851"/>
      <c r="I55" s="1543" t="s">
        <v>19</v>
      </c>
      <c r="J55" s="1495" t="s">
        <v>63</v>
      </c>
      <c r="K55" s="1600" t="s">
        <v>8914</v>
      </c>
      <c r="L55" s="2357">
        <v>500</v>
      </c>
      <c r="M55" s="1748" t="s">
        <v>8915</v>
      </c>
      <c r="N55" s="1493"/>
      <c r="O55" s="1859"/>
      <c r="P55" s="1790">
        <v>2</v>
      </c>
      <c r="Q55" s="1495"/>
      <c r="R55" s="1495"/>
      <c r="S55" s="1495"/>
      <c r="T55" s="1909"/>
      <c r="U55" s="1548"/>
      <c r="V55" s="1548"/>
      <c r="W55" s="1548"/>
      <c r="X55" s="1493"/>
      <c r="Y55" s="1493"/>
      <c r="Z55" s="1493"/>
    </row>
    <row r="56" spans="1:26" s="1467" customFormat="1" ht="61.5" customHeight="1">
      <c r="A56" s="3736"/>
      <c r="B56" s="1543" t="str">
        <f t="shared" si="1"/>
        <v>2000003078</v>
      </c>
      <c r="C56" s="1493" t="s">
        <v>3629</v>
      </c>
      <c r="D56" s="1494"/>
      <c r="E56" s="1495"/>
      <c r="F56" s="1493" t="s">
        <v>3416</v>
      </c>
      <c r="G56" s="1495"/>
      <c r="H56" s="1495"/>
      <c r="I56" s="1495" t="s">
        <v>19</v>
      </c>
      <c r="J56" s="1495" t="s">
        <v>63</v>
      </c>
      <c r="K56" s="1600" t="s">
        <v>8916</v>
      </c>
      <c r="L56" s="2357">
        <v>6000</v>
      </c>
      <c r="M56" s="1495" t="s">
        <v>8917</v>
      </c>
      <c r="N56" s="1493"/>
      <c r="O56" s="1859">
        <v>120</v>
      </c>
      <c r="P56" s="1790">
        <v>2</v>
      </c>
      <c r="Q56" s="1495"/>
      <c r="R56" s="1495"/>
      <c r="S56" s="1495"/>
      <c r="T56" s="1909"/>
      <c r="U56" s="1548"/>
      <c r="V56" s="1548"/>
      <c r="W56" s="1548"/>
      <c r="X56" s="1493"/>
      <c r="Y56" s="1493"/>
      <c r="Z56" s="1493"/>
    </row>
    <row r="57" spans="1:26" s="1467" customFormat="1" ht="50.25" customHeight="1">
      <c r="A57" s="3736"/>
      <c r="B57" s="1543" t="str">
        <f t="shared" si="1"/>
        <v>2000003073</v>
      </c>
      <c r="C57" s="1493" t="s">
        <v>3629</v>
      </c>
      <c r="D57" s="1494"/>
      <c r="E57" s="1495"/>
      <c r="F57" s="1493" t="s">
        <v>3416</v>
      </c>
      <c r="G57" s="1495"/>
      <c r="H57" s="1495"/>
      <c r="I57" s="1495" t="s">
        <v>19</v>
      </c>
      <c r="J57" s="1495" t="s">
        <v>5325</v>
      </c>
      <c r="K57" s="1547" t="s">
        <v>8918</v>
      </c>
      <c r="L57" s="2357">
        <v>1000</v>
      </c>
      <c r="M57" s="2196" t="s">
        <v>5937</v>
      </c>
      <c r="N57" s="1493"/>
      <c r="O57" s="1859"/>
      <c r="P57" s="1790">
        <v>2</v>
      </c>
      <c r="Q57" s="1495"/>
      <c r="R57" s="1495"/>
      <c r="S57" s="1495"/>
      <c r="T57" s="1909"/>
      <c r="U57" s="1548"/>
      <c r="V57" s="1548"/>
      <c r="W57" s="1548"/>
      <c r="X57" s="1493"/>
      <c r="Y57" s="1493"/>
      <c r="Z57" s="1493"/>
    </row>
    <row r="58" spans="1:26" s="1467" customFormat="1" ht="50.25" customHeight="1">
      <c r="A58" s="3736"/>
      <c r="B58" s="1543" t="str">
        <f t="shared" si="1"/>
        <v>2000003071</v>
      </c>
      <c r="C58" s="1493" t="s">
        <v>3629</v>
      </c>
      <c r="D58" s="1494"/>
      <c r="E58" s="1495"/>
      <c r="F58" s="1493" t="s">
        <v>3416</v>
      </c>
      <c r="G58" s="1495"/>
      <c r="H58" s="1495"/>
      <c r="I58" s="1495" t="s">
        <v>19</v>
      </c>
      <c r="J58" s="1495" t="s">
        <v>5325</v>
      </c>
      <c r="K58" s="1547" t="s">
        <v>8919</v>
      </c>
      <c r="L58" s="2357">
        <v>9000</v>
      </c>
      <c r="M58" s="2196" t="s">
        <v>5937</v>
      </c>
      <c r="N58" s="1493"/>
      <c r="O58" s="1859"/>
      <c r="P58" s="1790">
        <v>2</v>
      </c>
      <c r="Q58" s="1495"/>
      <c r="R58" s="1495"/>
      <c r="S58" s="1495"/>
      <c r="T58" s="1909"/>
      <c r="U58" s="1548"/>
      <c r="V58" s="1548"/>
      <c r="W58" s="1548"/>
      <c r="X58" s="1493"/>
      <c r="Y58" s="1493"/>
      <c r="Z58" s="1493"/>
    </row>
    <row r="59" spans="1:26" s="1467" customFormat="1" ht="50.25" customHeight="1">
      <c r="A59" s="3736"/>
      <c r="B59" s="1543" t="str">
        <f t="shared" si="1"/>
        <v>2000003074</v>
      </c>
      <c r="C59" s="1493" t="s">
        <v>3629</v>
      </c>
      <c r="D59" s="1494"/>
      <c r="E59" s="1495"/>
      <c r="F59" s="1493" t="s">
        <v>3416</v>
      </c>
      <c r="G59" s="1495"/>
      <c r="H59" s="1495"/>
      <c r="I59" s="1495" t="s">
        <v>19</v>
      </c>
      <c r="J59" s="1495" t="s">
        <v>5325</v>
      </c>
      <c r="K59" s="1828" t="s">
        <v>8920</v>
      </c>
      <c r="L59" s="2357">
        <v>1500</v>
      </c>
      <c r="M59" s="2196" t="s">
        <v>5937</v>
      </c>
      <c r="N59" s="1493"/>
      <c r="O59" s="1859"/>
      <c r="P59" s="1790">
        <v>2</v>
      </c>
      <c r="Q59" s="1495"/>
      <c r="R59" s="1495"/>
      <c r="S59" s="1495"/>
      <c r="T59" s="1909"/>
      <c r="U59" s="1548"/>
      <c r="V59" s="1548"/>
      <c r="W59" s="1548"/>
      <c r="X59" s="1493"/>
      <c r="Y59" s="1493"/>
      <c r="Z59" s="1493"/>
    </row>
    <row r="60" spans="1:26" s="1467" customFormat="1" ht="51.75" customHeight="1">
      <c r="A60" s="3736"/>
      <c r="B60" s="1543" t="str">
        <f t="shared" si="1"/>
        <v>2000003068</v>
      </c>
      <c r="C60" s="1493" t="s">
        <v>3629</v>
      </c>
      <c r="D60" s="1494"/>
      <c r="E60" s="1495"/>
      <c r="F60" s="1493" t="s">
        <v>3416</v>
      </c>
      <c r="G60" s="1495"/>
      <c r="H60" s="1495"/>
      <c r="I60" s="1495" t="s">
        <v>19</v>
      </c>
      <c r="J60" s="1773" t="s">
        <v>5325</v>
      </c>
      <c r="K60" s="1600" t="s">
        <v>8921</v>
      </c>
      <c r="L60" s="2483">
        <v>2200</v>
      </c>
      <c r="M60" s="2196" t="s">
        <v>5937</v>
      </c>
      <c r="N60" s="1493"/>
      <c r="O60" s="1859"/>
      <c r="P60" s="1790">
        <v>2</v>
      </c>
      <c r="Q60" s="1495"/>
      <c r="R60" s="1495"/>
      <c r="S60" s="1495"/>
      <c r="T60" s="1909"/>
      <c r="U60" s="1548"/>
      <c r="V60" s="1548"/>
      <c r="W60" s="1548"/>
      <c r="X60" s="1493"/>
      <c r="Y60" s="1493"/>
      <c r="Z60" s="1493"/>
    </row>
    <row r="61" spans="1:26" s="1467" customFormat="1" ht="51.75" customHeight="1">
      <c r="A61" s="3736"/>
      <c r="B61" s="1543" t="str">
        <f t="shared" si="1"/>
        <v>2000003034</v>
      </c>
      <c r="C61" s="1493" t="s">
        <v>3629</v>
      </c>
      <c r="D61" s="1494"/>
      <c r="E61" s="1495"/>
      <c r="F61" s="1493" t="s">
        <v>3416</v>
      </c>
      <c r="G61" s="1495"/>
      <c r="H61" s="1495"/>
      <c r="I61" s="1495" t="s">
        <v>19</v>
      </c>
      <c r="J61" s="1773" t="s">
        <v>5325</v>
      </c>
      <c r="K61" s="1497" t="s">
        <v>8922</v>
      </c>
      <c r="L61" s="2483">
        <v>248</v>
      </c>
      <c r="M61" s="2196" t="s">
        <v>5214</v>
      </c>
      <c r="N61" s="1493"/>
      <c r="O61" s="1859"/>
      <c r="P61" s="1790">
        <v>2</v>
      </c>
      <c r="Q61" s="1495"/>
      <c r="R61" s="1495"/>
      <c r="S61" s="1495"/>
      <c r="T61" s="1909"/>
      <c r="U61" s="1548"/>
      <c r="V61" s="1548"/>
      <c r="W61" s="1548"/>
      <c r="X61" s="1493"/>
      <c r="Y61" s="1493"/>
      <c r="Z61" s="1493"/>
    </row>
    <row r="62" spans="1:26" s="1467" customFormat="1" ht="78" customHeight="1">
      <c r="A62" s="3737"/>
      <c r="B62" s="1543" t="str">
        <f t="shared" si="1"/>
        <v>2000003108</v>
      </c>
      <c r="C62" s="1493" t="s">
        <v>3629</v>
      </c>
      <c r="D62" s="1494"/>
      <c r="E62" s="1495"/>
      <c r="F62" s="1493" t="s">
        <v>3416</v>
      </c>
      <c r="G62" s="1495"/>
      <c r="H62" s="1495"/>
      <c r="I62" s="1495" t="s">
        <v>19</v>
      </c>
      <c r="J62" s="1495" t="s">
        <v>5325</v>
      </c>
      <c r="K62" s="1497" t="s">
        <v>8923</v>
      </c>
      <c r="L62" s="2357">
        <v>1000</v>
      </c>
      <c r="M62" s="2196" t="s">
        <v>5937</v>
      </c>
      <c r="N62" s="1493"/>
      <c r="O62" s="1859"/>
      <c r="P62" s="1790">
        <v>2</v>
      </c>
      <c r="Q62" s="1495"/>
      <c r="R62" s="1495"/>
      <c r="S62" s="1495"/>
      <c r="T62" s="1909"/>
      <c r="U62" s="1548"/>
      <c r="V62" s="1548"/>
      <c r="W62" s="1548"/>
      <c r="X62" s="1493"/>
      <c r="Y62" s="1493"/>
      <c r="Z62" s="1493"/>
    </row>
    <row r="63" spans="1:26" s="432" customFormat="1" ht="54.75" customHeight="1">
      <c r="A63" s="3749">
        <v>16</v>
      </c>
      <c r="B63" s="1900" t="str">
        <f t="shared" ref="B63:B94" si="2">TEXT(LEFT(K63,10),"0000000000")</f>
        <v>2200002064</v>
      </c>
      <c r="C63" s="1902" t="s">
        <v>4831</v>
      </c>
      <c r="D63" s="2607">
        <v>4379</v>
      </c>
      <c r="E63" s="1921" t="s">
        <v>8924</v>
      </c>
      <c r="F63" s="1902" t="s">
        <v>8925</v>
      </c>
      <c r="G63" s="1495" t="s">
        <v>8926</v>
      </c>
      <c r="H63" s="1748"/>
      <c r="I63" s="1495" t="s">
        <v>19</v>
      </c>
      <c r="J63" s="1495" t="s">
        <v>1138</v>
      </c>
      <c r="K63" s="1600" t="s">
        <v>8927</v>
      </c>
      <c r="L63" s="2357">
        <v>1136</v>
      </c>
      <c r="M63" s="2196" t="s">
        <v>5937</v>
      </c>
      <c r="N63" s="1493"/>
      <c r="O63" s="1859"/>
      <c r="P63" s="1790">
        <v>2</v>
      </c>
      <c r="Q63" s="1495"/>
      <c r="R63" s="1495"/>
      <c r="S63" s="1495"/>
      <c r="T63" s="1748"/>
      <c r="U63" s="1548"/>
      <c r="V63" s="1548"/>
      <c r="W63" s="1548"/>
      <c r="X63" s="1493"/>
      <c r="Y63" s="1493"/>
      <c r="Z63" s="1493"/>
    </row>
    <row r="64" spans="1:26" s="432" customFormat="1" ht="54.75" customHeight="1">
      <c r="A64" s="3751"/>
      <c r="B64" s="1900" t="str">
        <f t="shared" si="2"/>
        <v>2200002062</v>
      </c>
      <c r="C64" s="1493" t="s">
        <v>4831</v>
      </c>
      <c r="D64" s="1494"/>
      <c r="E64" s="1495"/>
      <c r="F64" s="1493" t="s">
        <v>8925</v>
      </c>
      <c r="G64" s="1495"/>
      <c r="H64" s="1748"/>
      <c r="I64" s="1495" t="s">
        <v>19</v>
      </c>
      <c r="J64" s="1495" t="s">
        <v>1138</v>
      </c>
      <c r="K64" s="1600" t="s">
        <v>8928</v>
      </c>
      <c r="L64" s="2796">
        <v>337</v>
      </c>
      <c r="M64" s="2196" t="s">
        <v>5937</v>
      </c>
      <c r="N64" s="1493"/>
      <c r="O64" s="1859"/>
      <c r="P64" s="1790">
        <v>2</v>
      </c>
      <c r="Q64" s="1495"/>
      <c r="R64" s="1495"/>
      <c r="S64" s="1495"/>
      <c r="T64" s="1909"/>
      <c r="U64" s="1548"/>
      <c r="V64" s="1548"/>
      <c r="W64" s="1548"/>
      <c r="X64" s="1493"/>
      <c r="Y64" s="1493"/>
      <c r="Z64" s="1493"/>
    </row>
    <row r="65" spans="1:26" s="432" customFormat="1" ht="54.75" customHeight="1">
      <c r="A65" s="3751"/>
      <c r="B65" s="1900" t="str">
        <f t="shared" si="2"/>
        <v>2200002059</v>
      </c>
      <c r="C65" s="1493" t="s">
        <v>4831</v>
      </c>
      <c r="D65" s="1494"/>
      <c r="E65" s="1495"/>
      <c r="F65" s="1493" t="s">
        <v>8925</v>
      </c>
      <c r="G65" s="1495"/>
      <c r="H65" s="1748"/>
      <c r="I65" s="1495" t="s">
        <v>19</v>
      </c>
      <c r="J65" s="1495" t="s">
        <v>1138</v>
      </c>
      <c r="K65" s="1600" t="s">
        <v>8929</v>
      </c>
      <c r="L65" s="2796">
        <v>1134</v>
      </c>
      <c r="M65" s="1790" t="s">
        <v>5961</v>
      </c>
      <c r="N65" s="1493"/>
      <c r="O65" s="1859"/>
      <c r="P65" s="1790">
        <v>2</v>
      </c>
      <c r="Q65" s="1495"/>
      <c r="R65" s="1495"/>
      <c r="S65" s="1495"/>
      <c r="T65" s="1909"/>
      <c r="U65" s="1548"/>
      <c r="V65" s="1548"/>
      <c r="W65" s="1548"/>
      <c r="X65" s="1493"/>
      <c r="Y65" s="1493"/>
      <c r="Z65" s="1493"/>
    </row>
    <row r="66" spans="1:26" s="432" customFormat="1" ht="54.75" customHeight="1">
      <c r="A66" s="3751"/>
      <c r="B66" s="1900" t="str">
        <f t="shared" si="2"/>
        <v>2200002058</v>
      </c>
      <c r="C66" s="1493" t="s">
        <v>4831</v>
      </c>
      <c r="D66" s="1494"/>
      <c r="E66" s="1495"/>
      <c r="F66" s="1493" t="s">
        <v>8925</v>
      </c>
      <c r="G66" s="1495"/>
      <c r="H66" s="1748"/>
      <c r="I66" s="1495" t="s">
        <v>19</v>
      </c>
      <c r="J66" s="1495" t="s">
        <v>1138</v>
      </c>
      <c r="K66" s="1600" t="s">
        <v>8930</v>
      </c>
      <c r="L66" s="2796">
        <v>604</v>
      </c>
      <c r="M66" s="1790" t="s">
        <v>5961</v>
      </c>
      <c r="N66" s="1493"/>
      <c r="O66" s="1859"/>
      <c r="P66" s="1790">
        <v>2</v>
      </c>
      <c r="Q66" s="1495"/>
      <c r="R66" s="1495"/>
      <c r="S66" s="1495"/>
      <c r="T66" s="1909"/>
      <c r="U66" s="1548"/>
      <c r="V66" s="1548"/>
      <c r="W66" s="1548"/>
      <c r="X66" s="1493"/>
      <c r="Y66" s="1493"/>
      <c r="Z66" s="1493"/>
    </row>
    <row r="67" spans="1:26" s="432" customFormat="1" ht="54.75" customHeight="1">
      <c r="A67" s="3751"/>
      <c r="B67" s="1900" t="str">
        <f t="shared" si="2"/>
        <v>2200002057</v>
      </c>
      <c r="C67" s="1493" t="s">
        <v>4831</v>
      </c>
      <c r="D67" s="1494"/>
      <c r="E67" s="1495"/>
      <c r="F67" s="1493" t="s">
        <v>8925</v>
      </c>
      <c r="G67" s="1495"/>
      <c r="H67" s="1748"/>
      <c r="I67" s="1495" t="s">
        <v>19</v>
      </c>
      <c r="J67" s="1495" t="s">
        <v>1138</v>
      </c>
      <c r="K67" s="1600" t="s">
        <v>8931</v>
      </c>
      <c r="L67" s="2796">
        <v>370</v>
      </c>
      <c r="M67" s="1790" t="s">
        <v>5961</v>
      </c>
      <c r="N67" s="1493"/>
      <c r="O67" s="1859"/>
      <c r="P67" s="1790">
        <v>2</v>
      </c>
      <c r="Q67" s="1495"/>
      <c r="R67" s="1495"/>
      <c r="S67" s="1495"/>
      <c r="T67" s="1909"/>
      <c r="U67" s="1548"/>
      <c r="V67" s="1548"/>
      <c r="W67" s="1548"/>
      <c r="X67" s="1493"/>
      <c r="Y67" s="1493"/>
      <c r="Z67" s="1493"/>
    </row>
    <row r="68" spans="1:26" s="432" customFormat="1" ht="54.75" customHeight="1">
      <c r="A68" s="3751"/>
      <c r="B68" s="1900" t="str">
        <f t="shared" si="2"/>
        <v>2200002056</v>
      </c>
      <c r="C68" s="1493" t="s">
        <v>4831</v>
      </c>
      <c r="D68" s="1494"/>
      <c r="E68" s="1495"/>
      <c r="F68" s="1493" t="s">
        <v>8925</v>
      </c>
      <c r="G68" s="1495"/>
      <c r="H68" s="1748"/>
      <c r="I68" s="1495" t="s">
        <v>19</v>
      </c>
      <c r="J68" s="1495" t="s">
        <v>1138</v>
      </c>
      <c r="K68" s="1600" t="s">
        <v>8932</v>
      </c>
      <c r="L68" s="2796">
        <v>395</v>
      </c>
      <c r="M68" s="1790" t="s">
        <v>5961</v>
      </c>
      <c r="N68" s="1493"/>
      <c r="O68" s="1859"/>
      <c r="P68" s="1790">
        <v>2</v>
      </c>
      <c r="Q68" s="1495"/>
      <c r="R68" s="1495"/>
      <c r="S68" s="1495"/>
      <c r="T68" s="1909"/>
      <c r="U68" s="1548"/>
      <c r="V68" s="1548"/>
      <c r="W68" s="1548"/>
      <c r="X68" s="1493"/>
      <c r="Y68" s="1493"/>
      <c r="Z68" s="1493"/>
    </row>
    <row r="69" spans="1:26" s="8" customFormat="1" ht="58.5" customHeight="1">
      <c r="A69" s="3750"/>
      <c r="B69" s="1900" t="str">
        <f t="shared" si="2"/>
        <v>2200002063</v>
      </c>
      <c r="C69" s="1493" t="s">
        <v>4831</v>
      </c>
      <c r="D69" s="1494"/>
      <c r="E69" s="1495"/>
      <c r="F69" s="1493" t="s">
        <v>8925</v>
      </c>
      <c r="G69" s="1495"/>
      <c r="H69" s="1748"/>
      <c r="I69" s="1495" t="s">
        <v>19</v>
      </c>
      <c r="J69" s="1495" t="s">
        <v>1138</v>
      </c>
      <c r="K69" s="1600" t="s">
        <v>8933</v>
      </c>
      <c r="L69" s="2796">
        <v>400</v>
      </c>
      <c r="M69" s="2196" t="s">
        <v>5937</v>
      </c>
      <c r="N69" s="1493"/>
      <c r="O69" s="1859"/>
      <c r="P69" s="1790">
        <v>2</v>
      </c>
      <c r="Q69" s="1495"/>
      <c r="R69" s="1495"/>
      <c r="S69" s="1495"/>
      <c r="T69" s="1909"/>
      <c r="U69" s="1548"/>
      <c r="V69" s="1548"/>
      <c r="W69" s="1548"/>
      <c r="X69" s="1493"/>
      <c r="Y69" s="1493"/>
      <c r="Z69" s="1493"/>
    </row>
    <row r="70" spans="1:26" s="1467" customFormat="1" ht="68.25" customHeight="1">
      <c r="A70" s="3749">
        <v>17</v>
      </c>
      <c r="B70" s="2187" t="str">
        <f t="shared" si="2"/>
        <v>2200002014</v>
      </c>
      <c r="C70" s="1902" t="s">
        <v>3699</v>
      </c>
      <c r="D70" s="2607">
        <v>4370</v>
      </c>
      <c r="E70" s="1921" t="s">
        <v>8934</v>
      </c>
      <c r="F70" s="1902" t="s">
        <v>61</v>
      </c>
      <c r="G70" s="1909" t="s">
        <v>8935</v>
      </c>
      <c r="H70" s="1921" t="s">
        <v>8936</v>
      </c>
      <c r="I70" s="1921" t="s">
        <v>19</v>
      </c>
      <c r="J70" s="1921" t="s">
        <v>101</v>
      </c>
      <c r="K70" s="1845" t="s">
        <v>8937</v>
      </c>
      <c r="L70" s="2583">
        <v>300</v>
      </c>
      <c r="M70" s="2196" t="s">
        <v>5937</v>
      </c>
      <c r="N70" s="1902"/>
      <c r="O70" s="1775"/>
      <c r="P70" s="1790">
        <v>2</v>
      </c>
      <c r="Q70" s="1921"/>
      <c r="R70" s="1921"/>
      <c r="S70" s="1921"/>
      <c r="T70" s="1909"/>
      <c r="U70" s="2150"/>
      <c r="V70" s="2150"/>
      <c r="W70" s="2150"/>
      <c r="X70" s="1902"/>
      <c r="Y70" s="1902"/>
      <c r="Z70" s="1902"/>
    </row>
    <row r="71" spans="1:26" s="1467" customFormat="1" ht="58.5" customHeight="1">
      <c r="A71" s="3751"/>
      <c r="B71" s="1543" t="str">
        <f t="shared" si="2"/>
        <v>2200002060</v>
      </c>
      <c r="C71" s="1493" t="s">
        <v>3699</v>
      </c>
      <c r="D71" s="1494"/>
      <c r="E71" s="1495"/>
      <c r="F71" s="1493" t="s">
        <v>61</v>
      </c>
      <c r="G71" s="1495"/>
      <c r="H71" s="1495"/>
      <c r="I71" s="1495" t="s">
        <v>19</v>
      </c>
      <c r="J71" s="1495" t="s">
        <v>74</v>
      </c>
      <c r="K71" s="1547" t="s">
        <v>8938</v>
      </c>
      <c r="L71" s="2357">
        <v>812</v>
      </c>
      <c r="M71" s="1748" t="s">
        <v>8939</v>
      </c>
      <c r="N71" s="1493"/>
      <c r="O71" s="1859"/>
      <c r="P71" s="1790">
        <v>2</v>
      </c>
      <c r="Q71" s="1495"/>
      <c r="R71" s="1495"/>
      <c r="S71" s="1495"/>
      <c r="T71" s="1909"/>
      <c r="U71" s="1548"/>
      <c r="V71" s="1548"/>
      <c r="W71" s="1548"/>
      <c r="X71" s="1493"/>
      <c r="Y71" s="1493"/>
      <c r="Z71" s="1493"/>
    </row>
    <row r="72" spans="1:26" s="1467" customFormat="1" ht="58.5" customHeight="1">
      <c r="A72" s="3751"/>
      <c r="B72" s="1543" t="str">
        <f t="shared" si="2"/>
        <v>2000003093</v>
      </c>
      <c r="C72" s="1493" t="s">
        <v>3699</v>
      </c>
      <c r="D72" s="1494"/>
      <c r="E72" s="1495"/>
      <c r="F72" s="1493" t="s">
        <v>61</v>
      </c>
      <c r="G72" s="1495"/>
      <c r="H72" s="1495"/>
      <c r="I72" s="1495" t="s">
        <v>19</v>
      </c>
      <c r="J72" s="1495" t="s">
        <v>74</v>
      </c>
      <c r="K72" s="1600" t="s">
        <v>8940</v>
      </c>
      <c r="L72" s="2357">
        <v>1200</v>
      </c>
      <c r="M72" s="1748" t="s">
        <v>5961</v>
      </c>
      <c r="N72" s="1493"/>
      <c r="O72" s="1859"/>
      <c r="P72" s="1790">
        <v>2</v>
      </c>
      <c r="Q72" s="1495"/>
      <c r="R72" s="1495"/>
      <c r="S72" s="1495"/>
      <c r="T72" s="1909"/>
      <c r="U72" s="1548"/>
      <c r="V72" s="1548"/>
      <c r="W72" s="1548"/>
      <c r="X72" s="1493"/>
      <c r="Y72" s="1493"/>
      <c r="Z72" s="1493"/>
    </row>
    <row r="73" spans="1:26" s="1467" customFormat="1" ht="70.5" customHeight="1">
      <c r="A73" s="3751"/>
      <c r="B73" s="1543" t="str">
        <f t="shared" si="2"/>
        <v>2200002015</v>
      </c>
      <c r="C73" s="1493" t="s">
        <v>3699</v>
      </c>
      <c r="D73" s="1494"/>
      <c r="E73" s="1495"/>
      <c r="F73" s="1493" t="s">
        <v>61</v>
      </c>
      <c r="G73" s="1495"/>
      <c r="H73" s="1495"/>
      <c r="I73" s="1495" t="s">
        <v>19</v>
      </c>
      <c r="J73" s="1495" t="s">
        <v>74</v>
      </c>
      <c r="K73" s="1600" t="s">
        <v>8941</v>
      </c>
      <c r="L73" s="2357">
        <v>2050</v>
      </c>
      <c r="M73" s="1748" t="s">
        <v>5961</v>
      </c>
      <c r="N73" s="1493"/>
      <c r="O73" s="1859"/>
      <c r="P73" s="1790">
        <v>2</v>
      </c>
      <c r="Q73" s="1495"/>
      <c r="R73" s="1495"/>
      <c r="S73" s="1495"/>
      <c r="T73" s="1909"/>
      <c r="U73" s="1548"/>
      <c r="V73" s="1548"/>
      <c r="W73" s="1548"/>
      <c r="X73" s="1493"/>
      <c r="Y73" s="1493"/>
      <c r="Z73" s="1493"/>
    </row>
    <row r="74" spans="1:26" s="2643" customFormat="1" ht="66" customHeight="1">
      <c r="A74" s="3749">
        <v>18</v>
      </c>
      <c r="B74" s="2419" t="str">
        <f t="shared" si="2"/>
        <v>2000003041</v>
      </c>
      <c r="C74" s="1921" t="s">
        <v>8942</v>
      </c>
      <c r="D74" s="2607">
        <v>5820</v>
      </c>
      <c r="E74" s="1921" t="s">
        <v>8943</v>
      </c>
      <c r="F74" s="1902" t="s">
        <v>16</v>
      </c>
      <c r="G74" s="1909" t="s">
        <v>8944</v>
      </c>
      <c r="H74" s="1921" t="s">
        <v>8945</v>
      </c>
      <c r="I74" s="1921" t="s">
        <v>19</v>
      </c>
      <c r="J74" s="1921" t="s">
        <v>959</v>
      </c>
      <c r="K74" s="1911" t="s">
        <v>8946</v>
      </c>
      <c r="L74" s="2583">
        <v>3000</v>
      </c>
      <c r="M74" s="2196" t="s">
        <v>5937</v>
      </c>
      <c r="N74" s="1921"/>
      <c r="O74" s="1775"/>
      <c r="P74" s="2429">
        <v>2</v>
      </c>
      <c r="Q74" s="1921" t="s">
        <v>5994</v>
      </c>
      <c r="R74" s="2724" t="e">
        <f>VLOOKUP(Q74,#REF!,2,0)</f>
        <v>#REF!</v>
      </c>
      <c r="S74" s="2724" t="e">
        <f>VLOOKUP(Q74,#REF!,3,0)</f>
        <v>#REF!</v>
      </c>
      <c r="T74" s="2721" t="e">
        <f>R74-S74</f>
        <v>#REF!</v>
      </c>
      <c r="U74" s="2150"/>
      <c r="V74" s="2150"/>
      <c r="W74" s="2150"/>
      <c r="X74" s="1902"/>
      <c r="Y74" s="1902"/>
      <c r="Z74" s="1902"/>
    </row>
    <row r="75" spans="1:26" s="1467" customFormat="1" ht="58.5" customHeight="1">
      <c r="A75" s="3751"/>
      <c r="B75" s="1900" t="str">
        <f t="shared" si="2"/>
        <v>2200002019</v>
      </c>
      <c r="C75" s="1493" t="s">
        <v>4786</v>
      </c>
      <c r="D75" s="1494"/>
      <c r="E75" s="1748" t="s">
        <v>125</v>
      </c>
      <c r="F75" s="1493" t="s">
        <v>16</v>
      </c>
      <c r="G75" s="1495"/>
      <c r="H75" s="1495"/>
      <c r="I75" s="1495" t="s">
        <v>19</v>
      </c>
      <c r="J75" s="1495" t="s">
        <v>959</v>
      </c>
      <c r="K75" s="1600" t="s">
        <v>8947</v>
      </c>
      <c r="L75" s="2357">
        <v>819</v>
      </c>
      <c r="M75" s="1790" t="s">
        <v>5961</v>
      </c>
      <c r="N75" s="1493"/>
      <c r="O75" s="1859"/>
      <c r="P75" s="1790">
        <v>2</v>
      </c>
      <c r="Q75" s="1495"/>
      <c r="R75" s="1495"/>
      <c r="S75" s="1495"/>
      <c r="T75" s="1909"/>
      <c r="U75" s="1548"/>
      <c r="V75" s="1548"/>
      <c r="W75" s="1548"/>
      <c r="X75" s="1493"/>
      <c r="Y75" s="1493"/>
      <c r="Z75" s="1493"/>
    </row>
    <row r="76" spans="1:26" s="1467" customFormat="1" ht="58.5" customHeight="1">
      <c r="A76" s="3751"/>
      <c r="B76" s="1900" t="str">
        <f t="shared" si="2"/>
        <v>2200002017</v>
      </c>
      <c r="C76" s="1493" t="s">
        <v>4786</v>
      </c>
      <c r="D76" s="1494"/>
      <c r="E76" s="1495"/>
      <c r="F76" s="1493" t="s">
        <v>16</v>
      </c>
      <c r="G76" s="1495"/>
      <c r="H76" s="1495"/>
      <c r="I76" s="1495" t="s">
        <v>19</v>
      </c>
      <c r="J76" s="1495" t="s">
        <v>959</v>
      </c>
      <c r="K76" s="1547" t="s">
        <v>8948</v>
      </c>
      <c r="L76" s="2357">
        <v>949</v>
      </c>
      <c r="M76" s="1748" t="s">
        <v>5961</v>
      </c>
      <c r="N76" s="1493"/>
      <c r="O76" s="1859"/>
      <c r="P76" s="1790">
        <v>2</v>
      </c>
      <c r="Q76" s="1495"/>
      <c r="R76" s="1495"/>
      <c r="S76" s="1495"/>
      <c r="T76" s="1909"/>
      <c r="U76" s="1548"/>
      <c r="V76" s="1548"/>
      <c r="W76" s="1548"/>
      <c r="X76" s="1493"/>
      <c r="Y76" s="1493"/>
      <c r="Z76" s="1493"/>
    </row>
    <row r="77" spans="1:26" s="1467" customFormat="1" ht="58.5" customHeight="1">
      <c r="A77" s="3751"/>
      <c r="B77" s="1900" t="str">
        <f t="shared" si="2"/>
        <v>2200002064</v>
      </c>
      <c r="C77" s="1493" t="s">
        <v>4786</v>
      </c>
      <c r="D77" s="1494"/>
      <c r="E77" s="1495"/>
      <c r="F77" s="1493" t="s">
        <v>16</v>
      </c>
      <c r="G77" s="1495"/>
      <c r="H77" s="1495"/>
      <c r="I77" s="1495" t="s">
        <v>19</v>
      </c>
      <c r="J77" s="1495" t="s">
        <v>959</v>
      </c>
      <c r="K77" s="1547" t="s">
        <v>8949</v>
      </c>
      <c r="L77" s="2357">
        <v>827</v>
      </c>
      <c r="M77" s="2196" t="s">
        <v>5937</v>
      </c>
      <c r="N77" s="1493"/>
      <c r="O77" s="1859"/>
      <c r="P77" s="1790">
        <v>2</v>
      </c>
      <c r="Q77" s="1495"/>
      <c r="R77" s="1495"/>
      <c r="S77" s="1495"/>
      <c r="T77" s="1909"/>
      <c r="U77" s="1548"/>
      <c r="V77" s="1548"/>
      <c r="W77" s="1548"/>
      <c r="X77" s="1493"/>
      <c r="Y77" s="1493"/>
      <c r="Z77" s="1493"/>
    </row>
    <row r="78" spans="1:26" s="1467" customFormat="1" ht="58.5" customHeight="1">
      <c r="A78" s="3751"/>
      <c r="B78" s="1900" t="str">
        <f t="shared" si="2"/>
        <v>2200002055</v>
      </c>
      <c r="C78" s="1493" t="s">
        <v>4786</v>
      </c>
      <c r="D78" s="1494"/>
      <c r="E78" s="1495"/>
      <c r="F78" s="1493" t="s">
        <v>16</v>
      </c>
      <c r="G78" s="1495"/>
      <c r="H78" s="1495"/>
      <c r="I78" s="1495" t="s">
        <v>19</v>
      </c>
      <c r="J78" s="1495" t="s">
        <v>959</v>
      </c>
      <c r="K78" s="1600" t="s">
        <v>8950</v>
      </c>
      <c r="L78" s="2357">
        <v>45</v>
      </c>
      <c r="M78" s="1790" t="s">
        <v>5214</v>
      </c>
      <c r="N78" s="1493"/>
      <c r="O78" s="1859"/>
      <c r="P78" s="1790">
        <v>2</v>
      </c>
      <c r="Q78" s="1495"/>
      <c r="R78" s="1495"/>
      <c r="S78" s="1495"/>
      <c r="T78" s="1909"/>
      <c r="U78" s="1548"/>
      <c r="V78" s="1548"/>
      <c r="W78" s="1548"/>
      <c r="X78" s="1493"/>
      <c r="Y78" s="1493"/>
      <c r="Z78" s="1493"/>
    </row>
    <row r="79" spans="1:26" s="1467" customFormat="1" ht="58.5" customHeight="1">
      <c r="A79" s="3749">
        <v>19</v>
      </c>
      <c r="B79" s="2187" t="str">
        <f t="shared" si="2"/>
        <v>2200002006</v>
      </c>
      <c r="C79" s="1902" t="s">
        <v>4216</v>
      </c>
      <c r="D79" s="2607">
        <v>13500</v>
      </c>
      <c r="E79" s="1921" t="s">
        <v>8951</v>
      </c>
      <c r="F79" s="1902" t="s">
        <v>3416</v>
      </c>
      <c r="G79" s="1921" t="s">
        <v>8952</v>
      </c>
      <c r="H79" s="1921"/>
      <c r="I79" s="1921" t="s">
        <v>19</v>
      </c>
      <c r="J79" s="1902" t="s">
        <v>123</v>
      </c>
      <c r="K79" s="2150" t="s">
        <v>8953</v>
      </c>
      <c r="L79" s="2179">
        <v>4446</v>
      </c>
      <c r="M79" s="1909" t="s">
        <v>5961</v>
      </c>
      <c r="N79" s="1493"/>
      <c r="O79" s="1859"/>
      <c r="P79" s="1790">
        <v>2</v>
      </c>
      <c r="Q79" s="1495"/>
      <c r="R79" s="1495"/>
      <c r="S79" s="1495"/>
      <c r="T79" s="1748"/>
      <c r="U79" s="1548"/>
      <c r="V79" s="1548"/>
      <c r="W79" s="1548"/>
      <c r="X79" s="1493"/>
      <c r="Y79" s="1493"/>
      <c r="Z79" s="1493"/>
    </row>
    <row r="80" spans="1:26" s="1467" customFormat="1" ht="58.5" customHeight="1">
      <c r="A80" s="3751"/>
      <c r="B80" s="1543" t="str">
        <f t="shared" si="2"/>
        <v>2000003107</v>
      </c>
      <c r="C80" s="1493" t="s">
        <v>4216</v>
      </c>
      <c r="D80" s="1494"/>
      <c r="E80" s="1495"/>
      <c r="F80" s="1493" t="s">
        <v>3416</v>
      </c>
      <c r="G80" s="1495"/>
      <c r="H80" s="1495"/>
      <c r="I80" s="1495" t="s">
        <v>19</v>
      </c>
      <c r="J80" s="1493" t="s">
        <v>123</v>
      </c>
      <c r="K80" s="1548" t="s">
        <v>8954</v>
      </c>
      <c r="L80" s="1548">
        <v>100</v>
      </c>
      <c r="M80" s="2196" t="s">
        <v>5937</v>
      </c>
      <c r="N80" s="1493"/>
      <c r="O80" s="1859"/>
      <c r="P80" s="1790">
        <v>2</v>
      </c>
      <c r="Q80" s="1495"/>
      <c r="R80" s="1495"/>
      <c r="S80" s="1495"/>
      <c r="T80" s="1909"/>
      <c r="U80" s="1548"/>
      <c r="V80" s="1548"/>
      <c r="W80" s="1548"/>
      <c r="X80" s="1493"/>
      <c r="Y80" s="1493"/>
      <c r="Z80" s="1493"/>
    </row>
    <row r="81" spans="1:26" s="1467" customFormat="1" ht="58.5" customHeight="1">
      <c r="A81" s="3751"/>
      <c r="B81" s="1543" t="str">
        <f t="shared" si="2"/>
        <v>2000003091</v>
      </c>
      <c r="C81" s="1493" t="s">
        <v>4216</v>
      </c>
      <c r="D81" s="1494"/>
      <c r="E81" s="1495"/>
      <c r="F81" s="1493" t="s">
        <v>3416</v>
      </c>
      <c r="G81" s="1495"/>
      <c r="H81" s="1495"/>
      <c r="I81" s="1495" t="s">
        <v>19</v>
      </c>
      <c r="J81" s="1493" t="s">
        <v>123</v>
      </c>
      <c r="K81" s="1548" t="s">
        <v>8955</v>
      </c>
      <c r="L81" s="2183">
        <v>3200</v>
      </c>
      <c r="M81" s="2196" t="s">
        <v>6399</v>
      </c>
      <c r="N81" s="1493"/>
      <c r="O81" s="1859"/>
      <c r="P81" s="1790">
        <v>2</v>
      </c>
      <c r="Q81" s="1495"/>
      <c r="R81" s="1495"/>
      <c r="S81" s="1495"/>
      <c r="T81" s="1909"/>
      <c r="U81" s="1548"/>
      <c r="V81" s="1548"/>
      <c r="W81" s="1548"/>
      <c r="X81" s="1493"/>
      <c r="Y81" s="1493"/>
      <c r="Z81" s="1493"/>
    </row>
    <row r="82" spans="1:26" s="1467" customFormat="1" ht="58.5" customHeight="1">
      <c r="A82" s="3750"/>
      <c r="B82" s="1543" t="str">
        <f t="shared" si="2"/>
        <v>2000003086</v>
      </c>
      <c r="C82" s="1493" t="s">
        <v>4216</v>
      </c>
      <c r="D82" s="1494"/>
      <c r="E82" s="1495"/>
      <c r="F82" s="1493" t="s">
        <v>3416</v>
      </c>
      <c r="G82" s="1495"/>
      <c r="H82" s="1495"/>
      <c r="I82" s="1495" t="s">
        <v>19</v>
      </c>
      <c r="J82" s="1495" t="s">
        <v>123</v>
      </c>
      <c r="K82" s="1547" t="s">
        <v>8956</v>
      </c>
      <c r="L82" s="2357">
        <v>6022</v>
      </c>
      <c r="M82" s="1748" t="s">
        <v>5961</v>
      </c>
      <c r="N82" s="1493"/>
      <c r="O82" s="1859"/>
      <c r="P82" s="1790">
        <v>2</v>
      </c>
      <c r="Q82" s="1495"/>
      <c r="R82" s="1495"/>
      <c r="S82" s="1495"/>
      <c r="T82" s="1909"/>
      <c r="U82" s="1548"/>
      <c r="V82" s="1548"/>
      <c r="W82" s="1548"/>
      <c r="X82" s="1493"/>
      <c r="Y82" s="1493"/>
      <c r="Z82" s="1493"/>
    </row>
    <row r="83" spans="1:26" s="2643" customFormat="1" ht="90" customHeight="1">
      <c r="A83" s="3749">
        <v>20</v>
      </c>
      <c r="B83" s="2187" t="str">
        <f t="shared" si="2"/>
        <v>2200002069</v>
      </c>
      <c r="C83" s="1902" t="s">
        <v>5512</v>
      </c>
      <c r="D83" s="2607">
        <v>4300</v>
      </c>
      <c r="E83" s="1921" t="s">
        <v>8957</v>
      </c>
      <c r="F83" s="1902" t="s">
        <v>89</v>
      </c>
      <c r="G83" s="1921" t="s">
        <v>8958</v>
      </c>
      <c r="H83" s="1921"/>
      <c r="I83" s="1921" t="s">
        <v>19</v>
      </c>
      <c r="J83" s="1921" t="s">
        <v>1138</v>
      </c>
      <c r="K83" s="1845" t="s">
        <v>8959</v>
      </c>
      <c r="L83" s="2583">
        <v>3740</v>
      </c>
      <c r="M83" s="1909" t="s">
        <v>8960</v>
      </c>
      <c r="N83" s="1902" t="s">
        <v>5988</v>
      </c>
      <c r="O83" s="1775"/>
      <c r="P83" s="2429">
        <v>2</v>
      </c>
      <c r="Q83" s="1921"/>
      <c r="R83" s="1921"/>
      <c r="S83" s="1921"/>
      <c r="T83" s="1909"/>
      <c r="U83" s="2150"/>
      <c r="V83" s="2150"/>
      <c r="W83" s="2150"/>
      <c r="X83" s="1902"/>
      <c r="Y83" s="1902"/>
      <c r="Z83" s="1902"/>
    </row>
    <row r="84" spans="1:26" s="2643" customFormat="1" ht="58.5" customHeight="1">
      <c r="A84" s="3750"/>
      <c r="B84" s="2187" t="str">
        <f t="shared" si="2"/>
        <v>2200002065</v>
      </c>
      <c r="C84" s="1493" t="s">
        <v>5512</v>
      </c>
      <c r="D84" s="1494"/>
      <c r="E84" s="1495"/>
      <c r="F84" s="1493" t="s">
        <v>89</v>
      </c>
      <c r="G84" s="1495"/>
      <c r="H84" s="1495"/>
      <c r="I84" s="1493" t="s">
        <v>19</v>
      </c>
      <c r="J84" s="1495" t="s">
        <v>1138</v>
      </c>
      <c r="K84" s="1600" t="s">
        <v>8961</v>
      </c>
      <c r="L84" s="2357">
        <v>569</v>
      </c>
      <c r="M84" s="1748" t="s">
        <v>5961</v>
      </c>
      <c r="N84" s="1493"/>
      <c r="O84" s="1859"/>
      <c r="P84" s="1790">
        <v>2</v>
      </c>
      <c r="Q84" s="1495"/>
      <c r="R84" s="1495"/>
      <c r="S84" s="1495"/>
      <c r="T84" s="1909"/>
      <c r="U84" s="1548"/>
      <c r="V84" s="1548"/>
      <c r="W84" s="1548"/>
      <c r="X84" s="1493"/>
      <c r="Y84" s="1493"/>
      <c r="Z84" s="1493"/>
    </row>
    <row r="85" spans="1:26" s="2643" customFormat="1" ht="58.5" customHeight="1">
      <c r="A85" s="3735">
        <v>21</v>
      </c>
      <c r="B85" s="2187" t="str">
        <f t="shared" si="2"/>
        <v>2200002066</v>
      </c>
      <c r="C85" s="1902" t="s">
        <v>3556</v>
      </c>
      <c r="D85" s="2607">
        <v>4300</v>
      </c>
      <c r="E85" s="1921" t="s">
        <v>8962</v>
      </c>
      <c r="F85" s="1902" t="s">
        <v>84</v>
      </c>
      <c r="G85" s="1921" t="s">
        <v>8963</v>
      </c>
      <c r="H85" s="1921"/>
      <c r="I85" s="1921" t="s">
        <v>19</v>
      </c>
      <c r="J85" s="1921" t="s">
        <v>1138</v>
      </c>
      <c r="K85" s="1911" t="s">
        <v>8964</v>
      </c>
      <c r="L85" s="2583">
        <v>947</v>
      </c>
      <c r="M85" s="1902" t="s">
        <v>8965</v>
      </c>
      <c r="N85" s="1902"/>
      <c r="O85" s="1775"/>
      <c r="P85" s="2429">
        <v>3</v>
      </c>
      <c r="Q85" s="1921"/>
      <c r="R85" s="1921"/>
      <c r="S85" s="1921"/>
      <c r="T85" s="1909"/>
      <c r="U85" s="2150"/>
      <c r="V85" s="2150"/>
      <c r="W85" s="2150"/>
      <c r="X85" s="1902"/>
      <c r="Y85" s="1902"/>
      <c r="Z85" s="1902"/>
    </row>
    <row r="86" spans="1:26" s="2643" customFormat="1" ht="58.5" customHeight="1">
      <c r="A86" s="3736"/>
      <c r="B86" s="1543" t="str">
        <f t="shared" si="2"/>
        <v>2200002067</v>
      </c>
      <c r="C86" s="1493" t="s">
        <v>3556</v>
      </c>
      <c r="D86" s="1494"/>
      <c r="E86" s="1495"/>
      <c r="F86" s="1493" t="s">
        <v>84</v>
      </c>
      <c r="G86" s="1495"/>
      <c r="H86" s="1495"/>
      <c r="I86" s="1495" t="s">
        <v>19</v>
      </c>
      <c r="J86" s="1921" t="s">
        <v>1138</v>
      </c>
      <c r="K86" s="1547" t="s">
        <v>8966</v>
      </c>
      <c r="L86" s="2357">
        <v>504</v>
      </c>
      <c r="M86" s="1493" t="s">
        <v>8967</v>
      </c>
      <c r="N86" s="1493"/>
      <c r="O86" s="1859"/>
      <c r="P86" s="1790">
        <v>3</v>
      </c>
      <c r="Q86" s="1495"/>
      <c r="R86" s="1495"/>
      <c r="S86" s="1495"/>
      <c r="T86" s="1909"/>
      <c r="U86" s="1548"/>
      <c r="V86" s="1548"/>
      <c r="W86" s="1548"/>
      <c r="X86" s="1493"/>
      <c r="Y86" s="1493"/>
      <c r="Z86" s="1493"/>
    </row>
    <row r="87" spans="1:26" s="2643" customFormat="1" ht="58.5" customHeight="1">
      <c r="A87" s="3737"/>
      <c r="B87" s="1543" t="str">
        <f t="shared" si="2"/>
        <v>2000003132</v>
      </c>
      <c r="C87" s="1493" t="s">
        <v>3556</v>
      </c>
      <c r="D87" s="1494"/>
      <c r="E87" s="1495"/>
      <c r="F87" s="1493" t="s">
        <v>84</v>
      </c>
      <c r="G87" s="1495"/>
      <c r="H87" s="1495"/>
      <c r="I87" s="1493" t="s">
        <v>19</v>
      </c>
      <c r="J87" s="1921" t="s">
        <v>1138</v>
      </c>
      <c r="K87" s="1547" t="s">
        <v>8968</v>
      </c>
      <c r="L87" s="2357">
        <v>3000</v>
      </c>
      <c r="M87" s="2196" t="s">
        <v>5937</v>
      </c>
      <c r="N87" s="1493"/>
      <c r="O87" s="1843"/>
      <c r="P87" s="1790">
        <v>3</v>
      </c>
      <c r="Q87" s="1495"/>
      <c r="R87" s="1495"/>
      <c r="S87" s="1495"/>
      <c r="T87" s="1909"/>
      <c r="U87" s="1548"/>
      <c r="V87" s="1548"/>
      <c r="W87" s="1548"/>
      <c r="X87" s="1493"/>
      <c r="Y87" s="1493"/>
      <c r="Z87" s="1493"/>
    </row>
    <row r="88" spans="1:26" s="2643" customFormat="1" ht="58.5" customHeight="1">
      <c r="A88" s="3749">
        <v>22</v>
      </c>
      <c r="B88" s="2187" t="str">
        <f t="shared" si="2"/>
        <v>2200002070</v>
      </c>
      <c r="C88" s="1902" t="s">
        <v>8969</v>
      </c>
      <c r="D88" s="2607">
        <v>3550</v>
      </c>
      <c r="E88" s="1921" t="s">
        <v>8962</v>
      </c>
      <c r="F88" s="1902" t="s">
        <v>84</v>
      </c>
      <c r="G88" s="1921" t="s">
        <v>8970</v>
      </c>
      <c r="H88" s="1921"/>
      <c r="I88" s="1921" t="s">
        <v>19</v>
      </c>
      <c r="J88" s="1921" t="s">
        <v>959</v>
      </c>
      <c r="K88" s="1845" t="s">
        <v>8971</v>
      </c>
      <c r="L88" s="2583">
        <v>890</v>
      </c>
      <c r="M88" s="2196" t="s">
        <v>8451</v>
      </c>
      <c r="N88" s="1493"/>
      <c r="O88" s="1859"/>
      <c r="P88" s="1790">
        <v>2</v>
      </c>
      <c r="Q88" s="1495"/>
      <c r="R88" s="1495"/>
      <c r="S88" s="1495"/>
      <c r="T88" s="1909"/>
      <c r="U88" s="1548"/>
      <c r="V88" s="1548"/>
      <c r="W88" s="1548"/>
      <c r="X88" s="1493"/>
      <c r="Y88" s="1493"/>
      <c r="Z88" s="1493"/>
    </row>
    <row r="89" spans="1:26" s="2643" customFormat="1" ht="58.5" customHeight="1">
      <c r="A89" s="3750"/>
      <c r="B89" s="2187" t="str">
        <f t="shared" si="2"/>
        <v>2200002073</v>
      </c>
      <c r="C89" s="1493" t="s">
        <v>8969</v>
      </c>
      <c r="D89" s="1494"/>
      <c r="E89" s="1495"/>
      <c r="F89" s="1493" t="s">
        <v>84</v>
      </c>
      <c r="G89" s="1495"/>
      <c r="H89" s="1495"/>
      <c r="I89" s="1495" t="s">
        <v>19</v>
      </c>
      <c r="J89" s="1921" t="s">
        <v>959</v>
      </c>
      <c r="K89" s="1600" t="s">
        <v>8972</v>
      </c>
      <c r="L89" s="2357">
        <v>2700</v>
      </c>
      <c r="M89" s="2196" t="s">
        <v>8451</v>
      </c>
      <c r="N89" s="1493"/>
      <c r="O89" s="1859"/>
      <c r="P89" s="1790">
        <v>2</v>
      </c>
      <c r="Q89" s="1495"/>
      <c r="R89" s="1495"/>
      <c r="S89" s="1495"/>
      <c r="T89" s="1909"/>
      <c r="U89" s="1548"/>
      <c r="V89" s="1548"/>
      <c r="W89" s="1548"/>
      <c r="X89" s="1493"/>
      <c r="Y89" s="1493"/>
      <c r="Z89" s="1493"/>
    </row>
    <row r="90" spans="1:26" s="1467" customFormat="1" ht="63.75" customHeight="1">
      <c r="A90" s="3749">
        <v>23</v>
      </c>
      <c r="B90" s="2187" t="str">
        <f t="shared" si="2"/>
        <v>2000003106</v>
      </c>
      <c r="C90" s="1545" t="s">
        <v>3455</v>
      </c>
      <c r="D90" s="2456">
        <v>8800</v>
      </c>
      <c r="E90" s="2187" t="s">
        <v>8973</v>
      </c>
      <c r="F90" s="2263" t="s">
        <v>3401</v>
      </c>
      <c r="G90" s="2187" t="s">
        <v>8974</v>
      </c>
      <c r="H90" s="2187"/>
      <c r="I90" s="1921" t="s">
        <v>19</v>
      </c>
      <c r="J90" s="2187" t="s">
        <v>123</v>
      </c>
      <c r="K90" s="1605" t="s">
        <v>8975</v>
      </c>
      <c r="L90" s="2564">
        <v>1000</v>
      </c>
      <c r="M90" s="2261" t="s">
        <v>5961</v>
      </c>
      <c r="N90" s="2263"/>
      <c r="O90" s="2565"/>
      <c r="P90" s="2626">
        <v>2</v>
      </c>
      <c r="Q90" s="2187"/>
      <c r="R90" s="2187"/>
      <c r="S90" s="2187"/>
      <c r="T90" s="2261"/>
      <c r="U90" s="2127"/>
      <c r="V90" s="2127"/>
      <c r="W90" s="2127"/>
      <c r="X90" s="2263"/>
      <c r="Y90" s="2263"/>
      <c r="Z90" s="2263"/>
    </row>
    <row r="91" spans="1:26" s="1467" customFormat="1" ht="63.75" customHeight="1">
      <c r="A91" s="3751"/>
      <c r="B91" s="1543" t="str">
        <f t="shared" si="2"/>
        <v>2000003109</v>
      </c>
      <c r="C91" s="1545" t="s">
        <v>3455</v>
      </c>
      <c r="D91" s="1494"/>
      <c r="E91" s="1495"/>
      <c r="F91" s="1545" t="s">
        <v>3401</v>
      </c>
      <c r="G91" s="1495"/>
      <c r="H91" s="1495"/>
      <c r="I91" s="1493" t="s">
        <v>19</v>
      </c>
      <c r="J91" s="1495" t="s">
        <v>123</v>
      </c>
      <c r="K91" s="1547" t="s">
        <v>8976</v>
      </c>
      <c r="L91" s="2357">
        <v>3000</v>
      </c>
      <c r="M91" s="2196" t="s">
        <v>5937</v>
      </c>
      <c r="N91" s="1493"/>
      <c r="O91" s="1843"/>
      <c r="P91" s="1790">
        <v>2</v>
      </c>
      <c r="Q91" s="1495"/>
      <c r="R91" s="1495"/>
      <c r="S91" s="1495"/>
      <c r="T91" s="1909"/>
      <c r="U91" s="1548"/>
      <c r="V91" s="1548"/>
      <c r="W91" s="1548"/>
      <c r="X91" s="1493"/>
      <c r="Y91" s="1493"/>
      <c r="Z91" s="1493"/>
    </row>
    <row r="92" spans="1:26" s="1467" customFormat="1" ht="63.75" customHeight="1">
      <c r="A92" s="3751"/>
      <c r="B92" s="1543" t="str">
        <f t="shared" si="2"/>
        <v>2000003121</v>
      </c>
      <c r="C92" s="1545" t="s">
        <v>3455</v>
      </c>
      <c r="D92" s="2456"/>
      <c r="E92" s="2187"/>
      <c r="F92" s="1545" t="s">
        <v>3401</v>
      </c>
      <c r="G92" s="2187"/>
      <c r="H92" s="1495"/>
      <c r="I92" s="1493" t="s">
        <v>19</v>
      </c>
      <c r="J92" s="1495" t="s">
        <v>123</v>
      </c>
      <c r="K92" s="2874" t="s">
        <v>8977</v>
      </c>
      <c r="L92" s="2357">
        <v>4700</v>
      </c>
      <c r="M92" s="2196" t="s">
        <v>8978</v>
      </c>
      <c r="N92" s="1493"/>
      <c r="O92" s="1859"/>
      <c r="P92" s="1790">
        <v>2</v>
      </c>
      <c r="Q92" s="1495"/>
      <c r="R92" s="1495"/>
      <c r="S92" s="1495"/>
      <c r="T92" s="1909"/>
      <c r="U92" s="1548"/>
      <c r="V92" s="1548"/>
      <c r="W92" s="1548"/>
      <c r="X92" s="1493"/>
      <c r="Y92" s="1493"/>
      <c r="Z92" s="1493"/>
    </row>
    <row r="93" spans="1:26" s="1467" customFormat="1" ht="63.75" customHeight="1">
      <c r="A93" s="3750"/>
      <c r="B93" s="1543" t="str">
        <f t="shared" si="2"/>
        <v>2000003124</v>
      </c>
      <c r="C93" s="1545" t="s">
        <v>3455</v>
      </c>
      <c r="D93" s="1494"/>
      <c r="E93" s="1495"/>
      <c r="F93" s="1545" t="s">
        <v>3401</v>
      </c>
      <c r="G93" s="1495"/>
      <c r="H93" s="1495"/>
      <c r="I93" s="1493" t="s">
        <v>19</v>
      </c>
      <c r="J93" s="1495" t="s">
        <v>123</v>
      </c>
      <c r="K93" s="1547" t="s">
        <v>8979</v>
      </c>
      <c r="L93" s="2357">
        <v>100</v>
      </c>
      <c r="M93" s="2196" t="s">
        <v>5937</v>
      </c>
      <c r="N93" s="1493"/>
      <c r="O93" s="1859"/>
      <c r="P93" s="1790">
        <v>2</v>
      </c>
      <c r="Q93" s="1495"/>
      <c r="R93" s="1495"/>
      <c r="S93" s="1495"/>
      <c r="T93" s="1909"/>
      <c r="U93" s="1548"/>
      <c r="V93" s="1548"/>
      <c r="W93" s="1548"/>
      <c r="X93" s="1493"/>
      <c r="Y93" s="1493"/>
      <c r="Z93" s="1493"/>
    </row>
    <row r="94" spans="1:26" s="1467" customFormat="1" ht="63.75" customHeight="1">
      <c r="A94" s="3735">
        <v>24</v>
      </c>
      <c r="B94" s="2187" t="str">
        <f t="shared" si="2"/>
        <v>2000003089</v>
      </c>
      <c r="C94" s="1902" t="s">
        <v>5728</v>
      </c>
      <c r="D94" s="2607">
        <v>4350</v>
      </c>
      <c r="E94" s="1921" t="s">
        <v>8980</v>
      </c>
      <c r="F94" s="1902" t="s">
        <v>61</v>
      </c>
      <c r="G94" s="1921" t="s">
        <v>8981</v>
      </c>
      <c r="H94" s="1921"/>
      <c r="I94" s="1902" t="s">
        <v>19</v>
      </c>
      <c r="J94" s="1902" t="s">
        <v>101</v>
      </c>
      <c r="K94" s="1911" t="s">
        <v>8982</v>
      </c>
      <c r="L94" s="2583">
        <v>1380</v>
      </c>
      <c r="M94" s="2196" t="s">
        <v>5937</v>
      </c>
      <c r="N94" s="1902"/>
      <c r="O94" s="1775"/>
      <c r="P94" s="2429">
        <v>3</v>
      </c>
      <c r="Q94" s="1921"/>
      <c r="R94" s="1921"/>
      <c r="S94" s="1921"/>
      <c r="T94" s="1909"/>
      <c r="U94" s="2150"/>
      <c r="V94" s="2150"/>
      <c r="W94" s="2150"/>
      <c r="X94" s="1902"/>
      <c r="Y94" s="1902"/>
      <c r="Z94" s="1902"/>
    </row>
    <row r="95" spans="1:26" s="1467" customFormat="1" ht="58.5" customHeight="1">
      <c r="A95" s="3737"/>
      <c r="B95" s="1543" t="str">
        <f t="shared" ref="B95:B126" si="3">TEXT(LEFT(K95,10),"0000000000")</f>
        <v>2000003147</v>
      </c>
      <c r="C95" s="1493" t="s">
        <v>5728</v>
      </c>
      <c r="D95" s="1494"/>
      <c r="E95" s="1495"/>
      <c r="F95" s="1493" t="s">
        <v>61</v>
      </c>
      <c r="G95" s="1495"/>
      <c r="H95" s="1495"/>
      <c r="I95" s="1495" t="s">
        <v>19</v>
      </c>
      <c r="J95" s="1495" t="s">
        <v>74</v>
      </c>
      <c r="K95" s="1547" t="s">
        <v>8983</v>
      </c>
      <c r="L95" s="2357">
        <v>3000</v>
      </c>
      <c r="M95" s="1493" t="s">
        <v>8984</v>
      </c>
      <c r="N95" s="1493"/>
      <c r="O95" s="1859"/>
      <c r="P95" s="1790">
        <v>3</v>
      </c>
      <c r="Q95" s="1495"/>
      <c r="R95" s="1495"/>
      <c r="S95" s="1495"/>
      <c r="T95" s="1909"/>
      <c r="U95" s="1548"/>
      <c r="V95" s="1548"/>
      <c r="W95" s="1548"/>
      <c r="X95" s="1493"/>
      <c r="Y95" s="1493"/>
      <c r="Z95" s="1493"/>
    </row>
    <row r="96" spans="1:26" s="1467" customFormat="1" ht="58.5" customHeight="1">
      <c r="A96" s="3749">
        <v>25</v>
      </c>
      <c r="B96" s="2419" t="str">
        <f t="shared" si="3"/>
        <v>2000003089</v>
      </c>
      <c r="C96" s="1902" t="s">
        <v>52</v>
      </c>
      <c r="D96" s="2607">
        <v>4620</v>
      </c>
      <c r="E96" s="1921" t="s">
        <v>8985</v>
      </c>
      <c r="F96" s="1902" t="s">
        <v>3416</v>
      </c>
      <c r="G96" s="1921" t="s">
        <v>8986</v>
      </c>
      <c r="H96" s="1921"/>
      <c r="I96" s="1921" t="s">
        <v>19</v>
      </c>
      <c r="J96" s="1921" t="s">
        <v>101</v>
      </c>
      <c r="K96" s="1911" t="s">
        <v>8987</v>
      </c>
      <c r="L96" s="2583">
        <v>1120</v>
      </c>
      <c r="M96" s="2196" t="s">
        <v>5937</v>
      </c>
      <c r="N96" s="1493"/>
      <c r="O96" s="1547"/>
      <c r="P96" s="1493">
        <v>2</v>
      </c>
      <c r="Q96" s="1495"/>
      <c r="R96" s="1495"/>
      <c r="S96" s="1495"/>
      <c r="T96" s="1495"/>
      <c r="U96" s="1548"/>
      <c r="V96" s="1548"/>
      <c r="W96" s="1548"/>
      <c r="X96" s="1493"/>
      <c r="Y96" s="1493"/>
      <c r="Z96" s="1493"/>
    </row>
    <row r="97" spans="1:26" s="1467" customFormat="1" ht="58.5" customHeight="1">
      <c r="A97" s="3751"/>
      <c r="B97" s="1900" t="str">
        <f t="shared" si="3"/>
        <v>2200002015</v>
      </c>
      <c r="C97" s="1493" t="s">
        <v>52</v>
      </c>
      <c r="D97" s="1494"/>
      <c r="E97" s="1495"/>
      <c r="F97" s="1493" t="s">
        <v>3416</v>
      </c>
      <c r="G97" s="1495"/>
      <c r="H97" s="1495"/>
      <c r="I97" s="1495" t="s">
        <v>19</v>
      </c>
      <c r="J97" s="1495" t="s">
        <v>74</v>
      </c>
      <c r="K97" s="1911" t="s">
        <v>8941</v>
      </c>
      <c r="L97" s="2583">
        <v>100</v>
      </c>
      <c r="M97" s="1921" t="s">
        <v>5454</v>
      </c>
      <c r="N97" s="1493"/>
      <c r="O97" s="1547"/>
      <c r="P97" s="1493">
        <v>2</v>
      </c>
      <c r="Q97" s="1495"/>
      <c r="R97" s="1495"/>
      <c r="S97" s="1495"/>
      <c r="T97" s="1495"/>
      <c r="U97" s="1548"/>
      <c r="V97" s="1548"/>
      <c r="W97" s="1548"/>
      <c r="X97" s="1493"/>
      <c r="Y97" s="1493"/>
      <c r="Z97" s="1493"/>
    </row>
    <row r="98" spans="1:26" s="1467" customFormat="1" ht="58.5" customHeight="1">
      <c r="A98" s="3751"/>
      <c r="B98" s="1543" t="str">
        <f t="shared" si="3"/>
        <v>2000002964</v>
      </c>
      <c r="C98" s="1493" t="s">
        <v>52</v>
      </c>
      <c r="D98" s="1494"/>
      <c r="E98" s="1495"/>
      <c r="F98" s="1493" t="s">
        <v>3416</v>
      </c>
      <c r="G98" s="1495"/>
      <c r="H98" s="1495"/>
      <c r="I98" s="1495" t="s">
        <v>19</v>
      </c>
      <c r="J98" s="1495" t="s">
        <v>74</v>
      </c>
      <c r="K98" s="1600" t="s">
        <v>8988</v>
      </c>
      <c r="L98" s="2357">
        <v>1800</v>
      </c>
      <c r="M98" s="2196" t="s">
        <v>5937</v>
      </c>
      <c r="N98" s="1493"/>
      <c r="O98" s="1859"/>
      <c r="P98" s="1790">
        <v>3</v>
      </c>
      <c r="Q98" s="1495">
        <v>2000002964</v>
      </c>
      <c r="R98" s="2720" t="e">
        <f>VLOOKUP(Q98,#REF!,2,0)</f>
        <v>#REF!</v>
      </c>
      <c r="S98" s="2720" t="e">
        <f>VLOOKUP(Q98,#REF!,3,0)</f>
        <v>#REF!</v>
      </c>
      <c r="T98" s="2721" t="e">
        <f>R98-S98</f>
        <v>#REF!</v>
      </c>
      <c r="U98" s="1548"/>
      <c r="V98" s="1548"/>
      <c r="W98" s="1548"/>
      <c r="X98" s="1493"/>
      <c r="Y98" s="1493"/>
      <c r="Z98" s="1493"/>
    </row>
    <row r="99" spans="1:26" s="1467" customFormat="1" ht="58.5" customHeight="1">
      <c r="A99" s="3751"/>
      <c r="B99" s="1900" t="str">
        <f t="shared" si="3"/>
        <v>2000003091</v>
      </c>
      <c r="C99" s="1493" t="s">
        <v>52</v>
      </c>
      <c r="D99" s="1494"/>
      <c r="E99" s="1495"/>
      <c r="F99" s="1493" t="s">
        <v>3416</v>
      </c>
      <c r="G99" s="1495"/>
      <c r="H99" s="1748"/>
      <c r="I99" s="1495" t="s">
        <v>19</v>
      </c>
      <c r="J99" s="1495" t="s">
        <v>123</v>
      </c>
      <c r="K99" s="1600" t="s">
        <v>8955</v>
      </c>
      <c r="L99" s="2357">
        <v>1300</v>
      </c>
      <c r="M99" s="2196" t="s">
        <v>5937</v>
      </c>
      <c r="N99" s="1493"/>
      <c r="O99" s="1859"/>
      <c r="P99" s="1790">
        <v>2</v>
      </c>
      <c r="Q99" s="1495"/>
      <c r="R99" s="1495"/>
      <c r="S99" s="1495"/>
      <c r="T99" s="1909"/>
      <c r="U99" s="1548"/>
      <c r="V99" s="1548"/>
      <c r="W99" s="1548"/>
      <c r="X99" s="1493"/>
      <c r="Y99" s="1493"/>
      <c r="Z99" s="1493"/>
    </row>
    <row r="100" spans="1:26" s="1467" customFormat="1" ht="58.5" customHeight="1">
      <c r="A100" s="3751"/>
      <c r="B100" s="1900" t="str">
        <f t="shared" si="3"/>
        <v>2000003115</v>
      </c>
      <c r="C100" s="1493" t="s">
        <v>52</v>
      </c>
      <c r="D100" s="1494"/>
      <c r="E100" s="1495"/>
      <c r="F100" s="1493" t="s">
        <v>3416</v>
      </c>
      <c r="G100" s="1495"/>
      <c r="H100" s="1748"/>
      <c r="I100" s="1495" t="s">
        <v>19</v>
      </c>
      <c r="J100" s="1495" t="s">
        <v>123</v>
      </c>
      <c r="K100" s="1600" t="s">
        <v>8989</v>
      </c>
      <c r="L100" s="2357">
        <v>300</v>
      </c>
      <c r="M100" s="1790" t="s">
        <v>5961</v>
      </c>
      <c r="N100" s="1493"/>
      <c r="O100" s="1859"/>
      <c r="P100" s="1790">
        <v>2</v>
      </c>
      <c r="Q100" s="1495"/>
      <c r="R100" s="1495"/>
      <c r="S100" s="1495"/>
      <c r="T100" s="1909"/>
      <c r="U100" s="1548"/>
      <c r="V100" s="1548"/>
      <c r="W100" s="1548"/>
      <c r="X100" s="1493"/>
      <c r="Y100" s="1493"/>
      <c r="Z100" s="1493"/>
    </row>
    <row r="101" spans="1:26" s="1467" customFormat="1" ht="58.5" customHeight="1">
      <c r="A101" s="3749">
        <v>26</v>
      </c>
      <c r="B101" s="2187" t="str">
        <f t="shared" si="3"/>
        <v>2000003110</v>
      </c>
      <c r="C101" s="2263" t="s">
        <v>3320</v>
      </c>
      <c r="D101" s="2607">
        <v>8700</v>
      </c>
      <c r="E101" s="1921" t="s">
        <v>8990</v>
      </c>
      <c r="F101" s="2263" t="s">
        <v>3416</v>
      </c>
      <c r="G101" s="1921" t="s">
        <v>8991</v>
      </c>
      <c r="H101" s="1921"/>
      <c r="I101" s="1902" t="s">
        <v>19</v>
      </c>
      <c r="J101" s="1921" t="s">
        <v>123</v>
      </c>
      <c r="K101" s="1911" t="s">
        <v>8992</v>
      </c>
      <c r="L101" s="2583">
        <v>2495</v>
      </c>
      <c r="M101" s="2196" t="s">
        <v>5937</v>
      </c>
      <c r="N101" s="1493"/>
      <c r="O101" s="1859"/>
      <c r="P101" s="1790">
        <v>2</v>
      </c>
      <c r="Q101" s="1495"/>
      <c r="R101" s="1495"/>
      <c r="S101" s="1495"/>
      <c r="T101" s="1748"/>
      <c r="U101" s="1548"/>
      <c r="V101" s="1548"/>
      <c r="W101" s="1548"/>
      <c r="X101" s="1493"/>
      <c r="Y101" s="1493"/>
      <c r="Z101" s="1493"/>
    </row>
    <row r="102" spans="1:26" s="1467" customFormat="1" ht="68.25" customHeight="1">
      <c r="A102" s="3751"/>
      <c r="B102" s="1543" t="str">
        <f t="shared" si="3"/>
        <v>2000003111</v>
      </c>
      <c r="C102" s="1545" t="s">
        <v>3320</v>
      </c>
      <c r="D102" s="1494"/>
      <c r="E102" s="1495"/>
      <c r="F102" s="1545" t="s">
        <v>3416</v>
      </c>
      <c r="G102" s="1495"/>
      <c r="H102" s="1495"/>
      <c r="I102" s="1493" t="s">
        <v>19</v>
      </c>
      <c r="J102" s="1495" t="s">
        <v>123</v>
      </c>
      <c r="K102" s="1547" t="s">
        <v>8993</v>
      </c>
      <c r="L102" s="2357">
        <v>1655.296</v>
      </c>
      <c r="M102" s="2196" t="s">
        <v>5937</v>
      </c>
      <c r="N102" s="1493"/>
      <c r="O102" s="1859"/>
      <c r="P102" s="1790">
        <v>2</v>
      </c>
      <c r="Q102" s="1495"/>
      <c r="R102" s="1495"/>
      <c r="S102" s="1495"/>
      <c r="T102" s="1909"/>
      <c r="U102" s="1548"/>
      <c r="V102" s="1548"/>
      <c r="W102" s="1548"/>
      <c r="X102" s="1493"/>
      <c r="Y102" s="1493"/>
      <c r="Z102" s="1493"/>
    </row>
    <row r="103" spans="1:26" s="1467" customFormat="1" ht="92.25" customHeight="1">
      <c r="A103" s="3750"/>
      <c r="B103" s="1543" t="str">
        <f t="shared" si="3"/>
        <v>2000003121</v>
      </c>
      <c r="C103" s="1545" t="s">
        <v>3320</v>
      </c>
      <c r="D103" s="2607"/>
      <c r="E103" s="1921"/>
      <c r="F103" s="1545" t="s">
        <v>3416</v>
      </c>
      <c r="G103" s="1495"/>
      <c r="H103" s="1495"/>
      <c r="I103" s="1493" t="s">
        <v>19</v>
      </c>
      <c r="J103" s="1495" t="s">
        <v>123</v>
      </c>
      <c r="K103" s="1600" t="s">
        <v>8994</v>
      </c>
      <c r="L103" s="2357">
        <v>4530</v>
      </c>
      <c r="M103" s="2196" t="s">
        <v>5937</v>
      </c>
      <c r="N103" s="1493"/>
      <c r="O103" s="1859"/>
      <c r="P103" s="1790">
        <v>3</v>
      </c>
      <c r="Q103" s="1495"/>
      <c r="R103" s="1495"/>
      <c r="S103" s="1495"/>
      <c r="T103" s="1909"/>
      <c r="U103" s="1548"/>
      <c r="V103" s="1548"/>
      <c r="W103" s="1548"/>
      <c r="X103" s="1493"/>
      <c r="Y103" s="1493"/>
      <c r="Z103" s="1493"/>
    </row>
    <row r="104" spans="1:26" s="2150" customFormat="1" ht="58.5" customHeight="1">
      <c r="A104" s="3749">
        <v>27</v>
      </c>
      <c r="B104" s="2187" t="str">
        <f t="shared" si="3"/>
        <v>2400001223</v>
      </c>
      <c r="C104" s="1902" t="s">
        <v>8995</v>
      </c>
      <c r="D104" s="2607">
        <f>SUM(L104:L119)</f>
        <v>18782</v>
      </c>
      <c r="E104" s="1921" t="s">
        <v>8996</v>
      </c>
      <c r="F104" s="1902" t="s">
        <v>25</v>
      </c>
      <c r="G104" s="1921" t="s">
        <v>8997</v>
      </c>
      <c r="H104" s="1921"/>
      <c r="I104" s="1921" t="s">
        <v>19</v>
      </c>
      <c r="J104" s="1921" t="s">
        <v>3513</v>
      </c>
      <c r="K104" s="1911" t="s">
        <v>8998</v>
      </c>
      <c r="L104" s="2583">
        <v>1325</v>
      </c>
      <c r="M104" s="1909" t="s">
        <v>8999</v>
      </c>
      <c r="N104" s="1902"/>
      <c r="O104" s="1775"/>
      <c r="P104" s="1790">
        <v>2</v>
      </c>
      <c r="Q104" s="1921"/>
      <c r="R104" s="1921"/>
      <c r="S104" s="1921"/>
      <c r="T104" s="1909"/>
      <c r="X104" s="1902"/>
      <c r="Y104" s="1902"/>
      <c r="Z104" s="1902"/>
    </row>
    <row r="105" spans="1:26" s="1548" customFormat="1" ht="58.5" customHeight="1">
      <c r="A105" s="3751"/>
      <c r="B105" s="1543" t="str">
        <f t="shared" si="3"/>
        <v>2400001225</v>
      </c>
      <c r="C105" s="1493" t="s">
        <v>8995</v>
      </c>
      <c r="D105" s="1494"/>
      <c r="E105" s="1495"/>
      <c r="F105" s="1493" t="s">
        <v>25</v>
      </c>
      <c r="G105" s="1495"/>
      <c r="H105" s="1495"/>
      <c r="I105" s="1495" t="s">
        <v>19</v>
      </c>
      <c r="J105" s="1495" t="s">
        <v>3513</v>
      </c>
      <c r="K105" s="1547" t="s">
        <v>9000</v>
      </c>
      <c r="L105" s="2357"/>
      <c r="M105" s="1748" t="s">
        <v>9001</v>
      </c>
      <c r="N105" s="1493"/>
      <c r="O105" s="1859"/>
      <c r="P105" s="1790">
        <v>2</v>
      </c>
      <c r="Q105" s="1495"/>
      <c r="R105" s="1495"/>
      <c r="S105" s="1495"/>
      <c r="T105" s="1909"/>
      <c r="X105" s="1493"/>
      <c r="Y105" s="1493"/>
      <c r="Z105" s="1493"/>
    </row>
    <row r="106" spans="1:26" s="1548" customFormat="1" ht="58.5" customHeight="1">
      <c r="A106" s="3751"/>
      <c r="B106" s="1543" t="str">
        <f t="shared" si="3"/>
        <v>2400001231</v>
      </c>
      <c r="C106" s="1493" t="s">
        <v>8995</v>
      </c>
      <c r="D106" s="1494"/>
      <c r="E106" s="1495"/>
      <c r="F106" s="1493" t="s">
        <v>25</v>
      </c>
      <c r="G106" s="1495"/>
      <c r="H106" s="1495"/>
      <c r="I106" s="1495" t="s">
        <v>19</v>
      </c>
      <c r="J106" s="1495" t="s">
        <v>3513</v>
      </c>
      <c r="K106" s="1547" t="s">
        <v>9002</v>
      </c>
      <c r="L106" s="2357"/>
      <c r="M106" s="1748" t="s">
        <v>9003</v>
      </c>
      <c r="N106" s="1493"/>
      <c r="O106" s="1859"/>
      <c r="P106" s="1790">
        <v>2</v>
      </c>
      <c r="Q106" s="1495"/>
      <c r="R106" s="1495"/>
      <c r="S106" s="1495"/>
      <c r="T106" s="1909"/>
      <c r="X106" s="1493"/>
      <c r="Y106" s="1493"/>
      <c r="Z106" s="1493"/>
    </row>
    <row r="107" spans="1:26" s="1548" customFormat="1" ht="58.5" customHeight="1">
      <c r="A107" s="3751"/>
      <c r="B107" s="1543" t="str">
        <f t="shared" si="3"/>
        <v>2400001227</v>
      </c>
      <c r="C107" s="1493" t="s">
        <v>8995</v>
      </c>
      <c r="D107" s="1494"/>
      <c r="E107" s="1495"/>
      <c r="F107" s="1493" t="s">
        <v>25</v>
      </c>
      <c r="G107" s="1495"/>
      <c r="H107" s="1495"/>
      <c r="I107" s="1495" t="s">
        <v>19</v>
      </c>
      <c r="J107" s="1495" t="s">
        <v>3513</v>
      </c>
      <c r="K107" s="1547" t="s">
        <v>9004</v>
      </c>
      <c r="L107" s="2357">
        <v>10900</v>
      </c>
      <c r="M107" s="1748" t="s">
        <v>5961</v>
      </c>
      <c r="N107" s="1493"/>
      <c r="O107" s="1859"/>
      <c r="P107" s="1790">
        <v>2</v>
      </c>
      <c r="Q107" s="1495"/>
      <c r="R107" s="1495"/>
      <c r="S107" s="1495"/>
      <c r="T107" s="1909"/>
      <c r="X107" s="1493"/>
      <c r="Y107" s="1493"/>
      <c r="Z107" s="1493"/>
    </row>
    <row r="108" spans="1:26" s="1548" customFormat="1" ht="58.5" customHeight="1">
      <c r="A108" s="3751"/>
      <c r="B108" s="1543" t="str">
        <f t="shared" si="3"/>
        <v>2400001228</v>
      </c>
      <c r="C108" s="1493" t="s">
        <v>8995</v>
      </c>
      <c r="D108" s="1494"/>
      <c r="E108" s="1495"/>
      <c r="F108" s="1493" t="s">
        <v>25</v>
      </c>
      <c r="G108" s="1495"/>
      <c r="H108" s="1495"/>
      <c r="I108" s="1495" t="s">
        <v>19</v>
      </c>
      <c r="J108" s="1495" t="s">
        <v>3513</v>
      </c>
      <c r="K108" s="1547" t="s">
        <v>9005</v>
      </c>
      <c r="L108" s="2357"/>
      <c r="M108" s="1748" t="s">
        <v>5961</v>
      </c>
      <c r="N108" s="1493"/>
      <c r="O108" s="1859"/>
      <c r="P108" s="1790">
        <v>2</v>
      </c>
      <c r="Q108" s="1495"/>
      <c r="R108" s="1495"/>
      <c r="S108" s="1495"/>
      <c r="T108" s="1909"/>
      <c r="X108" s="1493"/>
      <c r="Y108" s="1493"/>
      <c r="Z108" s="1493"/>
    </row>
    <row r="109" spans="1:26" s="1548" customFormat="1" ht="58.5" customHeight="1">
      <c r="A109" s="3751"/>
      <c r="B109" s="1543" t="str">
        <f t="shared" si="3"/>
        <v>2400001218</v>
      </c>
      <c r="C109" s="1493" t="s">
        <v>8995</v>
      </c>
      <c r="D109" s="1494"/>
      <c r="E109" s="1495"/>
      <c r="F109" s="1493" t="s">
        <v>25</v>
      </c>
      <c r="G109" s="1495"/>
      <c r="H109" s="1495"/>
      <c r="I109" s="1495" t="s">
        <v>19</v>
      </c>
      <c r="J109" s="1495" t="s">
        <v>3513</v>
      </c>
      <c r="K109" s="1547" t="s">
        <v>9006</v>
      </c>
      <c r="L109" s="2357"/>
      <c r="M109" s="1748" t="s">
        <v>5961</v>
      </c>
      <c r="N109" s="1493"/>
      <c r="O109" s="1859"/>
      <c r="P109" s="1790">
        <v>2</v>
      </c>
      <c r="Q109" s="1495"/>
      <c r="R109" s="1495"/>
      <c r="S109" s="1495"/>
      <c r="T109" s="1909"/>
      <c r="X109" s="1493"/>
      <c r="Y109" s="1493"/>
      <c r="Z109" s="1493"/>
    </row>
    <row r="110" spans="1:26" s="1548" customFormat="1" ht="58.5" customHeight="1">
      <c r="A110" s="3751"/>
      <c r="B110" s="1543" t="str">
        <f t="shared" si="3"/>
        <v>2400001222</v>
      </c>
      <c r="C110" s="1493" t="s">
        <v>8995</v>
      </c>
      <c r="D110" s="1494"/>
      <c r="E110" s="1495"/>
      <c r="F110" s="1493" t="s">
        <v>25</v>
      </c>
      <c r="G110" s="1495"/>
      <c r="H110" s="1495"/>
      <c r="I110" s="1495" t="s">
        <v>19</v>
      </c>
      <c r="J110" s="1495" t="s">
        <v>3513</v>
      </c>
      <c r="K110" s="1547" t="s">
        <v>9007</v>
      </c>
      <c r="L110" s="2357">
        <v>200</v>
      </c>
      <c r="M110" s="1748" t="s">
        <v>5961</v>
      </c>
      <c r="N110" s="1493"/>
      <c r="O110" s="1859"/>
      <c r="P110" s="1790">
        <v>2</v>
      </c>
      <c r="Q110" s="1495"/>
      <c r="R110" s="1495"/>
      <c r="S110" s="1495"/>
      <c r="T110" s="1909"/>
      <c r="X110" s="1493"/>
      <c r="Y110" s="1493"/>
      <c r="Z110" s="1493"/>
    </row>
    <row r="111" spans="1:26" s="1548" customFormat="1" ht="58.5" customHeight="1">
      <c r="A111" s="3751"/>
      <c r="B111" s="1543" t="str">
        <f t="shared" si="3"/>
        <v>2400001212</v>
      </c>
      <c r="C111" s="1493" t="s">
        <v>8995</v>
      </c>
      <c r="D111" s="1494"/>
      <c r="E111" s="1495"/>
      <c r="F111" s="1493" t="s">
        <v>25</v>
      </c>
      <c r="G111" s="1495"/>
      <c r="H111" s="1495"/>
      <c r="I111" s="1495" t="s">
        <v>19</v>
      </c>
      <c r="J111" s="1495" t="s">
        <v>3513</v>
      </c>
      <c r="K111" s="1547" t="s">
        <v>9008</v>
      </c>
      <c r="L111" s="2357">
        <v>100</v>
      </c>
      <c r="M111" s="1748" t="s">
        <v>5961</v>
      </c>
      <c r="N111" s="1493"/>
      <c r="O111" s="1859"/>
      <c r="P111" s="1790">
        <v>2</v>
      </c>
      <c r="Q111" s="1495"/>
      <c r="R111" s="1495"/>
      <c r="S111" s="1495"/>
      <c r="T111" s="1909"/>
      <c r="X111" s="1493"/>
      <c r="Y111" s="1493"/>
      <c r="Z111" s="1493"/>
    </row>
    <row r="112" spans="1:26" s="1548" customFormat="1" ht="58.5" customHeight="1">
      <c r="A112" s="3751"/>
      <c r="B112" s="1543" t="str">
        <f t="shared" si="3"/>
        <v>2400001213</v>
      </c>
      <c r="C112" s="1493" t="s">
        <v>8995</v>
      </c>
      <c r="D112" s="1494"/>
      <c r="E112" s="1495"/>
      <c r="F112" s="1493" t="s">
        <v>25</v>
      </c>
      <c r="G112" s="1495"/>
      <c r="H112" s="1495"/>
      <c r="I112" s="1495" t="s">
        <v>19</v>
      </c>
      <c r="J112" s="1495" t="s">
        <v>3513</v>
      </c>
      <c r="K112" s="1547" t="s">
        <v>9009</v>
      </c>
      <c r="L112" s="2357">
        <v>450</v>
      </c>
      <c r="M112" s="1748" t="s">
        <v>9010</v>
      </c>
      <c r="N112" s="1493"/>
      <c r="O112" s="1859"/>
      <c r="P112" s="1790">
        <v>2</v>
      </c>
      <c r="Q112" s="1495"/>
      <c r="R112" s="1495"/>
      <c r="S112" s="1495"/>
      <c r="T112" s="1909"/>
      <c r="X112" s="1493"/>
      <c r="Y112" s="1493"/>
      <c r="Z112" s="1493"/>
    </row>
    <row r="113" spans="1:26" s="1548" customFormat="1" ht="58.5" customHeight="1">
      <c r="A113" s="3751"/>
      <c r="B113" s="1543" t="str">
        <f t="shared" si="3"/>
        <v>2400001214</v>
      </c>
      <c r="C113" s="1493" t="s">
        <v>8995</v>
      </c>
      <c r="D113" s="1494"/>
      <c r="E113" s="1495"/>
      <c r="F113" s="1493" t="s">
        <v>25</v>
      </c>
      <c r="G113" s="1495"/>
      <c r="H113" s="1495"/>
      <c r="I113" s="1495" t="s">
        <v>19</v>
      </c>
      <c r="J113" s="1495" t="s">
        <v>3513</v>
      </c>
      <c r="K113" s="1547" t="s">
        <v>9011</v>
      </c>
      <c r="L113" s="2357">
        <v>450</v>
      </c>
      <c r="M113" s="1748" t="s">
        <v>5961</v>
      </c>
      <c r="N113" s="1493"/>
      <c r="O113" s="1859"/>
      <c r="P113" s="1790">
        <v>2</v>
      </c>
      <c r="Q113" s="1495"/>
      <c r="R113" s="1495"/>
      <c r="S113" s="1495"/>
      <c r="T113" s="1909"/>
      <c r="X113" s="1493"/>
      <c r="Y113" s="1493"/>
      <c r="Z113" s="1493"/>
    </row>
    <row r="114" spans="1:26" s="1548" customFormat="1" ht="58.5" customHeight="1">
      <c r="A114" s="3751"/>
      <c r="B114" s="1543" t="str">
        <f t="shared" si="3"/>
        <v>2400001219</v>
      </c>
      <c r="C114" s="1493" t="s">
        <v>8995</v>
      </c>
      <c r="D114" s="1494"/>
      <c r="E114" s="1495"/>
      <c r="F114" s="1493" t="s">
        <v>25</v>
      </c>
      <c r="G114" s="1495"/>
      <c r="H114" s="1495"/>
      <c r="I114" s="1495" t="s">
        <v>19</v>
      </c>
      <c r="J114" s="1495" t="s">
        <v>3513</v>
      </c>
      <c r="K114" s="1547" t="s">
        <v>9012</v>
      </c>
      <c r="L114" s="2357">
        <v>3436</v>
      </c>
      <c r="M114" s="1790" t="s">
        <v>5961</v>
      </c>
      <c r="N114" s="1493"/>
      <c r="O114" s="1859"/>
      <c r="P114" s="1790">
        <v>2</v>
      </c>
      <c r="Q114" s="1495"/>
      <c r="R114" s="1495"/>
      <c r="S114" s="1495"/>
      <c r="T114" s="1909"/>
      <c r="X114" s="1493"/>
      <c r="Y114" s="1493"/>
      <c r="Z114" s="1493"/>
    </row>
    <row r="115" spans="1:26" s="1548" customFormat="1" ht="58.5" customHeight="1">
      <c r="A115" s="3751"/>
      <c r="B115" s="1543" t="str">
        <f t="shared" si="3"/>
        <v>2400001220</v>
      </c>
      <c r="C115" s="1493" t="s">
        <v>8995</v>
      </c>
      <c r="D115" s="1494"/>
      <c r="E115" s="1495"/>
      <c r="F115" s="1493" t="s">
        <v>25</v>
      </c>
      <c r="G115" s="1495"/>
      <c r="H115" s="1495"/>
      <c r="I115" s="1495" t="s">
        <v>19</v>
      </c>
      <c r="J115" s="1495" t="s">
        <v>3513</v>
      </c>
      <c r="K115" s="1547" t="s">
        <v>9013</v>
      </c>
      <c r="L115" s="2357">
        <v>1067</v>
      </c>
      <c r="M115" s="1790" t="s">
        <v>5961</v>
      </c>
      <c r="N115" s="1493"/>
      <c r="O115" s="1859"/>
      <c r="P115" s="1790">
        <v>2</v>
      </c>
      <c r="Q115" s="1495"/>
      <c r="R115" s="1495"/>
      <c r="S115" s="1495"/>
      <c r="T115" s="1909"/>
      <c r="X115" s="1493"/>
      <c r="Y115" s="1493"/>
      <c r="Z115" s="1493"/>
    </row>
    <row r="116" spans="1:26" s="1548" customFormat="1" ht="58.5" customHeight="1">
      <c r="A116" s="3751"/>
      <c r="B116" s="1543" t="str">
        <f t="shared" si="3"/>
        <v>2400001221</v>
      </c>
      <c r="C116" s="1493" t="s">
        <v>8995</v>
      </c>
      <c r="D116" s="1494"/>
      <c r="E116" s="1495"/>
      <c r="F116" s="1493" t="s">
        <v>25</v>
      </c>
      <c r="G116" s="1495"/>
      <c r="H116" s="1495"/>
      <c r="I116" s="1495" t="s">
        <v>19</v>
      </c>
      <c r="J116" s="1495" t="s">
        <v>3513</v>
      </c>
      <c r="K116" s="1547" t="s">
        <v>9014</v>
      </c>
      <c r="L116" s="2357">
        <v>54</v>
      </c>
      <c r="M116" s="1790" t="s">
        <v>5961</v>
      </c>
      <c r="N116" s="1493"/>
      <c r="O116" s="1859"/>
      <c r="P116" s="1790">
        <v>2</v>
      </c>
      <c r="Q116" s="1495"/>
      <c r="R116" s="1495"/>
      <c r="S116" s="1495"/>
      <c r="T116" s="1909"/>
      <c r="X116" s="1493"/>
      <c r="Y116" s="1493"/>
      <c r="Z116" s="1493"/>
    </row>
    <row r="117" spans="1:26" s="1548" customFormat="1" ht="58.5" customHeight="1">
      <c r="A117" s="3751"/>
      <c r="B117" s="1543" t="str">
        <f t="shared" si="3"/>
        <v>2400001215</v>
      </c>
      <c r="C117" s="1493" t="s">
        <v>8995</v>
      </c>
      <c r="D117" s="1494"/>
      <c r="E117" s="1495"/>
      <c r="F117" s="1493" t="s">
        <v>25</v>
      </c>
      <c r="G117" s="1495"/>
      <c r="H117" s="1495"/>
      <c r="I117" s="1495" t="s">
        <v>19</v>
      </c>
      <c r="J117" s="1495" t="s">
        <v>3513</v>
      </c>
      <c r="K117" s="1547" t="s">
        <v>9015</v>
      </c>
      <c r="L117" s="2357">
        <v>600</v>
      </c>
      <c r="M117" s="1790" t="s">
        <v>5961</v>
      </c>
      <c r="N117" s="1493"/>
      <c r="O117" s="1859"/>
      <c r="P117" s="1790">
        <v>2</v>
      </c>
      <c r="Q117" s="1495"/>
      <c r="R117" s="1495"/>
      <c r="S117" s="1495"/>
      <c r="T117" s="1909"/>
      <c r="X117" s="1493"/>
      <c r="Y117" s="1493"/>
      <c r="Z117" s="1493"/>
    </row>
    <row r="118" spans="1:26" s="1548" customFormat="1" ht="58.5" customHeight="1">
      <c r="A118" s="3751"/>
      <c r="B118" s="1543" t="str">
        <f t="shared" si="3"/>
        <v>2400001216</v>
      </c>
      <c r="C118" s="1493" t="s">
        <v>8995</v>
      </c>
      <c r="D118" s="1494"/>
      <c r="E118" s="1495"/>
      <c r="F118" s="1493" t="s">
        <v>25</v>
      </c>
      <c r="G118" s="1495"/>
      <c r="H118" s="1495"/>
      <c r="I118" s="1495" t="s">
        <v>19</v>
      </c>
      <c r="J118" s="1495" t="s">
        <v>3513</v>
      </c>
      <c r="K118" s="1547" t="s">
        <v>9016</v>
      </c>
      <c r="L118" s="2357">
        <v>100</v>
      </c>
      <c r="M118" s="1748" t="s">
        <v>9017</v>
      </c>
      <c r="N118" s="1493"/>
      <c r="O118" s="1859"/>
      <c r="P118" s="1790">
        <v>2</v>
      </c>
      <c r="Q118" s="1495"/>
      <c r="R118" s="1495"/>
      <c r="S118" s="1495"/>
      <c r="T118" s="1909"/>
      <c r="X118" s="1493"/>
      <c r="Y118" s="1493"/>
      <c r="Z118" s="1493"/>
    </row>
    <row r="119" spans="1:26" s="1548" customFormat="1" ht="58.5" customHeight="1">
      <c r="A119" s="3750"/>
      <c r="B119" s="1543" t="str">
        <f t="shared" si="3"/>
        <v>2400001217</v>
      </c>
      <c r="C119" s="1493" t="s">
        <v>8995</v>
      </c>
      <c r="D119" s="1494"/>
      <c r="E119" s="1495"/>
      <c r="F119" s="1493" t="s">
        <v>25</v>
      </c>
      <c r="G119" s="1495"/>
      <c r="H119" s="1495"/>
      <c r="I119" s="1495" t="s">
        <v>19</v>
      </c>
      <c r="J119" s="1495" t="s">
        <v>3513</v>
      </c>
      <c r="K119" s="1547" t="s">
        <v>9018</v>
      </c>
      <c r="L119" s="2357">
        <v>100</v>
      </c>
      <c r="M119" s="1790" t="s">
        <v>5961</v>
      </c>
      <c r="N119" s="1493"/>
      <c r="O119" s="1859"/>
      <c r="P119" s="1790">
        <v>2</v>
      </c>
      <c r="Q119" s="1495"/>
      <c r="R119" s="1495"/>
      <c r="S119" s="1495"/>
      <c r="T119" s="1909"/>
      <c r="X119" s="1493"/>
      <c r="Y119" s="1493"/>
      <c r="Z119" s="1493"/>
    </row>
    <row r="120" spans="1:26" s="1548" customFormat="1" ht="58.5" customHeight="1">
      <c r="A120" s="3735">
        <v>28</v>
      </c>
      <c r="B120" s="2171" t="str">
        <f t="shared" si="3"/>
        <v>2200002069</v>
      </c>
      <c r="C120" s="1902" t="s">
        <v>6218</v>
      </c>
      <c r="D120" s="2607">
        <v>6100</v>
      </c>
      <c r="E120" s="1921" t="s">
        <v>9019</v>
      </c>
      <c r="F120" s="1902" t="s">
        <v>3416</v>
      </c>
      <c r="G120" s="1921" t="s">
        <v>9020</v>
      </c>
      <c r="H120" s="1921"/>
      <c r="I120" s="1921" t="s">
        <v>19</v>
      </c>
      <c r="J120" s="1921" t="s">
        <v>959</v>
      </c>
      <c r="K120" s="1911" t="s">
        <v>9021</v>
      </c>
      <c r="L120" s="2583">
        <v>1000</v>
      </c>
      <c r="M120" s="1902" t="s">
        <v>8960</v>
      </c>
      <c r="N120" s="1902"/>
      <c r="O120" s="1775"/>
      <c r="P120" s="2429">
        <v>3</v>
      </c>
      <c r="Q120" s="1921"/>
      <c r="R120" s="1921"/>
      <c r="S120" s="1921"/>
      <c r="T120" s="1909"/>
      <c r="U120" s="2150"/>
      <c r="V120" s="2150"/>
      <c r="W120" s="2150"/>
      <c r="X120" s="1902"/>
      <c r="Y120" s="1902"/>
      <c r="Z120" s="1902"/>
    </row>
    <row r="121" spans="1:26" s="1548" customFormat="1" ht="58.5" customHeight="1">
      <c r="A121" s="3737"/>
      <c r="B121" s="1543" t="str">
        <f t="shared" si="3"/>
        <v>2000003077</v>
      </c>
      <c r="C121" s="1493" t="s">
        <v>6218</v>
      </c>
      <c r="D121" s="1494"/>
      <c r="E121" s="1495"/>
      <c r="F121" s="1493" t="s">
        <v>3416</v>
      </c>
      <c r="G121" s="1495"/>
      <c r="H121" s="1495"/>
      <c r="I121" s="1543" t="s">
        <v>19</v>
      </c>
      <c r="J121" s="1921" t="s">
        <v>959</v>
      </c>
      <c r="K121" s="1600" t="s">
        <v>9022</v>
      </c>
      <c r="L121" s="2357">
        <v>5000</v>
      </c>
      <c r="M121" s="1790" t="s">
        <v>5961</v>
      </c>
      <c r="N121" s="1493"/>
      <c r="O121" s="1859"/>
      <c r="P121" s="1790">
        <v>3</v>
      </c>
      <c r="Q121" s="1495"/>
      <c r="R121" s="1495"/>
      <c r="S121" s="1495"/>
      <c r="T121" s="1909"/>
      <c r="X121" s="1493"/>
      <c r="Y121" s="1493"/>
      <c r="Z121" s="1493"/>
    </row>
    <row r="122" spans="1:26" s="1548" customFormat="1" ht="73.5" customHeight="1">
      <c r="A122" s="3735">
        <v>29</v>
      </c>
      <c r="B122" s="2187" t="str">
        <f t="shared" si="3"/>
        <v>2000003134</v>
      </c>
      <c r="C122" s="1902" t="s">
        <v>8033</v>
      </c>
      <c r="D122" s="2607">
        <v>10700</v>
      </c>
      <c r="E122" s="1921" t="s">
        <v>9023</v>
      </c>
      <c r="F122" s="1902" t="s">
        <v>3401</v>
      </c>
      <c r="G122" s="1909" t="s">
        <v>9024</v>
      </c>
      <c r="H122" s="1921"/>
      <c r="I122" s="1902" t="s">
        <v>19</v>
      </c>
      <c r="J122" s="1921" t="s">
        <v>1138</v>
      </c>
      <c r="K122" s="1911" t="s">
        <v>9025</v>
      </c>
      <c r="L122" s="2583">
        <v>8000</v>
      </c>
      <c r="M122" s="2196" t="s">
        <v>9026</v>
      </c>
      <c r="N122" s="1493"/>
      <c r="O122" s="1859"/>
      <c r="P122" s="1790">
        <v>3</v>
      </c>
      <c r="Q122" s="1495"/>
      <c r="R122" s="1495"/>
      <c r="S122" s="1495"/>
      <c r="T122" s="1909"/>
      <c r="X122" s="1493"/>
      <c r="Y122" s="1493"/>
      <c r="Z122" s="1493"/>
    </row>
    <row r="123" spans="1:26" s="1548" customFormat="1" ht="58.5" customHeight="1">
      <c r="A123" s="3736"/>
      <c r="B123" s="1543" t="str">
        <f t="shared" si="3"/>
        <v>2000003135</v>
      </c>
      <c r="C123" s="1493" t="s">
        <v>8033</v>
      </c>
      <c r="D123" s="1494"/>
      <c r="E123" s="1495"/>
      <c r="F123" s="1493" t="s">
        <v>3401</v>
      </c>
      <c r="G123" s="1495"/>
      <c r="H123" s="1495"/>
      <c r="I123" s="1493" t="s">
        <v>19</v>
      </c>
      <c r="J123" s="1495" t="s">
        <v>1138</v>
      </c>
      <c r="K123" s="1547" t="s">
        <v>9027</v>
      </c>
      <c r="L123" s="2357">
        <v>2000</v>
      </c>
      <c r="M123" s="1748" t="s">
        <v>5961</v>
      </c>
      <c r="N123" s="1493"/>
      <c r="O123" s="1859"/>
      <c r="P123" s="1790">
        <v>3</v>
      </c>
      <c r="Q123" s="1495"/>
      <c r="R123" s="1495"/>
      <c r="S123" s="1495"/>
      <c r="T123" s="1909"/>
      <c r="X123" s="1493"/>
      <c r="Y123" s="1493"/>
      <c r="Z123" s="1493"/>
    </row>
    <row r="124" spans="1:26" s="1548" customFormat="1" ht="58.5" customHeight="1">
      <c r="A124" s="3737"/>
      <c r="B124" s="1543" t="str">
        <f t="shared" si="3"/>
        <v>2000003148</v>
      </c>
      <c r="C124" s="1493" t="s">
        <v>8033</v>
      </c>
      <c r="D124" s="1494"/>
      <c r="E124" s="1495"/>
      <c r="F124" s="1493" t="s">
        <v>3401</v>
      </c>
      <c r="G124" s="1495"/>
      <c r="H124" s="1495"/>
      <c r="I124" s="1493" t="s">
        <v>19</v>
      </c>
      <c r="J124" s="1495" t="s">
        <v>1138</v>
      </c>
      <c r="K124" s="1547" t="s">
        <v>9028</v>
      </c>
      <c r="L124" s="2357">
        <v>500</v>
      </c>
      <c r="M124" s="2196" t="s">
        <v>9029</v>
      </c>
      <c r="N124" s="1493"/>
      <c r="O124" s="1859"/>
      <c r="P124" s="1790">
        <v>3</v>
      </c>
      <c r="Q124" s="1495"/>
      <c r="R124" s="1495"/>
      <c r="S124" s="1495"/>
      <c r="T124" s="1909"/>
      <c r="X124" s="1493"/>
      <c r="Y124" s="1493"/>
      <c r="Z124" s="1493"/>
    </row>
    <row r="125" spans="1:26" s="2150" customFormat="1" ht="70.5" customHeight="1">
      <c r="A125" s="3749">
        <v>30</v>
      </c>
      <c r="B125" s="2187" t="str">
        <f t="shared" si="3"/>
        <v>2000002964</v>
      </c>
      <c r="C125" s="1902" t="s">
        <v>3460</v>
      </c>
      <c r="D125" s="2607">
        <v>4000</v>
      </c>
      <c r="E125" s="1921" t="s">
        <v>9030</v>
      </c>
      <c r="F125" s="1902" t="s">
        <v>61</v>
      </c>
      <c r="G125" s="1921" t="s">
        <v>3955</v>
      </c>
      <c r="H125" s="1921"/>
      <c r="I125" s="1921" t="s">
        <v>19</v>
      </c>
      <c r="J125" s="1921" t="s">
        <v>74</v>
      </c>
      <c r="K125" s="1845" t="s">
        <v>9031</v>
      </c>
      <c r="L125" s="2583">
        <v>2500</v>
      </c>
      <c r="M125" s="2196" t="s">
        <v>9029</v>
      </c>
      <c r="N125" s="1902"/>
      <c r="O125" s="1775"/>
      <c r="P125" s="2429">
        <v>3</v>
      </c>
      <c r="Q125" s="1921">
        <v>2000002964</v>
      </c>
      <c r="R125" s="2724" t="e">
        <f>VLOOKUP(Q125,#REF!,2,0)</f>
        <v>#REF!</v>
      </c>
      <c r="S125" s="2724" t="e">
        <f>VLOOKUP(Q125,#REF!,3,0)</f>
        <v>#REF!</v>
      </c>
      <c r="T125" s="2721" t="e">
        <f>R125-S125</f>
        <v>#REF!</v>
      </c>
      <c r="X125" s="1902"/>
      <c r="Y125" s="1902"/>
      <c r="Z125" s="1902"/>
    </row>
    <row r="126" spans="1:26" s="2150" customFormat="1" ht="49.5" customHeight="1">
      <c r="A126" s="3751"/>
      <c r="B126" s="1543" t="str">
        <f t="shared" si="3"/>
        <v>2000003147</v>
      </c>
      <c r="C126" s="1493" t="s">
        <v>3460</v>
      </c>
      <c r="D126" s="1494"/>
      <c r="E126" s="1495"/>
      <c r="F126" s="1493" t="s">
        <v>61</v>
      </c>
      <c r="G126" s="1495"/>
      <c r="H126" s="1495"/>
      <c r="I126" s="1495" t="s">
        <v>19</v>
      </c>
      <c r="J126" s="1495" t="s">
        <v>74</v>
      </c>
      <c r="K126" s="1600" t="s">
        <v>9032</v>
      </c>
      <c r="L126" s="2357">
        <v>50</v>
      </c>
      <c r="M126" s="1921" t="s">
        <v>5961</v>
      </c>
      <c r="N126" s="1902"/>
      <c r="O126" s="1775"/>
      <c r="P126" s="2429">
        <v>3</v>
      </c>
      <c r="Q126" s="1921"/>
      <c r="R126" s="2724"/>
      <c r="S126" s="2724"/>
      <c r="T126" s="2721"/>
      <c r="X126" s="1902"/>
      <c r="Y126" s="1902"/>
      <c r="Z126" s="1902"/>
    </row>
    <row r="127" spans="1:26" s="1548" customFormat="1" ht="70.5" customHeight="1">
      <c r="A127" s="3750"/>
      <c r="B127" s="1543" t="str">
        <f t="shared" ref="B127:B138" si="4">TEXT(LEFT(K127,10),"0000000000")</f>
        <v>2000003154</v>
      </c>
      <c r="C127" s="1493" t="s">
        <v>3460</v>
      </c>
      <c r="D127" s="1494"/>
      <c r="E127" s="1495"/>
      <c r="F127" s="1493" t="s">
        <v>61</v>
      </c>
      <c r="G127" s="1495"/>
      <c r="H127" s="1495"/>
      <c r="I127" s="1493" t="s">
        <v>19</v>
      </c>
      <c r="J127" s="1495" t="s">
        <v>199</v>
      </c>
      <c r="K127" s="1600" t="s">
        <v>9033</v>
      </c>
      <c r="L127" s="2357">
        <v>1450</v>
      </c>
      <c r="M127" s="2196" t="s">
        <v>9029</v>
      </c>
      <c r="N127" s="1493"/>
      <c r="O127" s="1859"/>
      <c r="P127" s="1493">
        <v>3</v>
      </c>
      <c r="Q127" s="1495"/>
      <c r="R127" s="1495"/>
      <c r="S127" s="1495"/>
      <c r="T127" s="1909"/>
      <c r="X127" s="1493"/>
      <c r="Y127" s="1493"/>
      <c r="Z127" s="1493"/>
    </row>
    <row r="128" spans="1:26" s="2150" customFormat="1" ht="59.25" customHeight="1">
      <c r="A128" s="3735">
        <v>31</v>
      </c>
      <c r="B128" s="2187" t="str">
        <f t="shared" si="4"/>
        <v>2000003122</v>
      </c>
      <c r="C128" s="1902" t="s">
        <v>3469</v>
      </c>
      <c r="D128" s="2607">
        <v>4280</v>
      </c>
      <c r="E128" s="1921" t="s">
        <v>9034</v>
      </c>
      <c r="F128" s="1902" t="s">
        <v>3416</v>
      </c>
      <c r="G128" s="1921" t="s">
        <v>9035</v>
      </c>
      <c r="H128" s="1921"/>
      <c r="I128" s="1902" t="s">
        <v>19</v>
      </c>
      <c r="J128" s="1921" t="s">
        <v>123</v>
      </c>
      <c r="K128" s="1845" t="s">
        <v>9036</v>
      </c>
      <c r="L128" s="2583">
        <v>3000</v>
      </c>
      <c r="M128" s="2196" t="s">
        <v>9029</v>
      </c>
      <c r="N128" s="1902"/>
      <c r="O128" s="1775"/>
      <c r="P128" s="2429">
        <v>3</v>
      </c>
      <c r="Q128" s="1921"/>
      <c r="R128" s="1921"/>
      <c r="S128" s="1921"/>
      <c r="T128" s="1909"/>
      <c r="X128" s="1902"/>
      <c r="Y128" s="1902"/>
      <c r="Z128" s="1902"/>
    </row>
    <row r="129" spans="1:26" s="2150" customFormat="1" ht="59.25" customHeight="1">
      <c r="A129" s="3736"/>
      <c r="B129" s="1543" t="str">
        <f t="shared" si="4"/>
        <v>2000003080</v>
      </c>
      <c r="C129" s="1493" t="s">
        <v>3469</v>
      </c>
      <c r="D129" s="1494"/>
      <c r="E129" s="1495"/>
      <c r="F129" s="1493" t="s">
        <v>3416</v>
      </c>
      <c r="G129" s="1495"/>
      <c r="H129" s="1495"/>
      <c r="I129" s="1543" t="s">
        <v>19</v>
      </c>
      <c r="J129" s="1495" t="s">
        <v>63</v>
      </c>
      <c r="K129" s="1547" t="s">
        <v>9037</v>
      </c>
      <c r="L129" s="2357">
        <v>1200</v>
      </c>
      <c r="M129" s="1748" t="s">
        <v>5961</v>
      </c>
      <c r="N129" s="1493"/>
      <c r="O129" s="1859"/>
      <c r="P129" s="1790">
        <v>3</v>
      </c>
      <c r="Q129" s="1495"/>
      <c r="R129" s="1495"/>
      <c r="S129" s="1495"/>
      <c r="T129" s="1909"/>
      <c r="U129" s="1548"/>
      <c r="V129" s="1548"/>
      <c r="W129" s="1548"/>
      <c r="X129" s="1493"/>
      <c r="Y129" s="1493"/>
      <c r="Z129" s="1493"/>
    </row>
    <row r="130" spans="1:26" s="2150" customFormat="1" ht="59.25" customHeight="1">
      <c r="A130" s="3737"/>
      <c r="B130" s="1543" t="str">
        <f t="shared" si="4"/>
        <v>2000003114</v>
      </c>
      <c r="C130" s="1493" t="s">
        <v>3469</v>
      </c>
      <c r="D130" s="1494"/>
      <c r="E130" s="1495"/>
      <c r="F130" s="1493" t="s">
        <v>3416</v>
      </c>
      <c r="G130" s="1495"/>
      <c r="H130" s="1495"/>
      <c r="I130" s="1493" t="s">
        <v>19</v>
      </c>
      <c r="J130" s="1495" t="s">
        <v>63</v>
      </c>
      <c r="K130" s="1600" t="s">
        <v>9038</v>
      </c>
      <c r="L130" s="2357">
        <v>100</v>
      </c>
      <c r="M130" s="1790" t="s">
        <v>5961</v>
      </c>
      <c r="N130" s="1493"/>
      <c r="O130" s="1859"/>
      <c r="P130" s="1493">
        <v>3</v>
      </c>
      <c r="Q130" s="1495"/>
      <c r="R130" s="1495"/>
      <c r="S130" s="1495"/>
      <c r="T130" s="1909"/>
      <c r="U130" s="1548"/>
      <c r="V130" s="1548"/>
      <c r="W130" s="1548"/>
      <c r="X130" s="1493"/>
      <c r="Y130" s="1493"/>
      <c r="Z130" s="1493"/>
    </row>
    <row r="131" spans="1:26" s="1548" customFormat="1" ht="66.75" customHeight="1">
      <c r="A131" s="3735">
        <v>32</v>
      </c>
      <c r="B131" s="2187" t="str">
        <f t="shared" si="4"/>
        <v>2000003151</v>
      </c>
      <c r="C131" s="1902" t="s">
        <v>193</v>
      </c>
      <c r="D131" s="2607">
        <v>12000</v>
      </c>
      <c r="E131" s="1921" t="s">
        <v>9039</v>
      </c>
      <c r="F131" s="1902" t="s">
        <v>3416</v>
      </c>
      <c r="G131" s="1921" t="s">
        <v>9035</v>
      </c>
      <c r="H131" s="1921"/>
      <c r="I131" s="1902" t="s">
        <v>19</v>
      </c>
      <c r="J131" s="1921" t="s">
        <v>63</v>
      </c>
      <c r="K131" s="1845" t="s">
        <v>9040</v>
      </c>
      <c r="L131" s="2583">
        <v>8000</v>
      </c>
      <c r="M131" s="2196" t="s">
        <v>5945</v>
      </c>
      <c r="N131" s="1493"/>
      <c r="O131" s="1859"/>
      <c r="P131" s="1790">
        <v>3</v>
      </c>
      <c r="Q131" s="1495"/>
      <c r="R131" s="1495"/>
      <c r="S131" s="1495"/>
      <c r="T131" s="1909"/>
      <c r="X131" s="1493"/>
      <c r="Y131" s="1493"/>
      <c r="Z131" s="1493"/>
    </row>
    <row r="132" spans="1:26" s="1548" customFormat="1" ht="58.5" customHeight="1">
      <c r="A132" s="3736"/>
      <c r="B132" s="1543" t="str">
        <f t="shared" si="4"/>
        <v>2000003080</v>
      </c>
      <c r="C132" s="1902" t="s">
        <v>193</v>
      </c>
      <c r="D132" s="1494"/>
      <c r="E132" s="1495"/>
      <c r="F132" s="1493" t="s">
        <v>3416</v>
      </c>
      <c r="G132" s="1495"/>
      <c r="H132" s="1495"/>
      <c r="I132" s="1543" t="s">
        <v>19</v>
      </c>
      <c r="J132" s="1495" t="s">
        <v>63</v>
      </c>
      <c r="K132" s="1547" t="s">
        <v>9041</v>
      </c>
      <c r="L132" s="2357">
        <v>4000</v>
      </c>
      <c r="M132" s="1748" t="s">
        <v>5961</v>
      </c>
      <c r="N132" s="1493"/>
      <c r="O132" s="1859"/>
      <c r="P132" s="1790">
        <v>3</v>
      </c>
      <c r="Q132" s="1495"/>
      <c r="R132" s="1495"/>
      <c r="S132" s="1495"/>
      <c r="T132" s="1909"/>
      <c r="X132" s="1493"/>
      <c r="Y132" s="1493"/>
      <c r="Z132" s="1493"/>
    </row>
    <row r="133" spans="1:26" s="1548" customFormat="1" ht="58.5" customHeight="1">
      <c r="A133" s="3737"/>
      <c r="B133" s="1543" t="str">
        <f t="shared" si="4"/>
        <v>2000003084</v>
      </c>
      <c r="C133" s="1902" t="s">
        <v>193</v>
      </c>
      <c r="D133" s="1494"/>
      <c r="E133" s="1495"/>
      <c r="F133" s="1493" t="s">
        <v>3416</v>
      </c>
      <c r="G133" s="1495"/>
      <c r="H133" s="1495"/>
      <c r="I133" s="1543" t="s">
        <v>19</v>
      </c>
      <c r="J133" s="1495" t="s">
        <v>63</v>
      </c>
      <c r="K133" s="1547" t="s">
        <v>9042</v>
      </c>
      <c r="L133" s="2357">
        <v>150</v>
      </c>
      <c r="M133" s="1748" t="s">
        <v>9043</v>
      </c>
      <c r="N133" s="1493"/>
      <c r="O133" s="1859"/>
      <c r="P133" s="1790">
        <v>3</v>
      </c>
      <c r="Q133" s="1495"/>
      <c r="R133" s="1495"/>
      <c r="S133" s="1495"/>
      <c r="T133" s="1909"/>
      <c r="X133" s="1493"/>
      <c r="Y133" s="1493"/>
      <c r="Z133" s="1493"/>
    </row>
    <row r="134" spans="1:26" s="1548" customFormat="1" ht="58.5" customHeight="1">
      <c r="A134" s="3749">
        <v>33</v>
      </c>
      <c r="B134" s="2187" t="str">
        <f t="shared" si="4"/>
        <v>2200002076</v>
      </c>
      <c r="C134" s="1545" t="s">
        <v>3455</v>
      </c>
      <c r="D134" s="2607">
        <v>8800</v>
      </c>
      <c r="E134" s="1921" t="s">
        <v>9044</v>
      </c>
      <c r="F134" s="1902" t="s">
        <v>3401</v>
      </c>
      <c r="G134" s="1921" t="s">
        <v>3962</v>
      </c>
      <c r="H134" s="1921"/>
      <c r="I134" s="1902" t="s">
        <v>19</v>
      </c>
      <c r="J134" s="1921" t="s">
        <v>1138</v>
      </c>
      <c r="K134" s="1911" t="s">
        <v>9045</v>
      </c>
      <c r="L134" s="2583">
        <v>3703</v>
      </c>
      <c r="M134" s="1902" t="s">
        <v>9046</v>
      </c>
      <c r="N134" s="1902"/>
      <c r="O134" s="1775"/>
      <c r="P134" s="2429">
        <v>3</v>
      </c>
      <c r="Q134" s="1921"/>
      <c r="R134" s="1921"/>
      <c r="S134" s="1921"/>
      <c r="T134" s="1909"/>
      <c r="U134" s="2150"/>
      <c r="V134" s="2150"/>
      <c r="W134" s="2150"/>
      <c r="X134" s="1902"/>
      <c r="Y134" s="1902"/>
      <c r="Z134" s="1902"/>
    </row>
    <row r="135" spans="1:26" s="1548" customFormat="1" ht="58.5" customHeight="1">
      <c r="A135" s="3751"/>
      <c r="B135" s="1543" t="str">
        <f t="shared" si="4"/>
        <v>2200002077</v>
      </c>
      <c r="C135" s="1545" t="s">
        <v>3455</v>
      </c>
      <c r="D135" s="1494"/>
      <c r="E135" s="1495"/>
      <c r="F135" s="1493" t="s">
        <v>3401</v>
      </c>
      <c r="G135" s="1495"/>
      <c r="H135" s="1495"/>
      <c r="I135" s="1493" t="s">
        <v>19</v>
      </c>
      <c r="J135" s="1921" t="s">
        <v>1138</v>
      </c>
      <c r="K135" s="1547" t="s">
        <v>9047</v>
      </c>
      <c r="L135" s="2357">
        <v>2140</v>
      </c>
      <c r="M135" s="1493" t="s">
        <v>9048</v>
      </c>
      <c r="N135" s="1493"/>
      <c r="O135" s="1859"/>
      <c r="P135" s="2429">
        <v>3</v>
      </c>
      <c r="Q135" s="1495"/>
      <c r="R135" s="1495"/>
      <c r="S135" s="1495"/>
      <c r="T135" s="1909"/>
      <c r="X135" s="1493"/>
      <c r="Y135" s="1493"/>
      <c r="Z135" s="1493"/>
    </row>
    <row r="136" spans="1:26" s="1548" customFormat="1" ht="58.5" customHeight="1">
      <c r="A136" s="3751"/>
      <c r="B136" s="1543" t="str">
        <f t="shared" si="4"/>
        <v>2200002078</v>
      </c>
      <c r="C136" s="1545" t="s">
        <v>3455</v>
      </c>
      <c r="D136" s="1494"/>
      <c r="E136" s="1495"/>
      <c r="F136" s="1493" t="s">
        <v>3401</v>
      </c>
      <c r="G136" s="1495"/>
      <c r="H136" s="1495"/>
      <c r="I136" s="1493" t="s">
        <v>19</v>
      </c>
      <c r="J136" s="1495" t="s">
        <v>1138</v>
      </c>
      <c r="K136" s="1547" t="s">
        <v>9049</v>
      </c>
      <c r="L136" s="2357">
        <v>1262</v>
      </c>
      <c r="M136" s="1493" t="s">
        <v>5961</v>
      </c>
      <c r="N136" s="1493"/>
      <c r="O136" s="1859"/>
      <c r="P136" s="2429">
        <v>3</v>
      </c>
      <c r="Q136" s="1495"/>
      <c r="R136" s="1495"/>
      <c r="S136" s="1495"/>
      <c r="T136" s="1909"/>
      <c r="X136" s="1493"/>
      <c r="Y136" s="1493"/>
      <c r="Z136" s="1493"/>
    </row>
    <row r="137" spans="1:26" s="1548" customFormat="1" ht="58.5" customHeight="1">
      <c r="A137" s="3751"/>
      <c r="B137" s="1543" t="str">
        <f t="shared" si="4"/>
        <v>2200002081</v>
      </c>
      <c r="C137" s="1545" t="s">
        <v>3455</v>
      </c>
      <c r="D137" s="1494"/>
      <c r="E137" s="1495"/>
      <c r="F137" s="1493" t="s">
        <v>3401</v>
      </c>
      <c r="G137" s="1495"/>
      <c r="H137" s="1495"/>
      <c r="I137" s="1493" t="s">
        <v>19</v>
      </c>
      <c r="J137" s="1495" t="s">
        <v>1138</v>
      </c>
      <c r="K137" s="1547" t="s">
        <v>9050</v>
      </c>
      <c r="L137" s="2357">
        <v>1724</v>
      </c>
      <c r="M137" s="2196" t="s">
        <v>9051</v>
      </c>
      <c r="N137" s="1493"/>
      <c r="O137" s="1859"/>
      <c r="P137" s="2429">
        <v>3</v>
      </c>
      <c r="Q137" s="1495"/>
      <c r="R137" s="1495"/>
      <c r="S137" s="1495"/>
      <c r="T137" s="1909"/>
      <c r="X137" s="1493"/>
      <c r="Y137" s="1493"/>
      <c r="Z137" s="1493"/>
    </row>
    <row r="138" spans="1:26" s="1548" customFormat="1" ht="58.5" customHeight="1">
      <c r="A138" s="3750"/>
      <c r="B138" s="1543" t="str">
        <f t="shared" si="4"/>
        <v>2200002082</v>
      </c>
      <c r="C138" s="1545" t="s">
        <v>3455</v>
      </c>
      <c r="D138" s="1494"/>
      <c r="E138" s="1495"/>
      <c r="F138" s="1493" t="s">
        <v>3401</v>
      </c>
      <c r="G138" s="1495"/>
      <c r="H138" s="1495"/>
      <c r="I138" s="1493" t="s">
        <v>19</v>
      </c>
      <c r="J138" s="1495" t="s">
        <v>1138</v>
      </c>
      <c r="K138" s="1547" t="s">
        <v>9052</v>
      </c>
      <c r="L138" s="2357">
        <v>462</v>
      </c>
      <c r="M138" s="2196" t="s">
        <v>9051</v>
      </c>
      <c r="N138" s="1493"/>
      <c r="O138" s="1859"/>
      <c r="P138" s="2429">
        <v>3</v>
      </c>
      <c r="Q138" s="1495"/>
      <c r="R138" s="1495"/>
      <c r="S138" s="1495"/>
      <c r="T138" s="1909"/>
      <c r="X138" s="1493"/>
      <c r="Y138" s="1493"/>
      <c r="Z138" s="1493"/>
    </row>
    <row r="139" spans="1:26" s="1548" customFormat="1" ht="79.5" customHeight="1">
      <c r="A139" s="3749">
        <v>34</v>
      </c>
      <c r="B139" s="2187" t="s">
        <v>9053</v>
      </c>
      <c r="C139" s="1902" t="s">
        <v>5319</v>
      </c>
      <c r="D139" s="2607">
        <v>12000</v>
      </c>
      <c r="E139" s="1921" t="s">
        <v>9054</v>
      </c>
      <c r="F139" s="1902" t="s">
        <v>3401</v>
      </c>
      <c r="G139" s="1921" t="s">
        <v>9055</v>
      </c>
      <c r="H139" s="1921"/>
      <c r="I139" s="1902" t="s">
        <v>19</v>
      </c>
      <c r="J139" s="1921" t="s">
        <v>20</v>
      </c>
      <c r="K139" s="1845" t="s">
        <v>9056</v>
      </c>
      <c r="L139" s="2583">
        <v>8050</v>
      </c>
      <c r="M139" s="2196" t="s">
        <v>5945</v>
      </c>
      <c r="N139" s="1902"/>
      <c r="O139" s="1775"/>
      <c r="P139" s="2429">
        <v>3</v>
      </c>
      <c r="Q139" s="1921"/>
      <c r="R139" s="1921"/>
      <c r="S139" s="1921"/>
      <c r="T139" s="1909"/>
      <c r="U139" s="2150"/>
      <c r="V139" s="2150"/>
      <c r="W139" s="2150"/>
      <c r="X139" s="1902"/>
      <c r="Y139" s="1902"/>
      <c r="Z139" s="1902"/>
    </row>
    <row r="140" spans="1:26" s="1548" customFormat="1" ht="66" customHeight="1">
      <c r="A140" s="3750"/>
      <c r="B140" s="1543" t="str">
        <f t="shared" ref="B140:B178" si="5">TEXT(LEFT(K140,10),"0000000000")</f>
        <v>2000003125</v>
      </c>
      <c r="C140" s="1493" t="s">
        <v>5319</v>
      </c>
      <c r="D140" s="1494"/>
      <c r="E140" s="1495"/>
      <c r="F140" s="1902" t="s">
        <v>3401</v>
      </c>
      <c r="G140" s="1495"/>
      <c r="H140" s="1495"/>
      <c r="I140" s="1493" t="s">
        <v>19</v>
      </c>
      <c r="J140" s="1495" t="s">
        <v>959</v>
      </c>
      <c r="K140" s="1600" t="s">
        <v>9057</v>
      </c>
      <c r="L140" s="2357">
        <v>4300</v>
      </c>
      <c r="M140" s="1790" t="s">
        <v>9058</v>
      </c>
      <c r="N140" s="1493"/>
      <c r="O140" s="1859"/>
      <c r="P140" s="1790">
        <v>3</v>
      </c>
      <c r="Q140" s="1495"/>
      <c r="R140" s="1495"/>
      <c r="S140" s="1495"/>
      <c r="T140" s="1909"/>
      <c r="X140" s="1493"/>
      <c r="Y140" s="1493"/>
      <c r="Z140" s="1493"/>
    </row>
    <row r="141" spans="1:26" s="2150" customFormat="1" ht="58.5" customHeight="1">
      <c r="A141" s="3749">
        <v>35</v>
      </c>
      <c r="B141" s="2187" t="str">
        <f t="shared" si="5"/>
        <v>2000003144</v>
      </c>
      <c r="C141" s="1902" t="s">
        <v>3414</v>
      </c>
      <c r="D141" s="2607">
        <v>24000</v>
      </c>
      <c r="E141" s="1921" t="s">
        <v>9059</v>
      </c>
      <c r="F141" s="1493" t="s">
        <v>3416</v>
      </c>
      <c r="G141" s="1921" t="s">
        <v>9060</v>
      </c>
      <c r="H141" s="1921" t="s">
        <v>9061</v>
      </c>
      <c r="I141" s="2187" t="s">
        <v>19</v>
      </c>
      <c r="J141" s="1921" t="s">
        <v>63</v>
      </c>
      <c r="K141" s="1862" t="s">
        <v>9062</v>
      </c>
      <c r="L141" s="2583">
        <v>70</v>
      </c>
      <c r="M141" s="1909" t="s">
        <v>5961</v>
      </c>
      <c r="N141" s="1902"/>
      <c r="O141" s="1775"/>
      <c r="P141" s="2429">
        <v>3</v>
      </c>
      <c r="Q141" s="1921"/>
      <c r="R141" s="1921"/>
      <c r="S141" s="1921"/>
      <c r="T141" s="1909"/>
      <c r="X141" s="1902"/>
      <c r="Y141" s="1902"/>
      <c r="Z141" s="1902"/>
    </row>
    <row r="142" spans="1:26" s="2150" customFormat="1" ht="58.5" customHeight="1">
      <c r="A142" s="3751"/>
      <c r="B142" s="2187" t="str">
        <f t="shared" si="5"/>
        <v>2000003145</v>
      </c>
      <c r="C142" s="1902" t="s">
        <v>3414</v>
      </c>
      <c r="D142" s="2607"/>
      <c r="E142" s="1921"/>
      <c r="F142" s="1493" t="s">
        <v>3416</v>
      </c>
      <c r="G142" s="1921"/>
      <c r="H142" s="1921"/>
      <c r="I142" s="1543" t="s">
        <v>19</v>
      </c>
      <c r="J142" s="1495" t="s">
        <v>63</v>
      </c>
      <c r="K142" s="1600" t="s">
        <v>9063</v>
      </c>
      <c r="L142" s="2357">
        <v>300</v>
      </c>
      <c r="M142" s="1748" t="s">
        <v>5961</v>
      </c>
      <c r="N142" s="1902"/>
      <c r="O142" s="1775"/>
      <c r="P142" s="2429">
        <v>3</v>
      </c>
      <c r="Q142" s="1921"/>
      <c r="R142" s="1921"/>
      <c r="S142" s="1921"/>
      <c r="T142" s="1909"/>
      <c r="X142" s="1902"/>
      <c r="Y142" s="1902"/>
      <c r="Z142" s="1902"/>
    </row>
    <row r="143" spans="1:26" s="1548" customFormat="1" ht="58.5" customHeight="1">
      <c r="A143" s="3751"/>
      <c r="B143" s="1543" t="str">
        <f t="shared" si="5"/>
        <v>2000003129</v>
      </c>
      <c r="C143" s="1902" t="s">
        <v>3414</v>
      </c>
      <c r="F143" s="1493" t="s">
        <v>3416</v>
      </c>
      <c r="I143" s="1493" t="s">
        <v>19</v>
      </c>
      <c r="J143" s="1493" t="s">
        <v>63</v>
      </c>
      <c r="K143" s="1770" t="s">
        <v>9064</v>
      </c>
      <c r="L143" s="2183">
        <v>4200</v>
      </c>
      <c r="M143" s="1748" t="s">
        <v>9065</v>
      </c>
      <c r="P143" s="1493">
        <v>3</v>
      </c>
    </row>
    <row r="144" spans="1:26" s="1548" customFormat="1" ht="58.5" customHeight="1">
      <c r="A144" s="3751"/>
      <c r="B144" s="1543" t="str">
        <f t="shared" si="5"/>
        <v>2000003137</v>
      </c>
      <c r="C144" s="1902" t="s">
        <v>3414</v>
      </c>
      <c r="D144" s="1494"/>
      <c r="E144" s="1495"/>
      <c r="F144" s="1493" t="s">
        <v>3416</v>
      </c>
      <c r="G144" s="1495"/>
      <c r="H144" s="1495"/>
      <c r="I144" s="1493" t="s">
        <v>19</v>
      </c>
      <c r="J144" s="1495" t="s">
        <v>63</v>
      </c>
      <c r="K144" s="1497" t="s">
        <v>9066</v>
      </c>
      <c r="L144" s="2357">
        <v>5000</v>
      </c>
      <c r="M144" s="1495" t="s">
        <v>9067</v>
      </c>
      <c r="N144" s="1493"/>
      <c r="O144" s="1859"/>
      <c r="P144" s="1790">
        <v>3</v>
      </c>
      <c r="Q144" s="1495"/>
      <c r="R144" s="1495"/>
      <c r="S144" s="1495"/>
      <c r="T144" s="1909"/>
      <c r="X144" s="1493"/>
      <c r="Y144" s="1493"/>
      <c r="Z144" s="1493"/>
    </row>
    <row r="145" spans="1:26" s="1548" customFormat="1" ht="58.5" customHeight="1">
      <c r="A145" s="3751"/>
      <c r="B145" s="1543" t="str">
        <f t="shared" si="5"/>
        <v>2000003152</v>
      </c>
      <c r="C145" s="1902" t="s">
        <v>3414</v>
      </c>
      <c r="D145" s="1494"/>
      <c r="E145" s="1495"/>
      <c r="F145" s="1493" t="s">
        <v>3416</v>
      </c>
      <c r="G145" s="1495"/>
      <c r="H145" s="1495"/>
      <c r="I145" s="1493" t="s">
        <v>19</v>
      </c>
      <c r="J145" s="1495" t="s">
        <v>63</v>
      </c>
      <c r="K145" s="1600" t="s">
        <v>9068</v>
      </c>
      <c r="L145" s="2357">
        <v>2000</v>
      </c>
      <c r="M145" s="2196" t="s">
        <v>9069</v>
      </c>
      <c r="N145" s="1493"/>
      <c r="O145" s="1859"/>
      <c r="P145" s="1790">
        <v>3</v>
      </c>
      <c r="Q145" s="1495"/>
      <c r="R145" s="1495"/>
      <c r="S145" s="1495"/>
      <c r="T145" s="1909"/>
      <c r="X145" s="1493"/>
      <c r="Y145" s="1493"/>
      <c r="Z145" s="1493"/>
    </row>
    <row r="146" spans="1:26" s="1548" customFormat="1" ht="58.5" customHeight="1">
      <c r="A146" s="3751"/>
      <c r="B146" s="1543" t="str">
        <f t="shared" si="5"/>
        <v>2000003069</v>
      </c>
      <c r="C146" s="1902" t="s">
        <v>3414</v>
      </c>
      <c r="D146" s="1494"/>
      <c r="E146" s="1495"/>
      <c r="F146" s="1493" t="s">
        <v>3416</v>
      </c>
      <c r="G146" s="1495"/>
      <c r="H146" s="1495"/>
      <c r="I146" s="1495" t="s">
        <v>19</v>
      </c>
      <c r="J146" s="1495" t="s">
        <v>5325</v>
      </c>
      <c r="K146" s="1547" t="s">
        <v>9070</v>
      </c>
      <c r="L146" s="2357">
        <v>1000</v>
      </c>
      <c r="M146" s="1748" t="s">
        <v>9071</v>
      </c>
      <c r="N146" s="1493"/>
      <c r="O146" s="1859"/>
      <c r="P146" s="1790">
        <v>3</v>
      </c>
      <c r="Q146" s="1495"/>
      <c r="R146" s="1495"/>
      <c r="S146" s="1495"/>
      <c r="T146" s="1909"/>
      <c r="X146" s="1493"/>
      <c r="Y146" s="1493"/>
      <c r="Z146" s="1493"/>
    </row>
    <row r="147" spans="1:26" s="1548" customFormat="1" ht="58.5" customHeight="1">
      <c r="A147" s="3751"/>
      <c r="B147" s="1543" t="str">
        <f t="shared" si="5"/>
        <v>2000003070</v>
      </c>
      <c r="C147" s="1902" t="s">
        <v>3414</v>
      </c>
      <c r="D147" s="1494"/>
      <c r="E147" s="1495"/>
      <c r="F147" s="1493" t="s">
        <v>3416</v>
      </c>
      <c r="G147" s="1495"/>
      <c r="H147" s="1495"/>
      <c r="I147" s="1495" t="s">
        <v>19</v>
      </c>
      <c r="J147" s="1495" t="s">
        <v>5325</v>
      </c>
      <c r="K147" s="1547" t="s">
        <v>9072</v>
      </c>
      <c r="L147" s="2357">
        <v>100</v>
      </c>
      <c r="M147" s="1748" t="s">
        <v>9073</v>
      </c>
      <c r="N147" s="1493"/>
      <c r="O147" s="1859"/>
      <c r="P147" s="1790">
        <v>3</v>
      </c>
      <c r="Q147" s="1495"/>
      <c r="R147" s="1495"/>
      <c r="S147" s="1495"/>
      <c r="T147" s="1909"/>
      <c r="X147" s="1493"/>
      <c r="Y147" s="1493"/>
      <c r="Z147" s="1493"/>
    </row>
    <row r="148" spans="1:26" s="1548" customFormat="1" ht="58.5" customHeight="1">
      <c r="A148" s="3751"/>
      <c r="B148" s="1543" t="str">
        <f t="shared" si="5"/>
        <v>2000003075</v>
      </c>
      <c r="C148" s="1902" t="s">
        <v>3414</v>
      </c>
      <c r="D148" s="1494"/>
      <c r="E148" s="1495"/>
      <c r="F148" s="1493" t="s">
        <v>3416</v>
      </c>
      <c r="G148" s="1495"/>
      <c r="H148" s="1495"/>
      <c r="I148" s="1495" t="s">
        <v>19</v>
      </c>
      <c r="J148" s="1495" t="s">
        <v>5325</v>
      </c>
      <c r="K148" s="1547" t="s">
        <v>9074</v>
      </c>
      <c r="L148" s="2357">
        <v>2000</v>
      </c>
      <c r="M148" s="1495" t="s">
        <v>9075</v>
      </c>
      <c r="N148" s="1493"/>
      <c r="O148" s="1859"/>
      <c r="P148" s="1790">
        <v>3</v>
      </c>
      <c r="Q148" s="1495"/>
      <c r="R148" s="1495"/>
      <c r="S148" s="1495"/>
      <c r="T148" s="1909"/>
      <c r="X148" s="1493"/>
      <c r="Y148" s="1493"/>
      <c r="Z148" s="1493"/>
    </row>
    <row r="149" spans="1:26" s="1548" customFormat="1" ht="58.5" customHeight="1">
      <c r="A149" s="3751"/>
      <c r="B149" s="1543" t="str">
        <f t="shared" si="5"/>
        <v>2000003112</v>
      </c>
      <c r="C149" s="1902" t="s">
        <v>3414</v>
      </c>
      <c r="D149" s="1494"/>
      <c r="E149" s="1495"/>
      <c r="F149" s="1493" t="s">
        <v>3416</v>
      </c>
      <c r="G149" s="1495"/>
      <c r="H149" s="1495"/>
      <c r="I149" s="1493" t="s">
        <v>19</v>
      </c>
      <c r="J149" s="1495" t="s">
        <v>5325</v>
      </c>
      <c r="K149" s="1547" t="s">
        <v>9076</v>
      </c>
      <c r="L149" s="2357">
        <v>3000</v>
      </c>
      <c r="M149" s="1495" t="s">
        <v>5961</v>
      </c>
      <c r="N149" s="1493"/>
      <c r="O149" s="1859"/>
      <c r="P149" s="1790">
        <v>3</v>
      </c>
      <c r="Q149" s="1495"/>
      <c r="R149" s="1495"/>
      <c r="S149" s="1495"/>
      <c r="T149" s="1909"/>
      <c r="X149" s="1493"/>
      <c r="Y149" s="1493"/>
      <c r="Z149" s="1493"/>
    </row>
    <row r="150" spans="1:26" s="1548" customFormat="1" ht="58.5" customHeight="1">
      <c r="A150" s="3751"/>
      <c r="B150" s="1543" t="str">
        <f t="shared" si="5"/>
        <v>2000003071</v>
      </c>
      <c r="C150" s="1902" t="s">
        <v>3414</v>
      </c>
      <c r="D150" s="1494"/>
      <c r="E150" s="1495"/>
      <c r="F150" s="1493" t="s">
        <v>3416</v>
      </c>
      <c r="G150" s="1495"/>
      <c r="H150" s="1495"/>
      <c r="I150" s="1493" t="s">
        <v>19</v>
      </c>
      <c r="J150" s="1495" t="s">
        <v>5325</v>
      </c>
      <c r="K150" s="1547" t="s">
        <v>9077</v>
      </c>
      <c r="L150" s="2357">
        <v>266</v>
      </c>
      <c r="M150" s="2196" t="s">
        <v>5945</v>
      </c>
      <c r="N150" s="1493"/>
      <c r="O150" s="1859"/>
      <c r="P150" s="1790">
        <v>3</v>
      </c>
      <c r="Q150" s="1495"/>
      <c r="R150" s="1495"/>
      <c r="S150" s="1495"/>
      <c r="T150" s="1909"/>
      <c r="X150" s="1493"/>
      <c r="Y150" s="1493"/>
      <c r="Z150" s="1493"/>
    </row>
    <row r="151" spans="1:26" s="1548" customFormat="1" ht="58.5" customHeight="1">
      <c r="A151" s="3751"/>
      <c r="B151" s="1543" t="str">
        <f t="shared" si="5"/>
        <v>2000003139</v>
      </c>
      <c r="C151" s="1902" t="s">
        <v>3414</v>
      </c>
      <c r="D151" s="1494"/>
      <c r="E151" s="1495"/>
      <c r="F151" s="1493" t="s">
        <v>3416</v>
      </c>
      <c r="G151" s="1495"/>
      <c r="H151" s="1495"/>
      <c r="I151" s="1493" t="s">
        <v>19</v>
      </c>
      <c r="J151" s="1495" t="s">
        <v>123</v>
      </c>
      <c r="K151" s="1600" t="s">
        <v>9078</v>
      </c>
      <c r="L151" s="2357">
        <v>2500</v>
      </c>
      <c r="M151" s="2196" t="s">
        <v>5945</v>
      </c>
      <c r="N151" s="1493"/>
      <c r="O151" s="1859"/>
      <c r="P151" s="1790">
        <v>3</v>
      </c>
      <c r="Q151" s="1495"/>
      <c r="R151" s="1495"/>
      <c r="S151" s="1495"/>
      <c r="T151" s="1909"/>
      <c r="X151" s="1493"/>
      <c r="Y151" s="1493"/>
      <c r="Z151" s="1493"/>
    </row>
    <row r="152" spans="1:26" s="1548" customFormat="1" ht="58.5" customHeight="1">
      <c r="A152" s="3751"/>
      <c r="B152" s="1543" t="str">
        <f t="shared" si="5"/>
        <v>2000003140</v>
      </c>
      <c r="C152" s="1902" t="s">
        <v>3414</v>
      </c>
      <c r="D152" s="1494"/>
      <c r="E152" s="1495"/>
      <c r="F152" s="1493" t="s">
        <v>3416</v>
      </c>
      <c r="G152" s="1495"/>
      <c r="H152" s="1495"/>
      <c r="I152" s="1493" t="s">
        <v>19</v>
      </c>
      <c r="J152" s="1495" t="s">
        <v>123</v>
      </c>
      <c r="K152" s="1496" t="s">
        <v>9079</v>
      </c>
      <c r="L152" s="2357">
        <v>2500</v>
      </c>
      <c r="M152" s="2196" t="s">
        <v>5945</v>
      </c>
      <c r="N152" s="1493"/>
      <c r="O152" s="1859"/>
      <c r="P152" s="1790">
        <v>3</v>
      </c>
      <c r="Q152" s="1495"/>
      <c r="R152" s="1495"/>
      <c r="S152" s="1495"/>
      <c r="T152" s="1909"/>
      <c r="X152" s="1493"/>
      <c r="Y152" s="1493"/>
      <c r="Z152" s="1493"/>
    </row>
    <row r="153" spans="1:26" s="1548" customFormat="1" ht="61.5" customHeight="1">
      <c r="A153" s="3750"/>
      <c r="B153" s="1543" t="str">
        <f t="shared" si="5"/>
        <v>2000003146</v>
      </c>
      <c r="C153" s="1902" t="s">
        <v>3414</v>
      </c>
      <c r="D153" s="1494"/>
      <c r="E153" s="1495"/>
      <c r="F153" s="1493" t="s">
        <v>3416</v>
      </c>
      <c r="G153" s="1495"/>
      <c r="H153" s="1495"/>
      <c r="I153" s="1493" t="s">
        <v>19</v>
      </c>
      <c r="J153" s="1495" t="s">
        <v>9080</v>
      </c>
      <c r="K153" s="1600" t="s">
        <v>9081</v>
      </c>
      <c r="L153" s="2357">
        <v>1000</v>
      </c>
      <c r="M153" s="1748" t="s">
        <v>9082</v>
      </c>
      <c r="N153" s="1493"/>
      <c r="O153" s="1859"/>
      <c r="P153" s="1790">
        <v>3</v>
      </c>
      <c r="Q153" s="1495"/>
      <c r="R153" s="1495"/>
      <c r="S153" s="1495"/>
      <c r="T153" s="1909"/>
      <c r="X153" s="1493"/>
      <c r="Y153" s="1493"/>
      <c r="Z153" s="1493"/>
    </row>
    <row r="154" spans="1:26" s="2150" customFormat="1" ht="54" customHeight="1">
      <c r="A154" s="3749">
        <v>36</v>
      </c>
      <c r="B154" s="2187" t="str">
        <f t="shared" si="5"/>
        <v>2000003126</v>
      </c>
      <c r="C154" s="2263" t="s">
        <v>3499</v>
      </c>
      <c r="D154" s="2456">
        <v>8800</v>
      </c>
      <c r="E154" s="2187" t="s">
        <v>9083</v>
      </c>
      <c r="F154" s="2263" t="s">
        <v>3401</v>
      </c>
      <c r="G154" s="2187" t="s">
        <v>9084</v>
      </c>
      <c r="H154" s="2187"/>
      <c r="I154" s="1902" t="s">
        <v>19</v>
      </c>
      <c r="J154" s="2391" t="s">
        <v>1138</v>
      </c>
      <c r="K154" s="2150" t="s">
        <v>9085</v>
      </c>
      <c r="L154" s="2179">
        <v>195</v>
      </c>
      <c r="M154" s="2196" t="s">
        <v>9086</v>
      </c>
      <c r="N154" s="1548"/>
      <c r="O154" s="1548"/>
      <c r="P154" s="1790">
        <v>3</v>
      </c>
      <c r="Q154" s="1543"/>
      <c r="R154" s="1543"/>
      <c r="S154" s="1543"/>
      <c r="T154" s="2261"/>
      <c r="U154" s="1559"/>
      <c r="V154" s="1559"/>
      <c r="W154" s="1559"/>
      <c r="X154" s="1545"/>
      <c r="Y154" s="1545"/>
      <c r="Z154" s="1545"/>
    </row>
    <row r="155" spans="1:26" s="1548" customFormat="1" ht="58.5" customHeight="1">
      <c r="A155" s="3751"/>
      <c r="B155" s="1543" t="str">
        <f t="shared" si="5"/>
        <v>2000003131</v>
      </c>
      <c r="C155" s="1545" t="s">
        <v>3499</v>
      </c>
      <c r="D155" s="2613"/>
      <c r="E155" s="1543"/>
      <c r="F155" s="1545" t="s">
        <v>3401</v>
      </c>
      <c r="G155" s="1543"/>
      <c r="H155" s="1543"/>
      <c r="I155" s="1493" t="s">
        <v>19</v>
      </c>
      <c r="J155" s="1630" t="s">
        <v>1138</v>
      </c>
      <c r="K155" s="1600" t="s">
        <v>9087</v>
      </c>
      <c r="L155" s="2357">
        <v>962</v>
      </c>
      <c r="M155" s="1493" t="s">
        <v>9088</v>
      </c>
      <c r="N155" s="1493"/>
      <c r="O155" s="1859"/>
      <c r="P155" s="1790">
        <v>3</v>
      </c>
      <c r="Q155" s="1543"/>
      <c r="R155" s="1543"/>
      <c r="S155" s="1543"/>
      <c r="T155" s="2261"/>
      <c r="U155" s="1559"/>
      <c r="V155" s="1559"/>
      <c r="W155" s="1559"/>
      <c r="X155" s="1545"/>
      <c r="Y155" s="1545"/>
      <c r="Z155" s="1545"/>
    </row>
    <row r="156" spans="1:26" s="1548" customFormat="1" ht="58.5" customHeight="1">
      <c r="A156" s="3751"/>
      <c r="B156" s="1543" t="str">
        <f t="shared" si="5"/>
        <v>2000003133</v>
      </c>
      <c r="C156" s="1545" t="s">
        <v>3499</v>
      </c>
      <c r="D156" s="2613"/>
      <c r="E156" s="1543"/>
      <c r="F156" s="1545" t="s">
        <v>3401</v>
      </c>
      <c r="G156" s="1543"/>
      <c r="H156" s="1543"/>
      <c r="I156" s="1493" t="s">
        <v>19</v>
      </c>
      <c r="J156" s="1630" t="s">
        <v>1138</v>
      </c>
      <c r="K156" s="1547" t="s">
        <v>9089</v>
      </c>
      <c r="L156" s="2357">
        <v>7200</v>
      </c>
      <c r="M156" s="1495" t="s">
        <v>5961</v>
      </c>
      <c r="N156" s="1493"/>
      <c r="O156" s="1859"/>
      <c r="P156" s="1790">
        <v>3</v>
      </c>
      <c r="Q156" s="1543"/>
      <c r="R156" s="1543"/>
      <c r="S156" s="1543"/>
      <c r="T156" s="2261"/>
      <c r="U156" s="1559"/>
      <c r="V156" s="1559"/>
      <c r="W156" s="1559"/>
      <c r="X156" s="1545"/>
      <c r="Y156" s="1545"/>
      <c r="Z156" s="1545"/>
    </row>
    <row r="157" spans="1:26" s="1548" customFormat="1" ht="58.5" customHeight="1">
      <c r="A157" s="3751"/>
      <c r="B157" s="1543" t="str">
        <f t="shared" si="5"/>
        <v>2200002076</v>
      </c>
      <c r="C157" s="1545" t="s">
        <v>3499</v>
      </c>
      <c r="D157" s="2613"/>
      <c r="E157" s="1543"/>
      <c r="F157" s="1545" t="s">
        <v>3401</v>
      </c>
      <c r="G157" s="1543"/>
      <c r="H157" s="1543"/>
      <c r="I157" s="1493" t="s">
        <v>19</v>
      </c>
      <c r="J157" s="1630" t="s">
        <v>1138</v>
      </c>
      <c r="K157" s="1828" t="s">
        <v>9090</v>
      </c>
      <c r="L157" s="2543">
        <v>510</v>
      </c>
      <c r="M157" s="1543" t="s">
        <v>5214</v>
      </c>
      <c r="N157" s="1545"/>
      <c r="O157" s="2544"/>
      <c r="P157" s="1852">
        <v>3</v>
      </c>
      <c r="Q157" s="1543"/>
      <c r="R157" s="1543"/>
      <c r="S157" s="1543"/>
      <c r="T157" s="2261"/>
      <c r="U157" s="1559"/>
      <c r="V157" s="1559"/>
      <c r="W157" s="1559"/>
      <c r="X157" s="1545"/>
      <c r="Y157" s="1545"/>
      <c r="Z157" s="1545"/>
    </row>
    <row r="158" spans="1:26" s="1548" customFormat="1" ht="58.5" customHeight="1">
      <c r="A158" s="2582">
        <v>37</v>
      </c>
      <c r="B158" s="2187" t="str">
        <f t="shared" si="5"/>
        <v>2000003119</v>
      </c>
      <c r="C158" s="1921" t="s">
        <v>9091</v>
      </c>
      <c r="D158" s="2607">
        <v>4350</v>
      </c>
      <c r="E158" s="1921" t="s">
        <v>9092</v>
      </c>
      <c r="F158" s="1902" t="s">
        <v>84</v>
      </c>
      <c r="G158" s="1921" t="s">
        <v>9093</v>
      </c>
      <c r="H158" s="1921"/>
      <c r="I158" s="1902" t="s">
        <v>19</v>
      </c>
      <c r="J158" s="1921" t="s">
        <v>20</v>
      </c>
      <c r="K158" s="1845" t="s">
        <v>9094</v>
      </c>
      <c r="L158" s="2583">
        <v>4500</v>
      </c>
      <c r="M158" s="2196" t="s">
        <v>5945</v>
      </c>
      <c r="N158" s="1902" t="s">
        <v>7936</v>
      </c>
      <c r="O158" s="1775"/>
      <c r="P158" s="2429">
        <v>3</v>
      </c>
      <c r="Q158" s="1921"/>
      <c r="R158" s="1921"/>
      <c r="S158" s="1921"/>
      <c r="T158" s="1909"/>
      <c r="U158" s="2150"/>
      <c r="V158" s="2150"/>
      <c r="W158" s="2150"/>
      <c r="X158" s="1902"/>
      <c r="Y158" s="1902"/>
      <c r="Z158" s="1902"/>
    </row>
    <row r="159" spans="1:26" s="1548" customFormat="1" ht="58.5" customHeight="1">
      <c r="A159" s="3744">
        <v>38</v>
      </c>
      <c r="B159" s="2419" t="str">
        <f t="shared" si="5"/>
        <v>2200002089</v>
      </c>
      <c r="C159" s="2263" t="s">
        <v>5664</v>
      </c>
      <c r="D159" s="2456">
        <v>4350</v>
      </c>
      <c r="E159" s="2187" t="s">
        <v>9095</v>
      </c>
      <c r="F159" s="2263" t="s">
        <v>61</v>
      </c>
      <c r="G159" s="2187" t="s">
        <v>9096</v>
      </c>
      <c r="H159" s="2187"/>
      <c r="I159" s="2824" t="s">
        <v>19</v>
      </c>
      <c r="J159" s="1902" t="s">
        <v>959</v>
      </c>
      <c r="K159" s="2825" t="s">
        <v>9097</v>
      </c>
      <c r="L159" s="2564">
        <v>3684</v>
      </c>
      <c r="M159" s="2187" t="s">
        <v>9098</v>
      </c>
      <c r="N159" s="2263"/>
      <c r="O159" s="2565"/>
      <c r="P159" s="1790">
        <v>3</v>
      </c>
      <c r="Q159" s="2187"/>
      <c r="R159" s="2187"/>
      <c r="S159" s="2187"/>
      <c r="T159" s="2261"/>
      <c r="U159" s="2127"/>
      <c r="V159" s="2127"/>
      <c r="W159" s="2127"/>
      <c r="X159" s="2263"/>
      <c r="Y159" s="2263"/>
      <c r="Z159" s="2263"/>
    </row>
    <row r="160" spans="1:26" s="1548" customFormat="1" ht="58.5" customHeight="1">
      <c r="A160" s="3744"/>
      <c r="B160" s="1900" t="str">
        <f t="shared" si="5"/>
        <v>2200002090</v>
      </c>
      <c r="C160" s="1545" t="s">
        <v>5664</v>
      </c>
      <c r="D160" s="2613"/>
      <c r="E160" s="1543"/>
      <c r="F160" s="1545" t="s">
        <v>61</v>
      </c>
      <c r="G160" s="1543"/>
      <c r="H160" s="1543"/>
      <c r="I160" s="1769" t="s">
        <v>19</v>
      </c>
      <c r="J160" s="1493" t="s">
        <v>959</v>
      </c>
      <c r="K160" s="1936" t="s">
        <v>9099</v>
      </c>
      <c r="L160" s="2543">
        <v>310</v>
      </c>
      <c r="M160" s="2187" t="s">
        <v>9098</v>
      </c>
      <c r="N160" s="2263"/>
      <c r="O160" s="2565"/>
      <c r="P160" s="1852">
        <v>3</v>
      </c>
      <c r="Q160" s="2187"/>
      <c r="R160" s="2187"/>
      <c r="S160" s="2187"/>
      <c r="T160" s="2261"/>
      <c r="U160" s="2127"/>
      <c r="V160" s="2127"/>
      <c r="W160" s="2127"/>
      <c r="X160" s="2263"/>
      <c r="Y160" s="2263"/>
      <c r="Z160" s="2263"/>
    </row>
    <row r="161" spans="1:26" s="1548" customFormat="1" ht="58.5" customHeight="1">
      <c r="A161" s="3744"/>
      <c r="B161" s="1900" t="str">
        <f t="shared" si="5"/>
        <v>2200002086</v>
      </c>
      <c r="C161" s="1545" t="s">
        <v>5664</v>
      </c>
      <c r="D161" s="2613"/>
      <c r="E161" s="1543"/>
      <c r="F161" s="1545" t="s">
        <v>61</v>
      </c>
      <c r="G161" s="1543"/>
      <c r="H161" s="1543"/>
      <c r="I161" s="1769" t="s">
        <v>19</v>
      </c>
      <c r="J161" s="1493" t="s">
        <v>959</v>
      </c>
      <c r="K161" s="1936" t="s">
        <v>8493</v>
      </c>
      <c r="L161" s="2543">
        <v>350</v>
      </c>
      <c r="M161" s="2196" t="s">
        <v>8451</v>
      </c>
      <c r="N161" s="2263"/>
      <c r="O161" s="2565"/>
      <c r="P161" s="1852">
        <v>3</v>
      </c>
      <c r="Q161" s="2187"/>
      <c r="R161" s="2187"/>
      <c r="S161" s="2187"/>
      <c r="T161" s="2261"/>
      <c r="U161" s="2127"/>
      <c r="V161" s="2127"/>
      <c r="W161" s="2127"/>
      <c r="X161" s="2263"/>
      <c r="Y161" s="2263"/>
      <c r="Z161" s="2263"/>
    </row>
    <row r="162" spans="1:26" s="2150" customFormat="1" ht="67.5" customHeight="1">
      <c r="A162" s="3749">
        <v>39</v>
      </c>
      <c r="B162" s="1543" t="str">
        <f t="shared" si="5"/>
        <v>2400001226</v>
      </c>
      <c r="C162" s="1902" t="s">
        <v>9100</v>
      </c>
      <c r="D162" s="2607">
        <f>SUM(L162:L164)</f>
        <v>2796</v>
      </c>
      <c r="E162" s="1921" t="s">
        <v>9101</v>
      </c>
      <c r="F162" s="1902" t="s">
        <v>5184</v>
      </c>
      <c r="G162" s="1921" t="s">
        <v>9102</v>
      </c>
      <c r="H162" s="1921"/>
      <c r="I162" s="1921" t="s">
        <v>19</v>
      </c>
      <c r="J162" s="1921" t="s">
        <v>9103</v>
      </c>
      <c r="K162" s="1911" t="s">
        <v>9104</v>
      </c>
      <c r="L162" s="2583">
        <v>2000</v>
      </c>
      <c r="M162" s="2196" t="s">
        <v>9029</v>
      </c>
      <c r="N162" s="1902"/>
      <c r="O162" s="1775" t="s">
        <v>9105</v>
      </c>
      <c r="P162" s="2429">
        <v>3</v>
      </c>
      <c r="Q162" s="1921"/>
      <c r="R162" s="1921"/>
      <c r="S162" s="1921"/>
      <c r="T162" s="1909"/>
      <c r="X162" s="1902"/>
      <c r="Y162" s="1902"/>
      <c r="Z162" s="1902"/>
    </row>
    <row r="163" spans="1:26" s="2150" customFormat="1" ht="67.5" customHeight="1">
      <c r="A163" s="3751"/>
      <c r="B163" s="1543" t="str">
        <f t="shared" si="5"/>
        <v>2400001236</v>
      </c>
      <c r="C163" s="1493" t="s">
        <v>9100</v>
      </c>
      <c r="D163" s="1494"/>
      <c r="E163" s="1495"/>
      <c r="F163" s="1493" t="s">
        <v>5184</v>
      </c>
      <c r="G163" s="1495"/>
      <c r="H163" s="1495"/>
      <c r="I163" s="1495" t="s">
        <v>19</v>
      </c>
      <c r="J163" s="1495" t="s">
        <v>9103</v>
      </c>
      <c r="K163" s="1547" t="s">
        <v>9106</v>
      </c>
      <c r="L163" s="2357">
        <v>700</v>
      </c>
      <c r="M163" s="2826" t="s">
        <v>5961</v>
      </c>
      <c r="N163" s="1493"/>
      <c r="O163" s="1775" t="s">
        <v>9105</v>
      </c>
      <c r="P163" s="1790">
        <v>3</v>
      </c>
      <c r="Q163" s="1495"/>
      <c r="R163" s="1495"/>
      <c r="S163" s="1495"/>
      <c r="T163" s="1909"/>
      <c r="U163" s="1548"/>
      <c r="V163" s="1548"/>
      <c r="W163" s="1548"/>
      <c r="X163" s="1493"/>
      <c r="Y163" s="1493"/>
      <c r="Z163" s="1493"/>
    </row>
    <row r="164" spans="1:26" s="2150" customFormat="1" ht="67.5" customHeight="1">
      <c r="A164" s="3751"/>
      <c r="B164" s="2051" t="str">
        <f t="shared" si="5"/>
        <v>2400001238</v>
      </c>
      <c r="C164" s="1493" t="s">
        <v>9100</v>
      </c>
      <c r="D164" s="1494"/>
      <c r="E164" s="1495"/>
      <c r="F164" s="1493" t="s">
        <v>5184</v>
      </c>
      <c r="G164" s="1495"/>
      <c r="H164" s="1495"/>
      <c r="I164" s="1495" t="s">
        <v>19</v>
      </c>
      <c r="J164" s="1495" t="s">
        <v>9103</v>
      </c>
      <c r="K164" s="1547" t="s">
        <v>9107</v>
      </c>
      <c r="L164" s="2357">
        <v>96</v>
      </c>
      <c r="M164" s="2826" t="s">
        <v>5961</v>
      </c>
      <c r="N164" s="1493"/>
      <c r="O164" s="1775" t="s">
        <v>9105</v>
      </c>
      <c r="P164" s="1790">
        <v>3</v>
      </c>
      <c r="Q164" s="1495"/>
      <c r="R164" s="1495"/>
      <c r="S164" s="1495"/>
      <c r="T164" s="1909"/>
      <c r="U164" s="1548"/>
      <c r="V164" s="1548"/>
      <c r="W164" s="1548"/>
      <c r="X164" s="1493"/>
      <c r="Y164" s="1493"/>
      <c r="Z164" s="1493"/>
    </row>
    <row r="165" spans="1:26" s="2150" customFormat="1" ht="67.5" customHeight="1">
      <c r="A165" s="3751"/>
      <c r="B165" s="2051" t="str">
        <f t="shared" si="5"/>
        <v>2400001239</v>
      </c>
      <c r="C165" s="1493" t="s">
        <v>9100</v>
      </c>
      <c r="D165" s="1494"/>
      <c r="E165" s="1495"/>
      <c r="F165" s="1493" t="s">
        <v>5184</v>
      </c>
      <c r="G165" s="1495"/>
      <c r="H165" s="1495"/>
      <c r="I165" s="1495" t="s">
        <v>19</v>
      </c>
      <c r="J165" s="1495" t="s">
        <v>9103</v>
      </c>
      <c r="K165" s="1547" t="s">
        <v>9108</v>
      </c>
      <c r="L165" s="2357"/>
      <c r="M165" s="2826" t="s">
        <v>5961</v>
      </c>
      <c r="N165" s="1493"/>
      <c r="O165" s="1775" t="s">
        <v>9105</v>
      </c>
      <c r="P165" s="1790">
        <v>3</v>
      </c>
      <c r="Q165" s="1495"/>
      <c r="R165" s="1495"/>
      <c r="S165" s="1495"/>
      <c r="T165" s="1909"/>
      <c r="U165" s="1548"/>
      <c r="V165" s="1548"/>
      <c r="W165" s="1548"/>
      <c r="X165" s="1493"/>
      <c r="Y165" s="1493"/>
      <c r="Z165" s="1493"/>
    </row>
    <row r="166" spans="1:26" s="2150" customFormat="1" ht="67.5" customHeight="1">
      <c r="A166" s="3751"/>
      <c r="B166" s="1543" t="str">
        <f t="shared" si="5"/>
        <v>2400001232</v>
      </c>
      <c r="C166" s="1493" t="s">
        <v>9100</v>
      </c>
      <c r="D166" s="1494">
        <f>SUM(L166:L169)</f>
        <v>4070</v>
      </c>
      <c r="E166" s="1495" t="s">
        <v>9101</v>
      </c>
      <c r="F166" s="1493" t="s">
        <v>5184</v>
      </c>
      <c r="G166" s="1495"/>
      <c r="H166" s="1495"/>
      <c r="I166" s="1495" t="s">
        <v>19</v>
      </c>
      <c r="J166" s="1495" t="s">
        <v>9109</v>
      </c>
      <c r="K166" s="1547" t="s">
        <v>9110</v>
      </c>
      <c r="L166" s="2357">
        <v>1885</v>
      </c>
      <c r="M166" s="2826" t="s">
        <v>5961</v>
      </c>
      <c r="N166" s="1493"/>
      <c r="O166" s="1859" t="s">
        <v>9111</v>
      </c>
      <c r="P166" s="1790">
        <v>3</v>
      </c>
      <c r="Q166" s="1495"/>
      <c r="R166" s="1495"/>
      <c r="S166" s="1495"/>
      <c r="T166" s="1909"/>
      <c r="U166" s="1548"/>
      <c r="V166" s="1548"/>
      <c r="W166" s="1548"/>
      <c r="X166" s="1493"/>
      <c r="Y166" s="1493"/>
      <c r="Z166" s="1493"/>
    </row>
    <row r="167" spans="1:26" s="2150" customFormat="1" ht="67.5" customHeight="1">
      <c r="A167" s="3751"/>
      <c r="B167" s="2051" t="str">
        <f t="shared" si="5"/>
        <v>2400001233</v>
      </c>
      <c r="C167" s="1493" t="s">
        <v>9100</v>
      </c>
      <c r="D167" s="1494"/>
      <c r="E167" s="1495"/>
      <c r="F167" s="1493" t="s">
        <v>5184</v>
      </c>
      <c r="G167" s="1495"/>
      <c r="H167" s="1495"/>
      <c r="I167" s="1495" t="s">
        <v>19</v>
      </c>
      <c r="J167" s="1495" t="s">
        <v>9109</v>
      </c>
      <c r="K167" s="1547" t="s">
        <v>9112</v>
      </c>
      <c r="L167" s="2357">
        <v>850</v>
      </c>
      <c r="M167" s="2826" t="s">
        <v>5961</v>
      </c>
      <c r="N167" s="1493"/>
      <c r="O167" s="1859" t="s">
        <v>9111</v>
      </c>
      <c r="P167" s="1790">
        <v>3</v>
      </c>
      <c r="Q167" s="1495"/>
      <c r="R167" s="1495"/>
      <c r="S167" s="1495"/>
      <c r="T167" s="1909"/>
      <c r="U167" s="1548"/>
      <c r="V167" s="1548"/>
      <c r="W167" s="1548"/>
      <c r="X167" s="1493"/>
      <c r="Y167" s="1493"/>
      <c r="Z167" s="1493"/>
    </row>
    <row r="168" spans="1:26" s="2150" customFormat="1" ht="67.5" customHeight="1">
      <c r="A168" s="3751"/>
      <c r="B168" s="2051" t="str">
        <f t="shared" si="5"/>
        <v>2400001234</v>
      </c>
      <c r="C168" s="1493" t="s">
        <v>9100</v>
      </c>
      <c r="D168" s="1494"/>
      <c r="E168" s="1495"/>
      <c r="F168" s="1493" t="s">
        <v>5184</v>
      </c>
      <c r="G168" s="1495"/>
      <c r="H168" s="1495"/>
      <c r="I168" s="1495" t="s">
        <v>19</v>
      </c>
      <c r="J168" s="1495" t="s">
        <v>9109</v>
      </c>
      <c r="K168" s="1547" t="s">
        <v>9113</v>
      </c>
      <c r="L168" s="2357">
        <v>1005</v>
      </c>
      <c r="M168" s="2826" t="s">
        <v>5961</v>
      </c>
      <c r="N168" s="1493"/>
      <c r="O168" s="1859" t="s">
        <v>9111</v>
      </c>
      <c r="P168" s="1790">
        <v>3</v>
      </c>
      <c r="Q168" s="1495"/>
      <c r="R168" s="1495"/>
      <c r="S168" s="1495"/>
      <c r="T168" s="1909"/>
      <c r="U168" s="1548"/>
      <c r="V168" s="1548"/>
      <c r="W168" s="1548"/>
      <c r="X168" s="1493"/>
      <c r="Y168" s="1493"/>
      <c r="Z168" s="1493"/>
    </row>
    <row r="169" spans="1:26" s="2150" customFormat="1" ht="67.5" customHeight="1">
      <c r="A169" s="3750"/>
      <c r="B169" s="1543" t="str">
        <f t="shared" si="5"/>
        <v>2400001235</v>
      </c>
      <c r="C169" s="1493" t="s">
        <v>9100</v>
      </c>
      <c r="D169" s="1494"/>
      <c r="E169" s="1495"/>
      <c r="F169" s="1493" t="s">
        <v>5184</v>
      </c>
      <c r="G169" s="1495"/>
      <c r="H169" s="1495"/>
      <c r="I169" s="1495" t="s">
        <v>19</v>
      </c>
      <c r="J169" s="1543" t="s">
        <v>9109</v>
      </c>
      <c r="K169" s="1547" t="s">
        <v>9114</v>
      </c>
      <c r="L169" s="2357">
        <v>330</v>
      </c>
      <c r="M169" s="2826" t="s">
        <v>5961</v>
      </c>
      <c r="N169" s="1493"/>
      <c r="O169" s="1859" t="s">
        <v>9111</v>
      </c>
      <c r="P169" s="1790">
        <v>3</v>
      </c>
      <c r="Q169" s="1495"/>
      <c r="R169" s="1495"/>
      <c r="S169" s="1495"/>
      <c r="T169" s="1909"/>
      <c r="U169" s="1548"/>
      <c r="V169" s="1548"/>
      <c r="W169" s="1548"/>
      <c r="X169" s="1493"/>
      <c r="Y169" s="1493"/>
      <c r="Z169" s="1493"/>
    </row>
    <row r="170" spans="1:26" s="2150" customFormat="1" ht="58.5" customHeight="1">
      <c r="A170" s="3749">
        <v>40</v>
      </c>
      <c r="B170" s="2419" t="str">
        <f t="shared" si="5"/>
        <v>2200002087</v>
      </c>
      <c r="C170" s="2263" t="s">
        <v>71</v>
      </c>
      <c r="D170" s="2456">
        <v>3720</v>
      </c>
      <c r="E170" s="2187" t="s">
        <v>9115</v>
      </c>
      <c r="F170" s="2263" t="s">
        <v>84</v>
      </c>
      <c r="G170" s="2187" t="s">
        <v>9116</v>
      </c>
      <c r="H170" s="2187"/>
      <c r="I170" s="2824" t="s">
        <v>19</v>
      </c>
      <c r="J170" s="1902" t="s">
        <v>959</v>
      </c>
      <c r="K170" s="2825" t="s">
        <v>9117</v>
      </c>
      <c r="L170" s="2564">
        <v>2280</v>
      </c>
      <c r="M170" s="2196" t="s">
        <v>8451</v>
      </c>
      <c r="N170" s="2263"/>
      <c r="O170" s="2565"/>
      <c r="P170" s="1790">
        <v>3</v>
      </c>
      <c r="Q170" s="2187"/>
      <c r="R170" s="2187"/>
      <c r="S170" s="2187"/>
      <c r="T170" s="2261"/>
      <c r="U170" s="2127"/>
      <c r="V170" s="2127"/>
      <c r="W170" s="2127"/>
      <c r="X170" s="2263"/>
      <c r="Y170" s="2263"/>
      <c r="Z170" s="2263"/>
    </row>
    <row r="171" spans="1:26" s="2150" customFormat="1" ht="58.5" customHeight="1">
      <c r="A171" s="3751"/>
      <c r="B171" s="1900" t="str">
        <f t="shared" si="5"/>
        <v>2200002088</v>
      </c>
      <c r="C171" s="1545" t="s">
        <v>71</v>
      </c>
      <c r="D171" s="2613"/>
      <c r="E171" s="1543"/>
      <c r="F171" s="1545" t="s">
        <v>84</v>
      </c>
      <c r="G171" s="1543"/>
      <c r="H171" s="1543"/>
      <c r="I171" s="1493" t="s">
        <v>19</v>
      </c>
      <c r="J171" s="1902" t="s">
        <v>959</v>
      </c>
      <c r="K171" s="1936" t="s">
        <v>9118</v>
      </c>
      <c r="L171" s="2543">
        <v>1516</v>
      </c>
      <c r="M171" s="2187" t="s">
        <v>9098</v>
      </c>
      <c r="N171" s="2263"/>
      <c r="O171" s="2565"/>
      <c r="P171" s="1790">
        <v>3</v>
      </c>
      <c r="Q171" s="2187"/>
      <c r="R171" s="2187"/>
      <c r="S171" s="2187"/>
      <c r="T171" s="2261"/>
      <c r="U171" s="2127"/>
      <c r="V171" s="2127"/>
      <c r="W171" s="2127"/>
      <c r="X171" s="2263"/>
      <c r="Y171" s="2263"/>
      <c r="Z171" s="2263"/>
    </row>
    <row r="172" spans="1:26" s="2150" customFormat="1" ht="58.5" customHeight="1">
      <c r="A172" s="3744">
        <v>41</v>
      </c>
      <c r="B172" s="2419" t="str">
        <f t="shared" si="5"/>
        <v>2000003113</v>
      </c>
      <c r="C172" s="1902" t="s">
        <v>206</v>
      </c>
      <c r="D172" s="2607">
        <v>4200</v>
      </c>
      <c r="E172" s="1921" t="s">
        <v>9119</v>
      </c>
      <c r="F172" s="1902" t="s">
        <v>16</v>
      </c>
      <c r="G172" s="1921" t="s">
        <v>9120</v>
      </c>
      <c r="H172" s="1921"/>
      <c r="I172" s="1902" t="s">
        <v>19</v>
      </c>
      <c r="J172" s="1921" t="s">
        <v>199</v>
      </c>
      <c r="K172" s="1911" t="s">
        <v>9121</v>
      </c>
      <c r="L172" s="2583">
        <v>3550</v>
      </c>
      <c r="M172" s="2196" t="s">
        <v>5945</v>
      </c>
      <c r="N172" s="1902"/>
      <c r="O172" s="1775"/>
      <c r="P172" s="1902">
        <v>3</v>
      </c>
      <c r="Q172" s="1921"/>
      <c r="R172" s="1921"/>
      <c r="S172" s="1921"/>
      <c r="T172" s="1909"/>
      <c r="X172" s="1902"/>
      <c r="Y172" s="1902"/>
      <c r="Z172" s="1902"/>
    </row>
    <row r="173" spans="1:26" s="2150" customFormat="1" ht="58.5" customHeight="1">
      <c r="A173" s="3744"/>
      <c r="B173" s="1900" t="str">
        <f t="shared" si="5"/>
        <v>2000003123</v>
      </c>
      <c r="C173" s="1493" t="s">
        <v>206</v>
      </c>
      <c r="D173" s="1494"/>
      <c r="E173" s="1495" t="s">
        <v>125</v>
      </c>
      <c r="F173" s="1493" t="s">
        <v>16</v>
      </c>
      <c r="G173" s="1495"/>
      <c r="H173" s="1495"/>
      <c r="I173" s="1493" t="s">
        <v>19</v>
      </c>
      <c r="J173" s="1495" t="s">
        <v>74</v>
      </c>
      <c r="K173" s="1600" t="s">
        <v>9122</v>
      </c>
      <c r="L173" s="2357">
        <v>700</v>
      </c>
      <c r="M173" s="1493" t="s">
        <v>5961</v>
      </c>
      <c r="N173" s="1493"/>
      <c r="O173" s="1859"/>
      <c r="P173" s="1790">
        <v>3</v>
      </c>
      <c r="Q173" s="1495"/>
      <c r="R173" s="1495"/>
      <c r="S173" s="1495"/>
      <c r="T173" s="1909"/>
      <c r="U173" s="1548"/>
      <c r="V173" s="1548"/>
      <c r="W173" s="1548"/>
      <c r="X173" s="1493"/>
      <c r="Y173" s="1493"/>
      <c r="Z173" s="1493"/>
    </row>
    <row r="174" spans="1:26" s="2150" customFormat="1" ht="71.25" customHeight="1">
      <c r="A174" s="3750">
        <v>42</v>
      </c>
      <c r="B174" s="2419" t="str">
        <f t="shared" si="5"/>
        <v>2000003117</v>
      </c>
      <c r="C174" s="1902" t="s">
        <v>5706</v>
      </c>
      <c r="D174" s="2607">
        <v>3250</v>
      </c>
      <c r="E174" s="1921" t="s">
        <v>9123</v>
      </c>
      <c r="F174" s="1902" t="s">
        <v>84</v>
      </c>
      <c r="G174" s="1909" t="s">
        <v>9124</v>
      </c>
      <c r="H174" s="1921"/>
      <c r="I174" s="1902" t="s">
        <v>19</v>
      </c>
      <c r="J174" s="1902" t="s">
        <v>74</v>
      </c>
      <c r="K174" s="1916" t="s">
        <v>9125</v>
      </c>
      <c r="L174" s="2179">
        <v>2950</v>
      </c>
      <c r="M174" s="1921" t="s">
        <v>9126</v>
      </c>
      <c r="N174" s="1902" t="s">
        <v>9127</v>
      </c>
      <c r="O174" s="1775"/>
      <c r="P174" s="2429">
        <v>3</v>
      </c>
      <c r="Q174" s="1921"/>
      <c r="R174" s="1921"/>
      <c r="S174" s="1921"/>
      <c r="T174" s="1909"/>
      <c r="X174" s="1902"/>
      <c r="Y174" s="1902"/>
      <c r="Z174" s="1902"/>
    </row>
    <row r="175" spans="1:26" s="2150" customFormat="1" ht="71.25" customHeight="1">
      <c r="A175" s="3744"/>
      <c r="B175" s="1900" t="str">
        <f t="shared" si="5"/>
        <v>2200002079</v>
      </c>
      <c r="C175" s="1493" t="s">
        <v>5706</v>
      </c>
      <c r="D175" s="1494"/>
      <c r="E175" s="1495"/>
      <c r="F175" s="1493" t="s">
        <v>84</v>
      </c>
      <c r="G175" s="1909"/>
      <c r="H175" s="1921"/>
      <c r="I175" s="1493" t="s">
        <v>19</v>
      </c>
      <c r="J175" s="1495" t="s">
        <v>101</v>
      </c>
      <c r="K175" s="1770" t="s">
        <v>9128</v>
      </c>
      <c r="L175" s="2183">
        <v>300</v>
      </c>
      <c r="M175" s="1921" t="s">
        <v>9129</v>
      </c>
      <c r="N175" s="1902"/>
      <c r="O175" s="1775"/>
      <c r="P175" s="2429"/>
      <c r="Q175" s="1921"/>
      <c r="R175" s="1921"/>
      <c r="S175" s="1921"/>
      <c r="T175" s="1909"/>
      <c r="X175" s="1902"/>
      <c r="Y175" s="1902"/>
      <c r="Z175" s="1902"/>
    </row>
    <row r="176" spans="1:26" s="2167" customFormat="1" ht="69.75" customHeight="1">
      <c r="A176" s="3841"/>
      <c r="B176" s="111" t="str">
        <f t="shared" si="5"/>
        <v>2400001259</v>
      </c>
      <c r="C176" s="102"/>
      <c r="D176" s="2827"/>
      <c r="E176" s="1216"/>
      <c r="F176" s="102" t="s">
        <v>84</v>
      </c>
      <c r="G176" s="3838" t="s">
        <v>9130</v>
      </c>
      <c r="H176" s="109" t="s">
        <v>9131</v>
      </c>
      <c r="I176" s="109" t="s">
        <v>19</v>
      </c>
      <c r="J176" s="1853" t="s">
        <v>9132</v>
      </c>
      <c r="K176" s="143" t="s">
        <v>9133</v>
      </c>
      <c r="L176" s="2828">
        <v>150</v>
      </c>
      <c r="M176" s="1772" t="s">
        <v>9134</v>
      </c>
      <c r="N176" s="2542"/>
      <c r="O176" s="1216" t="s">
        <v>9135</v>
      </c>
      <c r="P176" s="1853">
        <v>3</v>
      </c>
      <c r="Q176" s="1216"/>
      <c r="R176" s="1216"/>
      <c r="S176" s="1216"/>
      <c r="T176" s="1216"/>
      <c r="U176" s="2783"/>
      <c r="V176" s="2783"/>
      <c r="W176" s="2783"/>
      <c r="X176" s="2542"/>
      <c r="Y176" s="2542"/>
      <c r="Z176" s="2542"/>
    </row>
    <row r="177" spans="1:26" s="2167" customFormat="1" ht="69.75" customHeight="1">
      <c r="A177" s="3841"/>
      <c r="B177" s="2013" t="str">
        <f t="shared" si="5"/>
        <v>2400001211</v>
      </c>
      <c r="C177" s="102"/>
      <c r="D177" s="2827"/>
      <c r="E177" s="1216"/>
      <c r="F177" s="102" t="s">
        <v>84</v>
      </c>
      <c r="G177" s="3839"/>
      <c r="H177" s="109" t="s">
        <v>9131</v>
      </c>
      <c r="I177" s="109" t="s">
        <v>19</v>
      </c>
      <c r="J177" s="1853" t="s">
        <v>9132</v>
      </c>
      <c r="K177" s="143" t="s">
        <v>9136</v>
      </c>
      <c r="L177" s="2828">
        <v>75</v>
      </c>
      <c r="M177" s="1772" t="s">
        <v>9134</v>
      </c>
      <c r="N177" s="2542"/>
      <c r="O177" s="1216"/>
      <c r="P177" s="1853">
        <v>3</v>
      </c>
      <c r="Q177" s="1216"/>
      <c r="R177" s="1216"/>
      <c r="S177" s="1216"/>
      <c r="T177" s="1216"/>
      <c r="U177" s="2783"/>
      <c r="V177" s="2783"/>
      <c r="W177" s="2783"/>
      <c r="X177" s="2542"/>
      <c r="Y177" s="2542"/>
      <c r="Z177" s="2542"/>
    </row>
    <row r="178" spans="1:26" s="2167" customFormat="1" ht="69.75" customHeight="1">
      <c r="A178" s="3842"/>
      <c r="B178" s="2013" t="str">
        <f t="shared" si="5"/>
        <v>2400001240</v>
      </c>
      <c r="C178" s="102"/>
      <c r="D178" s="2827"/>
      <c r="E178" s="1216"/>
      <c r="F178" s="102" t="s">
        <v>84</v>
      </c>
      <c r="G178" s="3840"/>
      <c r="H178" s="109" t="s">
        <v>9131</v>
      </c>
      <c r="I178" s="109" t="s">
        <v>19</v>
      </c>
      <c r="J178" s="1853" t="s">
        <v>9132</v>
      </c>
      <c r="K178" s="143" t="s">
        <v>9137</v>
      </c>
      <c r="L178" s="2828">
        <v>125</v>
      </c>
      <c r="M178" s="1772" t="s">
        <v>9134</v>
      </c>
      <c r="N178" s="2542"/>
      <c r="O178" s="1216"/>
      <c r="P178" s="1853">
        <v>3</v>
      </c>
      <c r="Q178" s="1216"/>
      <c r="R178" s="1216"/>
      <c r="S178" s="1216"/>
      <c r="T178" s="1216"/>
      <c r="U178" s="2783"/>
      <c r="V178" s="2783"/>
      <c r="W178" s="2783"/>
      <c r="X178" s="2542"/>
      <c r="Y178" s="2542"/>
      <c r="Z178" s="2542"/>
    </row>
    <row r="179" spans="1:26" s="1777" customFormat="1" ht="58.5" customHeight="1">
      <c r="A179" s="2816"/>
      <c r="B179" s="2742" t="str">
        <f t="shared" ref="B179:B181" si="6">TEXT(LEFT(K179,10),"0000000000")</f>
        <v>2000003020</v>
      </c>
      <c r="C179" s="2771" t="s">
        <v>2468</v>
      </c>
      <c r="D179" s="2772">
        <v>200</v>
      </c>
      <c r="E179" s="2742"/>
      <c r="F179" s="2771" t="s">
        <v>89</v>
      </c>
      <c r="G179" s="2742"/>
      <c r="H179" s="2742"/>
      <c r="I179" s="2742" t="s">
        <v>19</v>
      </c>
      <c r="J179" s="2815" t="s">
        <v>1612</v>
      </c>
      <c r="K179" s="2773" t="s">
        <v>6251</v>
      </c>
      <c r="L179" s="2774">
        <v>200</v>
      </c>
      <c r="M179" s="2763" t="s">
        <v>5961</v>
      </c>
      <c r="N179" s="2771"/>
      <c r="O179" s="2775"/>
      <c r="P179" s="2763">
        <v>2</v>
      </c>
      <c r="Q179" s="2742"/>
      <c r="R179" s="2742"/>
      <c r="S179" s="2742"/>
      <c r="T179" s="2777"/>
      <c r="U179" s="2776"/>
      <c r="V179" s="2776"/>
      <c r="W179" s="2776"/>
      <c r="X179" s="2771"/>
      <c r="Y179" s="2771"/>
      <c r="Z179" s="2771"/>
    </row>
    <row r="180" spans="1:26" s="1777" customFormat="1" ht="58.5" customHeight="1">
      <c r="A180" s="2770"/>
      <c r="B180" s="2742" t="str">
        <f t="shared" si="6"/>
        <v>2000003031</v>
      </c>
      <c r="C180" s="2771" t="s">
        <v>2468</v>
      </c>
      <c r="D180" s="2772">
        <v>750</v>
      </c>
      <c r="E180" s="2742" t="s">
        <v>9138</v>
      </c>
      <c r="F180" s="2771" t="s">
        <v>89</v>
      </c>
      <c r="G180" s="2742"/>
      <c r="H180" s="2742"/>
      <c r="I180" s="2742" t="s">
        <v>19</v>
      </c>
      <c r="J180" s="2742" t="s">
        <v>234</v>
      </c>
      <c r="K180" s="2773" t="s">
        <v>9139</v>
      </c>
      <c r="L180" s="2774">
        <v>750</v>
      </c>
      <c r="M180" s="2787" t="s">
        <v>9140</v>
      </c>
      <c r="N180" s="2771"/>
      <c r="O180" s="2775"/>
      <c r="P180" s="2763">
        <v>2</v>
      </c>
      <c r="Q180" s="2742"/>
      <c r="R180" s="2742"/>
      <c r="S180" s="2742"/>
      <c r="T180" s="2777"/>
      <c r="U180" s="2776"/>
      <c r="V180" s="2776"/>
      <c r="W180" s="2776"/>
      <c r="X180" s="2771"/>
      <c r="Y180" s="2771"/>
      <c r="Z180" s="2771"/>
    </row>
    <row r="181" spans="1:26" s="1777" customFormat="1" ht="58.5" customHeight="1">
      <c r="A181" s="2770"/>
      <c r="B181" s="2742" t="str">
        <f t="shared" si="6"/>
        <v>2000003062</v>
      </c>
      <c r="C181" s="2771" t="s">
        <v>2468</v>
      </c>
      <c r="D181" s="2772">
        <v>750</v>
      </c>
      <c r="E181" s="2742"/>
      <c r="F181" s="2771" t="s">
        <v>89</v>
      </c>
      <c r="G181" s="2742"/>
      <c r="H181" s="2742"/>
      <c r="I181" s="2742" t="s">
        <v>19</v>
      </c>
      <c r="J181" s="2742" t="s">
        <v>234</v>
      </c>
      <c r="K181" s="2773" t="s">
        <v>9141</v>
      </c>
      <c r="L181" s="2774">
        <v>750</v>
      </c>
      <c r="M181" s="2787" t="s">
        <v>5961</v>
      </c>
      <c r="N181" s="2771"/>
      <c r="O181" s="2775"/>
      <c r="P181" s="2763">
        <v>2</v>
      </c>
      <c r="Q181" s="2742"/>
      <c r="R181" s="2742"/>
      <c r="S181" s="2742"/>
      <c r="T181" s="2777"/>
      <c r="U181" s="2776"/>
      <c r="V181" s="2776"/>
      <c r="W181" s="2776"/>
      <c r="X181" s="2771"/>
      <c r="Y181" s="2771"/>
      <c r="Z181" s="2771"/>
    </row>
    <row r="182" spans="1:26" s="1777" customFormat="1" ht="58.5" customHeight="1">
      <c r="A182" s="2770"/>
      <c r="B182" s="2742" t="str">
        <f t="shared" ref="B182:B188" si="7">TEXT(LEFT(K182,10),"0000000000")</f>
        <v>2200002050</v>
      </c>
      <c r="C182" s="2771" t="s">
        <v>2468</v>
      </c>
      <c r="D182" s="2772">
        <v>6670</v>
      </c>
      <c r="E182" s="2742" t="s">
        <v>9142</v>
      </c>
      <c r="F182" s="2771" t="s">
        <v>89</v>
      </c>
      <c r="G182" s="2742"/>
      <c r="H182" s="2742"/>
      <c r="I182" s="2742" t="s">
        <v>19</v>
      </c>
      <c r="J182" s="2742" t="s">
        <v>234</v>
      </c>
      <c r="K182" s="2773" t="s">
        <v>9143</v>
      </c>
      <c r="L182" s="2774">
        <v>6670</v>
      </c>
      <c r="M182" s="2787" t="s">
        <v>9144</v>
      </c>
      <c r="N182" s="2771"/>
      <c r="O182" s="2775"/>
      <c r="P182" s="2763">
        <v>1</v>
      </c>
      <c r="Q182" s="2742"/>
      <c r="R182" s="2742"/>
      <c r="S182" s="2742"/>
      <c r="T182" s="2777"/>
      <c r="U182" s="2776"/>
      <c r="V182" s="2776"/>
      <c r="W182" s="2776"/>
      <c r="X182" s="2771"/>
      <c r="Y182" s="2771"/>
      <c r="Z182" s="2771"/>
    </row>
    <row r="183" spans="1:26" s="1777" customFormat="1" ht="58.5" customHeight="1">
      <c r="A183" s="2770"/>
      <c r="B183" s="2742" t="str">
        <f t="shared" si="7"/>
        <v>2000003020</v>
      </c>
      <c r="C183" s="2771" t="s">
        <v>2468</v>
      </c>
      <c r="D183" s="2772">
        <v>150</v>
      </c>
      <c r="E183" s="2742" t="s">
        <v>9145</v>
      </c>
      <c r="F183" s="2771" t="s">
        <v>89</v>
      </c>
      <c r="G183" s="2742"/>
      <c r="H183" s="2742"/>
      <c r="I183" s="2742" t="s">
        <v>19</v>
      </c>
      <c r="J183" s="2742" t="s">
        <v>1612</v>
      </c>
      <c r="K183" s="2773" t="s">
        <v>9146</v>
      </c>
      <c r="L183" s="2774">
        <v>150</v>
      </c>
      <c r="M183" s="2787" t="s">
        <v>9147</v>
      </c>
      <c r="N183" s="2771"/>
      <c r="O183" s="2775"/>
      <c r="P183" s="2763">
        <v>2</v>
      </c>
      <c r="Q183" s="2742"/>
      <c r="R183" s="2742"/>
      <c r="S183" s="2742"/>
      <c r="T183" s="2777"/>
      <c r="U183" s="2776"/>
      <c r="V183" s="2776"/>
      <c r="W183" s="2776"/>
      <c r="X183" s="2771"/>
      <c r="Y183" s="2771"/>
      <c r="Z183" s="2771"/>
    </row>
    <row r="184" spans="1:26" s="2740" customFormat="1" ht="58.5" customHeight="1">
      <c r="A184" s="2732"/>
      <c r="B184" s="2742" t="str">
        <f t="shared" si="7"/>
        <v>2200002013</v>
      </c>
      <c r="C184" s="2733" t="s">
        <v>2468</v>
      </c>
      <c r="D184" s="2734">
        <v>1350</v>
      </c>
      <c r="E184" s="2735" t="s">
        <v>9148</v>
      </c>
      <c r="F184" s="2771" t="s">
        <v>89</v>
      </c>
      <c r="G184" s="2735"/>
      <c r="H184" s="2735"/>
      <c r="I184" s="2733" t="s">
        <v>19</v>
      </c>
      <c r="J184" s="2735" t="s">
        <v>234</v>
      </c>
      <c r="K184" s="2736" t="s">
        <v>6244</v>
      </c>
      <c r="L184" s="2737">
        <v>1350</v>
      </c>
      <c r="M184" s="2735" t="s">
        <v>9149</v>
      </c>
      <c r="N184" s="2733"/>
      <c r="O184" s="2738"/>
      <c r="P184" s="2739">
        <v>2</v>
      </c>
      <c r="Q184" s="2735"/>
      <c r="R184" s="2735"/>
      <c r="S184" s="2735"/>
      <c r="T184" s="2741"/>
      <c r="X184" s="2733"/>
      <c r="Y184" s="2733"/>
      <c r="Z184" s="2733"/>
    </row>
    <row r="185" spans="1:26" s="2740" customFormat="1" ht="58.5" customHeight="1">
      <c r="A185" s="2732"/>
      <c r="B185" s="2742" t="str">
        <f t="shared" si="7"/>
        <v>2200002061</v>
      </c>
      <c r="C185" s="2733" t="s">
        <v>2468</v>
      </c>
      <c r="D185" s="2734">
        <v>3179</v>
      </c>
      <c r="E185" s="2735" t="s">
        <v>9150</v>
      </c>
      <c r="F185" s="2771" t="s">
        <v>89</v>
      </c>
      <c r="G185" s="2735"/>
      <c r="H185" s="2735"/>
      <c r="I185" s="2733" t="s">
        <v>19</v>
      </c>
      <c r="J185" s="2735" t="s">
        <v>234</v>
      </c>
      <c r="K185" s="2736" t="s">
        <v>9151</v>
      </c>
      <c r="L185" s="2737">
        <v>3179</v>
      </c>
      <c r="M185" s="2733" t="s">
        <v>5961</v>
      </c>
      <c r="N185" s="2733"/>
      <c r="O185" s="2738"/>
      <c r="P185" s="2739">
        <v>2</v>
      </c>
      <c r="Q185" s="2735"/>
      <c r="R185" s="2735"/>
      <c r="S185" s="2735"/>
      <c r="T185" s="2741"/>
      <c r="X185" s="2733"/>
      <c r="Y185" s="2733"/>
      <c r="Z185" s="2733"/>
    </row>
    <row r="186" spans="1:26" s="2740" customFormat="1" ht="58.5" customHeight="1">
      <c r="A186" s="2732"/>
      <c r="B186" s="2742" t="str">
        <f t="shared" si="7"/>
        <v>2000003072</v>
      </c>
      <c r="C186" s="2733" t="s">
        <v>2468</v>
      </c>
      <c r="D186" s="2734">
        <v>300</v>
      </c>
      <c r="E186" s="2735"/>
      <c r="F186" s="2771" t="s">
        <v>89</v>
      </c>
      <c r="G186" s="2735"/>
      <c r="H186" s="2735"/>
      <c r="I186" s="2735" t="s">
        <v>19</v>
      </c>
      <c r="J186" s="2735" t="s">
        <v>234</v>
      </c>
      <c r="K186" s="2736" t="s">
        <v>9152</v>
      </c>
      <c r="L186" s="2737">
        <v>300</v>
      </c>
      <c r="M186" s="2739" t="s">
        <v>9153</v>
      </c>
      <c r="N186" s="2733"/>
      <c r="O186" s="2738"/>
      <c r="P186" s="2739">
        <v>3</v>
      </c>
      <c r="Q186" s="2735"/>
      <c r="R186" s="2735"/>
      <c r="S186" s="2735"/>
      <c r="T186" s="2741"/>
      <c r="X186" s="2733"/>
      <c r="Y186" s="2733"/>
      <c r="Z186" s="2733"/>
    </row>
    <row r="187" spans="1:26" s="2740" customFormat="1" ht="58.5" customHeight="1">
      <c r="A187" s="2732"/>
      <c r="B187" s="2742" t="str">
        <f t="shared" si="7"/>
        <v>2200002068</v>
      </c>
      <c r="C187" s="2733" t="s">
        <v>2468</v>
      </c>
      <c r="D187" s="2734">
        <v>2322</v>
      </c>
      <c r="E187" s="2735" t="s">
        <v>9154</v>
      </c>
      <c r="F187" s="2771" t="s">
        <v>89</v>
      </c>
      <c r="G187" s="2735"/>
      <c r="H187" s="2735"/>
      <c r="I187" s="2735" t="s">
        <v>19</v>
      </c>
      <c r="J187" s="2735" t="s">
        <v>234</v>
      </c>
      <c r="K187" s="2736" t="s">
        <v>9155</v>
      </c>
      <c r="L187" s="2737">
        <v>2322</v>
      </c>
      <c r="M187" s="2739" t="s">
        <v>9156</v>
      </c>
      <c r="N187" s="2733"/>
      <c r="O187" s="2738"/>
      <c r="P187" s="2739">
        <v>3</v>
      </c>
      <c r="Q187" s="2735"/>
      <c r="R187" s="2735"/>
      <c r="S187" s="2735"/>
      <c r="T187" s="2741"/>
      <c r="X187" s="2733"/>
      <c r="Y187" s="2733"/>
      <c r="Z187" s="2733"/>
    </row>
    <row r="188" spans="1:26" s="2776" customFormat="1" ht="58.5" customHeight="1">
      <c r="A188" s="2770"/>
      <c r="B188" s="2742" t="str">
        <f t="shared" si="7"/>
        <v>2200002071</v>
      </c>
      <c r="C188" s="2771" t="s">
        <v>2468</v>
      </c>
      <c r="D188" s="2772">
        <v>3043</v>
      </c>
      <c r="E188" s="2742" t="s">
        <v>9157</v>
      </c>
      <c r="F188" s="2771" t="s">
        <v>89</v>
      </c>
      <c r="G188" s="2742"/>
      <c r="H188" s="2742"/>
      <c r="I188" s="2742" t="s">
        <v>19</v>
      </c>
      <c r="J188" s="2742" t="s">
        <v>234</v>
      </c>
      <c r="K188" s="2773" t="s">
        <v>9158</v>
      </c>
      <c r="L188" s="2774">
        <v>3043</v>
      </c>
      <c r="M188" s="2819" t="s">
        <v>8451</v>
      </c>
      <c r="N188" s="2771"/>
      <c r="O188" s="2775"/>
      <c r="P188" s="2763">
        <v>3</v>
      </c>
      <c r="Q188" s="2742"/>
      <c r="R188" s="2742"/>
      <c r="S188" s="2742"/>
      <c r="T188" s="2777"/>
      <c r="X188" s="2771"/>
      <c r="Y188" s="2771"/>
      <c r="Z188" s="2771"/>
    </row>
    <row r="189" spans="1:26" s="2740" customFormat="1" ht="58.5" customHeight="1">
      <c r="A189" s="2733"/>
      <c r="B189" s="2733" t="str">
        <f>TEXT(LEFT(K189,10),"0000000000")</f>
        <v>2200002080</v>
      </c>
      <c r="C189" s="2733" t="s">
        <v>2468</v>
      </c>
      <c r="D189" s="2817">
        <v>2045</v>
      </c>
      <c r="E189" s="2733" t="s">
        <v>9159</v>
      </c>
      <c r="F189" s="2733" t="s">
        <v>89</v>
      </c>
      <c r="G189" s="2733"/>
      <c r="H189" s="2733"/>
      <c r="I189" s="2733" t="s">
        <v>19</v>
      </c>
      <c r="J189" s="2733" t="s">
        <v>234</v>
      </c>
      <c r="K189" s="2736" t="s">
        <v>9160</v>
      </c>
      <c r="L189" s="2817">
        <v>2045</v>
      </c>
      <c r="M189" s="2818" t="s">
        <v>9161</v>
      </c>
      <c r="N189" s="2733"/>
      <c r="O189" s="2733"/>
      <c r="P189" s="2733">
        <v>3</v>
      </c>
      <c r="Q189" s="2733"/>
      <c r="R189" s="2733"/>
      <c r="S189" s="2733"/>
      <c r="T189" s="2733"/>
      <c r="U189" s="2733"/>
      <c r="V189" s="2733"/>
      <c r="W189" s="2733"/>
      <c r="X189" s="2733"/>
      <c r="Y189" s="2733"/>
      <c r="Z189" s="2733"/>
    </row>
    <row r="190" spans="1:26" s="2740" customFormat="1" ht="58.5" customHeight="1">
      <c r="A190" s="2733"/>
      <c r="B190" s="2733" t="str">
        <f>TEXT(LEFT(K190,10),"0000000000")</f>
        <v>2000003062</v>
      </c>
      <c r="C190" s="2733" t="s">
        <v>2468</v>
      </c>
      <c r="D190" s="2817">
        <v>400</v>
      </c>
      <c r="E190" s="2733" t="s">
        <v>9162</v>
      </c>
      <c r="F190" s="2733" t="s">
        <v>89</v>
      </c>
      <c r="G190" s="2733"/>
      <c r="H190" s="2733"/>
      <c r="I190" s="2733" t="s">
        <v>19</v>
      </c>
      <c r="J190" s="2733" t="s">
        <v>234</v>
      </c>
      <c r="K190" s="2736" t="s">
        <v>9163</v>
      </c>
      <c r="L190" s="2817">
        <v>400</v>
      </c>
      <c r="M190" s="2818" t="s">
        <v>9164</v>
      </c>
      <c r="N190" s="2733"/>
      <c r="O190" s="2733"/>
      <c r="P190" s="2733">
        <v>3</v>
      </c>
      <c r="Q190" s="2733"/>
      <c r="R190" s="2733"/>
      <c r="S190" s="2733"/>
      <c r="T190" s="2733"/>
      <c r="U190" s="2733"/>
      <c r="V190" s="2733"/>
      <c r="W190" s="2733"/>
      <c r="X190" s="2733"/>
      <c r="Y190" s="2733"/>
      <c r="Z190" s="2733"/>
    </row>
  </sheetData>
  <autoFilter ref="A3:Z3" xr:uid="{D148F025-6338-479A-8AE8-4A61CBECC736}"/>
  <mergeCells count="44">
    <mergeCell ref="G176:G178"/>
    <mergeCell ref="A174:A175"/>
    <mergeCell ref="A154:A157"/>
    <mergeCell ref="A139:A140"/>
    <mergeCell ref="A172:A173"/>
    <mergeCell ref="A170:A171"/>
    <mergeCell ref="A159:A161"/>
    <mergeCell ref="A162:A169"/>
    <mergeCell ref="A176:A178"/>
    <mergeCell ref="A134:A138"/>
    <mergeCell ref="A141:A153"/>
    <mergeCell ref="Q2:T2"/>
    <mergeCell ref="A6:A8"/>
    <mergeCell ref="A13:A15"/>
    <mergeCell ref="A4:A5"/>
    <mergeCell ref="A16:A18"/>
    <mergeCell ref="A9:A11"/>
    <mergeCell ref="A70:A73"/>
    <mergeCell ref="A51:A52"/>
    <mergeCell ref="A74:A78"/>
    <mergeCell ref="A63:A69"/>
    <mergeCell ref="A79:A82"/>
    <mergeCell ref="A53:A62"/>
    <mergeCell ref="A88:A89"/>
    <mergeCell ref="A85:A87"/>
    <mergeCell ref="A1:P1"/>
    <mergeCell ref="A2:C2"/>
    <mergeCell ref="A19:A23"/>
    <mergeCell ref="A43:A47"/>
    <mergeCell ref="A48:A50"/>
    <mergeCell ref="A29:A36"/>
    <mergeCell ref="A37:A42"/>
    <mergeCell ref="A24:A27"/>
    <mergeCell ref="A83:A84"/>
    <mergeCell ref="A90:A93"/>
    <mergeCell ref="A101:A103"/>
    <mergeCell ref="A120:A121"/>
    <mergeCell ref="A94:A95"/>
    <mergeCell ref="A128:A130"/>
    <mergeCell ref="A131:A133"/>
    <mergeCell ref="A104:A119"/>
    <mergeCell ref="A96:A100"/>
    <mergeCell ref="A122:A124"/>
    <mergeCell ref="A125:A127"/>
  </mergeCells>
  <conditionalFormatting sqref="B2:B29 B31:B188">
    <cfRule type="duplicateValues" dxfId="3" priority="1380"/>
  </conditionalFormatting>
  <conditionalFormatting sqref="B3:B29 B31:B188">
    <cfRule type="duplicateValues" dxfId="2" priority="1382"/>
  </conditionalFormatting>
  <conditionalFormatting sqref="B4:B29 B31:B188">
    <cfRule type="duplicateValues" dxfId="1" priority="1384"/>
    <cfRule type="duplicateValues" dxfId="0" priority="1385"/>
  </conditionalFormatting>
  <pageMargins left="0.7" right="0.7" top="0.75" bottom="0.75" header="0.3" footer="0.3"/>
  <pageSetup paperSize="9" scale="40" orientation="landscape"/>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576BB59CD141674C92BD30F0C16A53AE" ma:contentTypeVersion="15" ma:contentTypeDescription="Create a new document." ma:contentTypeScope="" ma:versionID="6bd09459ed2f26844cf7a341d769e35a">
  <xsd:schema xmlns:xsd="http://www.w3.org/2001/XMLSchema" xmlns:xs="http://www.w3.org/2001/XMLSchema" xmlns:p="http://schemas.microsoft.com/office/2006/metadata/properties" xmlns:ns2="5e99cbf3-cdb6-429c-9892-da62a017aa5f" xmlns:ns3="7c9e5038-bec2-448c-89b0-6ee48dc4ea9e" targetNamespace="http://schemas.microsoft.com/office/2006/metadata/properties" ma:root="true" ma:fieldsID="31a615872be41636d60ce848bac8a226" ns2:_="" ns3:_="">
    <xsd:import namespace="5e99cbf3-cdb6-429c-9892-da62a017aa5f"/>
    <xsd:import namespace="7c9e5038-bec2-448c-89b0-6ee48dc4ea9e"/>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AutoTags" minOccurs="0"/>
                <xsd:element ref="ns2:MediaServiceGenerationTime" minOccurs="0"/>
                <xsd:element ref="ns2:MediaServiceEventHashCode" minOccurs="0"/>
                <xsd:element ref="ns2:MediaServiceObjectDetectorVersions" minOccurs="0"/>
                <xsd:element ref="ns2:MediaLengthInSeconds" minOccurs="0"/>
                <xsd:element ref="ns2:MediaServiceSearchProperties" minOccurs="0"/>
                <xsd:element ref="ns2:MediaServiceDateTaken" minOccurs="0"/>
                <xsd:element ref="ns2:lcf76f155ced4ddcb4097134ff3c332f" minOccurs="0"/>
                <xsd:element ref="ns3:TaxCatchAll"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e99cbf3-cdb6-429c-9892-da62a017aa5f"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2" nillable="true" ma:displayName="Tags" ma:internalName="MediaServiceAutoTags"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ServiceObjectDetectorVersions" ma:index="15" nillable="true" ma:displayName="MediaServiceObjectDetectorVersions" ma:hidden="true" ma:indexed="true" ma:internalName="MediaServiceObjectDetectorVersions" ma:readOnly="true">
      <xsd:simpleType>
        <xsd:restriction base="dms:Text"/>
      </xsd:simpleType>
    </xsd:element>
    <xsd:element name="MediaLengthInSeconds" ma:index="16" nillable="true" ma:displayName="MediaLengthInSeconds" ma:hidden="true" ma:internalName="MediaLengthInSeconds" ma:readOnly="true">
      <xsd:simpleType>
        <xsd:restriction base="dms:Unknown"/>
      </xsd:simpleType>
    </xsd:element>
    <xsd:element name="MediaServiceSearchProperties" ma:index="17" nillable="true" ma:displayName="MediaServiceSearchProperties" ma:hidden="true" ma:internalName="MediaServiceSearchProperties" ma:readOnly="true">
      <xsd:simpleType>
        <xsd:restriction base="dms:Note"/>
      </xsd:simpleType>
    </xsd:element>
    <xsd:element name="MediaServiceDateTaken" ma:index="18" nillable="true" ma:displayName="MediaServiceDateTaken" ma:hidden="true" ma:indexed="true" ma:internalName="MediaServiceDateTaken" ma:readOnly="true">
      <xsd:simpleType>
        <xsd:restriction base="dms:Text"/>
      </xsd:simpleType>
    </xsd:element>
    <xsd:element name="lcf76f155ced4ddcb4097134ff3c332f" ma:index="20" nillable="true" ma:taxonomy="true" ma:internalName="lcf76f155ced4ddcb4097134ff3c332f" ma:taxonomyFieldName="MediaServiceImageTags" ma:displayName="Image Tags" ma:readOnly="false" ma:fieldId="{5cf76f15-5ced-4ddc-b409-7134ff3c332f}" ma:taxonomyMulti="true" ma:sspId="985661df-4418-443f-8901-d8b6ae80800b" ma:termSetId="09814cd3-568e-fe90-9814-8d621ff8fb84" ma:anchorId="fba54fb3-c3e1-fe81-a776-ca4b69148c4d" ma:open="true" ma:isKeyword="false">
      <xsd:complexType>
        <xsd:sequence>
          <xsd:element ref="pc:Terms" minOccurs="0" maxOccurs="1"/>
        </xsd:sequence>
      </xsd:complexType>
    </xsd:element>
    <xsd:element name="MediaServiceOCR" ma:index="22"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7c9e5038-bec2-448c-89b0-6ee48dc4ea9e"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element name="TaxCatchAll" ma:index="21" nillable="true" ma:displayName="Taxonomy Catch All Column" ma:hidden="true" ma:list="{fccacc03-c70f-495d-b7d5-e450d9d97ed0}" ma:internalName="TaxCatchAll" ma:showField="CatchAllData" ma:web="7c9e5038-bec2-448c-89b0-6ee48dc4ea9e">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SharedWithUsers xmlns="7c9e5038-bec2-448c-89b0-6ee48dc4ea9e">
      <UserInfo>
        <DisplayName>Trinh Hai Anh - HPDQ</DisplayName>
        <AccountId>13</AccountId>
        <AccountType/>
      </UserInfo>
      <UserInfo>
        <DisplayName>Nguyen Quang Huy - HPDQ</DisplayName>
        <AccountId>28</AccountId>
        <AccountType/>
      </UserInfo>
      <UserInfo>
        <DisplayName>Nguyen Kieu Oanh - HPDQ</DisplayName>
        <AccountId>7</AccountId>
        <AccountType/>
      </UserInfo>
      <UserInfo>
        <DisplayName>Ta Huu Dang - HPDQ</DisplayName>
        <AccountId>185</AccountId>
        <AccountType/>
      </UserInfo>
    </SharedWithUsers>
    <TaxCatchAll xmlns="7c9e5038-bec2-448c-89b0-6ee48dc4ea9e" xsi:nil="true"/>
    <lcf76f155ced4ddcb4097134ff3c332f xmlns="5e99cbf3-cdb6-429c-9892-da62a017aa5f">
      <Terms xmlns="http://schemas.microsoft.com/office/infopath/2007/PartnerControls"/>
    </lcf76f155ced4ddcb4097134ff3c332f>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B74AC136-D4B0-4407-905E-588933AEF16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5e99cbf3-cdb6-429c-9892-da62a017aa5f"/>
    <ds:schemaRef ds:uri="7c9e5038-bec2-448c-89b0-6ee48dc4ea9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4EC00C28-637C-4CCE-AE5C-2B1328A85FAE}">
  <ds:schemaRefs>
    <ds:schemaRef ds:uri="http://schemas.microsoft.com/office/2006/metadata/properties"/>
    <ds:schemaRef ds:uri="http://schemas.microsoft.com/office/infopath/2007/PartnerControls"/>
    <ds:schemaRef ds:uri="7c9e5038-bec2-448c-89b0-6ee48dc4ea9e"/>
    <ds:schemaRef ds:uri="5e99cbf3-cdb6-429c-9892-da62a017aa5f"/>
  </ds:schemaRefs>
</ds:datastoreItem>
</file>

<file path=customXml/itemProps3.xml><?xml version="1.0" encoding="utf-8"?>
<ds:datastoreItem xmlns:ds="http://schemas.openxmlformats.org/officeDocument/2006/customXml" ds:itemID="{792F399A-F0D3-48B7-938B-2C14AE49A406}">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57</vt:i4>
      </vt:variant>
      <vt:variant>
        <vt:lpstr>Named Ranges</vt:lpstr>
      </vt:variant>
      <vt:variant>
        <vt:i4>54</vt:i4>
      </vt:variant>
    </vt:vector>
  </HeadingPairs>
  <TitlesOfParts>
    <vt:vector size="111" baseType="lpstr">
      <vt:lpstr>LỊCH TÀU - 10.2023</vt:lpstr>
      <vt:lpstr>LỊCH TÀU - 03.2023</vt:lpstr>
      <vt:lpstr>LỊCH TÀU - 12.2022</vt:lpstr>
      <vt:lpstr>LỊCH TÀU - 11.2022</vt:lpstr>
      <vt:lpstr>LỊCH TÀU - 06.22</vt:lpstr>
      <vt:lpstr>LỊCH TÀU - 10.2022</vt:lpstr>
      <vt:lpstr>LỊCH TÀU - 07.22</vt:lpstr>
      <vt:lpstr>LỊCH TÀU - 09.22</vt:lpstr>
      <vt:lpstr>LỊCH TÀU - 05.22</vt:lpstr>
      <vt:lpstr>LỊCH TÀU - 04.22</vt:lpstr>
      <vt:lpstr>LỊCH TÀU - 03.22</vt:lpstr>
      <vt:lpstr>LỊCH TÀU - 02.22</vt:lpstr>
      <vt:lpstr>LỊCH TÀU - 11.21</vt:lpstr>
      <vt:lpstr>LỊCH TÀU - 10.21</vt:lpstr>
      <vt:lpstr>LỊCH TÀU - 09.21</vt:lpstr>
      <vt:lpstr>LỊCH TÀU - 06.21</vt:lpstr>
      <vt:lpstr>LỊCH TÀU - 07.21</vt:lpstr>
      <vt:lpstr>LỊCH TÀU - 08.21</vt:lpstr>
      <vt:lpstr>LỊCH TÀU - 04.21</vt:lpstr>
      <vt:lpstr>LỊCH TÀU - 03.21</vt:lpstr>
      <vt:lpstr>LỊCH TÀU - 01.22</vt:lpstr>
      <vt:lpstr>LỊCH TÀU - 12.21</vt:lpstr>
      <vt:lpstr>LỊCH TÀU - 08.22 </vt:lpstr>
      <vt:lpstr>LỊCH TÀU - 04.2023</vt:lpstr>
      <vt:lpstr>LỊCH TÀU - 05.2023</vt:lpstr>
      <vt:lpstr>LỊCH TÀU - 01.2023</vt:lpstr>
      <vt:lpstr>LỊCH TÀU - 09.2023</vt:lpstr>
      <vt:lpstr>LỊCH TÀU - 06.2023</vt:lpstr>
      <vt:lpstr>LỊCH TÀU - 11.2024</vt:lpstr>
      <vt:lpstr>LỊCH TÀU - 09.2024</vt:lpstr>
      <vt:lpstr>LỊCH TÀU - 10.2024</vt:lpstr>
      <vt:lpstr>LỊCH TÀU - 08.2024 </vt:lpstr>
      <vt:lpstr>LỊCH TÀU - 07.2024 </vt:lpstr>
      <vt:lpstr>LỊCH TÀU - 06.2024 </vt:lpstr>
      <vt:lpstr>LỊCH TÀU - 05.2024</vt:lpstr>
      <vt:lpstr>LỊCH TÀU - 04.2024</vt:lpstr>
      <vt:lpstr>LỊCH TÀU - 03.2024</vt:lpstr>
      <vt:lpstr>LỊCH TÀU - 02.2024</vt:lpstr>
      <vt:lpstr>LỊCH TÀU - 01.2024</vt:lpstr>
      <vt:lpstr>LỊCH TÀU - 02.2025</vt:lpstr>
      <vt:lpstr>LỊCH TÀU - 12.2024</vt:lpstr>
      <vt:lpstr>LỊCH TÀU - 07.2023</vt:lpstr>
      <vt:lpstr>LỊCH TÀU - 11.2023</vt:lpstr>
      <vt:lpstr>KH</vt:lpstr>
      <vt:lpstr>LỊCH TÀU - 11.2025</vt:lpstr>
      <vt:lpstr>LỊCH TÀU - 10.2025 </vt:lpstr>
      <vt:lpstr>Trang_tính1</vt:lpstr>
      <vt:lpstr>LỊCH TÀU - 06.2025</vt:lpstr>
      <vt:lpstr>LỊCH TÀU - 04.2025</vt:lpstr>
      <vt:lpstr>LỊCH TÀU - 03.2025</vt:lpstr>
      <vt:lpstr>LỊCH TÀU - 02.2025 </vt:lpstr>
      <vt:lpstr>LỊCH TÀU - 01.2025</vt:lpstr>
      <vt:lpstr>LỊCH TÀU - 05.2025</vt:lpstr>
      <vt:lpstr>LỊCH TÀU - 09.2025 </vt:lpstr>
      <vt:lpstr>LỊCH TÀU - 08.2025</vt:lpstr>
      <vt:lpstr>PKH UPDATE</vt:lpstr>
      <vt:lpstr>LỊCH TÀU - 07.2025</vt:lpstr>
      <vt:lpstr>'LỊCH TÀU - 01.2023'!Print_Area</vt:lpstr>
      <vt:lpstr>'LỊCH TÀU - 01.2024'!Print_Area</vt:lpstr>
      <vt:lpstr>'LỊCH TÀU - 01.2025'!Print_Area</vt:lpstr>
      <vt:lpstr>'LỊCH TÀU - 01.22'!Print_Area</vt:lpstr>
      <vt:lpstr>'LỊCH TÀU - 02.2024'!Print_Area</vt:lpstr>
      <vt:lpstr>'LỊCH TÀU - 02.2025'!Print_Area</vt:lpstr>
      <vt:lpstr>'LỊCH TÀU - 02.2025 '!Print_Area</vt:lpstr>
      <vt:lpstr>'LỊCH TÀU - 02.22'!Print_Area</vt:lpstr>
      <vt:lpstr>'LỊCH TÀU - 03.2023'!Print_Area</vt:lpstr>
      <vt:lpstr>'LỊCH TÀU - 03.2024'!Print_Area</vt:lpstr>
      <vt:lpstr>'LỊCH TÀU - 03.2025'!Print_Area</vt:lpstr>
      <vt:lpstr>'LỊCH TÀU - 03.21'!Print_Area</vt:lpstr>
      <vt:lpstr>'LỊCH TÀU - 03.22'!Print_Area</vt:lpstr>
      <vt:lpstr>'LỊCH TÀU - 04.2023'!Print_Area</vt:lpstr>
      <vt:lpstr>'LỊCH TÀU - 04.2024'!Print_Area</vt:lpstr>
      <vt:lpstr>'LỊCH TÀU - 04.2025'!Print_Area</vt:lpstr>
      <vt:lpstr>'LỊCH TÀU - 04.21'!Print_Area</vt:lpstr>
      <vt:lpstr>'LỊCH TÀU - 04.22'!Print_Area</vt:lpstr>
      <vt:lpstr>'LỊCH TÀU - 05.2023'!Print_Area</vt:lpstr>
      <vt:lpstr>'LỊCH TÀU - 05.2024'!Print_Area</vt:lpstr>
      <vt:lpstr>'LỊCH TÀU - 05.2025'!Print_Area</vt:lpstr>
      <vt:lpstr>'LỊCH TÀU - 05.22'!Print_Area</vt:lpstr>
      <vt:lpstr>'LỊCH TÀU - 06.2023'!Print_Area</vt:lpstr>
      <vt:lpstr>'LỊCH TÀU - 06.2024 '!Print_Area</vt:lpstr>
      <vt:lpstr>'LỊCH TÀU - 06.2025'!Print_Area</vt:lpstr>
      <vt:lpstr>'LỊCH TÀU - 06.21'!Print_Area</vt:lpstr>
      <vt:lpstr>'LỊCH TÀU - 06.22'!Print_Area</vt:lpstr>
      <vt:lpstr>'LỊCH TÀU - 07.2023'!Print_Area</vt:lpstr>
      <vt:lpstr>'LỊCH TÀU - 07.2024 '!Print_Area</vt:lpstr>
      <vt:lpstr>'LỊCH TÀU - 07.2025'!Print_Area</vt:lpstr>
      <vt:lpstr>'LỊCH TÀU - 07.21'!Print_Area</vt:lpstr>
      <vt:lpstr>'LỊCH TÀU - 07.22'!Print_Area</vt:lpstr>
      <vt:lpstr>'LỊCH TÀU - 08.2024 '!Print_Area</vt:lpstr>
      <vt:lpstr>'LỊCH TÀU - 08.2025'!Print_Area</vt:lpstr>
      <vt:lpstr>'LỊCH TÀU - 08.21'!Print_Area</vt:lpstr>
      <vt:lpstr>'LỊCH TÀU - 08.22 '!Print_Area</vt:lpstr>
      <vt:lpstr>'LỊCH TÀU - 09.2023'!Print_Area</vt:lpstr>
      <vt:lpstr>'LỊCH TÀU - 09.2024'!Print_Area</vt:lpstr>
      <vt:lpstr>'LỊCH TÀU - 09.2025 '!Print_Area</vt:lpstr>
      <vt:lpstr>'LỊCH TÀU - 09.21'!Print_Area</vt:lpstr>
      <vt:lpstr>'LỊCH TÀU - 09.22'!Print_Area</vt:lpstr>
      <vt:lpstr>'LỊCH TÀU - 10.2022'!Print_Area</vt:lpstr>
      <vt:lpstr>'LỊCH TÀU - 10.2023'!Print_Area</vt:lpstr>
      <vt:lpstr>'LỊCH TÀU - 10.2024'!Print_Area</vt:lpstr>
      <vt:lpstr>'LỊCH TÀU - 10.2025 '!Print_Area</vt:lpstr>
      <vt:lpstr>'LỊCH TÀU - 10.21'!Print_Area</vt:lpstr>
      <vt:lpstr>'LỊCH TÀU - 11.2022'!Print_Area</vt:lpstr>
      <vt:lpstr>'LỊCH TÀU - 11.2023'!Print_Area</vt:lpstr>
      <vt:lpstr>'LỊCH TÀU - 11.2024'!Print_Area</vt:lpstr>
      <vt:lpstr>'LỊCH TÀU - 11.2025'!Print_Area</vt:lpstr>
      <vt:lpstr>'LỊCH TÀU - 11.21'!Print_Area</vt:lpstr>
      <vt:lpstr>'LỊCH TÀU - 12.2022'!Print_Area</vt:lpstr>
      <vt:lpstr>'LỊCH TÀU - 12.2024'!Print_Area</vt:lpstr>
      <vt:lpstr>'LỊCH TÀU - 12.21'!Print_Area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BICH</dc:creator>
  <cp:keywords/>
  <dc:description/>
  <cp:lastModifiedBy>Nguyen Xuan Hieu - HPDQ</cp:lastModifiedBy>
  <cp:revision/>
  <dcterms:created xsi:type="dcterms:W3CDTF">2021-03-20T05:37:20Z</dcterms:created>
  <dcterms:modified xsi:type="dcterms:W3CDTF">2025-10-30T08:23:55Z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0x010100576BB59CD141674C92BD30F0C16A53AE</vt:lpwstr>
  </property>
  <property fmtid="{D5CDD505-2E9C-101B-9397-08002B2CF9AE}" pid="3" name="MediaServiceImageTags">
    <vt:lpwstr/>
  </property>
</Properties>
</file>